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CB20F869-48F3-4844-B6D2-49F351FE599E}" xr6:coauthVersionLast="47" xr6:coauthVersionMax="47" xr10:uidLastSave="{00000000-0000-0000-0000-000000000000}"/>
  <bookViews>
    <workbookView xWindow="-108" yWindow="-108" windowWidth="23256" windowHeight="12576" xr2:uid="{00000000-000D-0000-FFFF-FFFF00000000}"/>
  </bookViews>
  <sheets>
    <sheet name="Índice anual" sheetId="1" r:id="rId1"/>
    <sheet name="Fuentes y criterio" sheetId="2" r:id="rId2"/>
  </sheets>
  <calcPr calcId="191029"/>
  <fileRecoveryPr repairLoad="1"/>
</workbook>
</file>

<file path=xl/calcChain.xml><?xml version="1.0" encoding="utf-8"?>
<calcChain xmlns="http://schemas.openxmlformats.org/spreadsheetml/2006/main">
  <c r="F165" i="2" l="1"/>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5041" i="1"/>
  <c r="J5040" i="1"/>
  <c r="J5039" i="1"/>
  <c r="J5038" i="1"/>
  <c r="J5037" i="1"/>
  <c r="J5036" i="1"/>
  <c r="J5035" i="1"/>
  <c r="J5034" i="1"/>
  <c r="J5033" i="1"/>
  <c r="J5032" i="1"/>
  <c r="J5031" i="1"/>
  <c r="J5030" i="1"/>
  <c r="J5029" i="1"/>
  <c r="J5028" i="1"/>
  <c r="J5027" i="1"/>
  <c r="J5026" i="1"/>
  <c r="J5025" i="1"/>
  <c r="J5024" i="1"/>
  <c r="J5023" i="1"/>
  <c r="J5022" i="1"/>
  <c r="J5021" i="1"/>
  <c r="J5020" i="1"/>
  <c r="J5019" i="1"/>
  <c r="J5018" i="1"/>
  <c r="J5017" i="1"/>
  <c r="J5016" i="1"/>
  <c r="J5015" i="1"/>
  <c r="J5014" i="1"/>
  <c r="J5013" i="1"/>
  <c r="J5012" i="1"/>
  <c r="J5011" i="1"/>
  <c r="J5010" i="1"/>
  <c r="J5009" i="1"/>
  <c r="J5008" i="1"/>
  <c r="J5007" i="1"/>
  <c r="J5006" i="1"/>
  <c r="J5005" i="1"/>
  <c r="J5004" i="1"/>
  <c r="J5003" i="1"/>
  <c r="J5002" i="1"/>
  <c r="J5001" i="1"/>
  <c r="J5000" i="1"/>
  <c r="J4999" i="1"/>
  <c r="J4998" i="1"/>
  <c r="J4997" i="1"/>
  <c r="J4996" i="1"/>
  <c r="J4995" i="1"/>
  <c r="J4994" i="1"/>
  <c r="J4993" i="1"/>
  <c r="J4992" i="1"/>
  <c r="J4991" i="1"/>
  <c r="J4990" i="1"/>
  <c r="J4989" i="1"/>
  <c r="J4988" i="1"/>
  <c r="J4987" i="1"/>
  <c r="J4986" i="1"/>
  <c r="J4985" i="1"/>
  <c r="J4984" i="1"/>
  <c r="J4983" i="1"/>
  <c r="J4982" i="1"/>
  <c r="J4981" i="1"/>
  <c r="J4980" i="1"/>
  <c r="J4979" i="1"/>
  <c r="J4978" i="1"/>
  <c r="J4977" i="1"/>
  <c r="J4976" i="1"/>
  <c r="J4975" i="1"/>
  <c r="J4974" i="1"/>
  <c r="J4973" i="1"/>
  <c r="J4972" i="1"/>
  <c r="J4971" i="1"/>
  <c r="J4970" i="1"/>
  <c r="J4969" i="1"/>
  <c r="J4968" i="1"/>
  <c r="J4967" i="1"/>
  <c r="J4966" i="1"/>
  <c r="J4965" i="1"/>
  <c r="J4964" i="1"/>
  <c r="J4963" i="1"/>
  <c r="J4962" i="1"/>
  <c r="J4961" i="1"/>
  <c r="J4960" i="1"/>
  <c r="J4959" i="1"/>
  <c r="J4958" i="1"/>
  <c r="J4957" i="1"/>
  <c r="J4956" i="1"/>
  <c r="J4955" i="1"/>
  <c r="J4954" i="1"/>
  <c r="J4953" i="1"/>
  <c r="J4952" i="1"/>
  <c r="J4951" i="1"/>
  <c r="J4950" i="1"/>
  <c r="J4949" i="1"/>
  <c r="J4948" i="1"/>
  <c r="J4947" i="1"/>
  <c r="J4946" i="1"/>
  <c r="J4945" i="1"/>
  <c r="J4944" i="1"/>
  <c r="J4943" i="1"/>
  <c r="J4942" i="1"/>
  <c r="J4941" i="1"/>
  <c r="J4940" i="1"/>
  <c r="J4939" i="1"/>
  <c r="J4938" i="1"/>
  <c r="J4937" i="1"/>
  <c r="J4936" i="1"/>
  <c r="J4935" i="1"/>
  <c r="J4934" i="1"/>
  <c r="J4933" i="1"/>
  <c r="J4932" i="1"/>
  <c r="J4931" i="1"/>
  <c r="J4930" i="1"/>
  <c r="J4929" i="1"/>
  <c r="J4928" i="1"/>
  <c r="J4927" i="1"/>
  <c r="J4926" i="1"/>
  <c r="J4925" i="1"/>
  <c r="J4924" i="1"/>
  <c r="J4923" i="1"/>
  <c r="J4922" i="1"/>
  <c r="J4921" i="1"/>
  <c r="J4920" i="1"/>
  <c r="J4919" i="1"/>
  <c r="J4918" i="1"/>
  <c r="J4917" i="1"/>
  <c r="J4916" i="1"/>
  <c r="J4915" i="1"/>
  <c r="J4914" i="1"/>
  <c r="J4913" i="1"/>
  <c r="J4912" i="1"/>
  <c r="J4911" i="1"/>
  <c r="J4910" i="1"/>
  <c r="J4909" i="1"/>
  <c r="J4908" i="1"/>
  <c r="J4907" i="1"/>
  <c r="J4906" i="1"/>
  <c r="J4905" i="1"/>
  <c r="J4904" i="1"/>
  <c r="J4903" i="1"/>
  <c r="J4902" i="1"/>
  <c r="J4901" i="1"/>
  <c r="J4900" i="1"/>
  <c r="J4899" i="1"/>
  <c r="J4898" i="1"/>
  <c r="J4897" i="1"/>
  <c r="J4896" i="1"/>
  <c r="J4895" i="1"/>
  <c r="J4894" i="1"/>
  <c r="J4893" i="1"/>
  <c r="J4892" i="1"/>
  <c r="J4891" i="1"/>
  <c r="J4890" i="1"/>
  <c r="J4889" i="1"/>
  <c r="J4888" i="1"/>
  <c r="J4887" i="1"/>
  <c r="J4886" i="1"/>
  <c r="J4885" i="1"/>
  <c r="J4884" i="1"/>
  <c r="J4883" i="1"/>
  <c r="J4882" i="1"/>
  <c r="J4881" i="1"/>
  <c r="J4880" i="1"/>
  <c r="J4879" i="1"/>
  <c r="J4878" i="1"/>
  <c r="J4877" i="1"/>
  <c r="J4876" i="1"/>
  <c r="J4875" i="1"/>
  <c r="J4874" i="1"/>
  <c r="J4873" i="1"/>
  <c r="J4872" i="1"/>
  <c r="J4871" i="1"/>
  <c r="J4870" i="1"/>
  <c r="J4869" i="1"/>
  <c r="J4868" i="1"/>
  <c r="J4867" i="1"/>
  <c r="J4866" i="1"/>
  <c r="J4865" i="1"/>
  <c r="J4864" i="1"/>
  <c r="J4863" i="1"/>
  <c r="J4862" i="1"/>
  <c r="J4861" i="1"/>
  <c r="J4860" i="1"/>
  <c r="J4859" i="1"/>
  <c r="J4858" i="1"/>
  <c r="J4857" i="1"/>
  <c r="J4856" i="1"/>
  <c r="J4855" i="1"/>
  <c r="J4854" i="1"/>
  <c r="J4853" i="1"/>
  <c r="J4852" i="1"/>
  <c r="J4851" i="1"/>
  <c r="J4850" i="1"/>
  <c r="J4849" i="1"/>
  <c r="J4848" i="1"/>
  <c r="J4847" i="1"/>
  <c r="J4846" i="1"/>
  <c r="J4845" i="1"/>
  <c r="J4844" i="1"/>
  <c r="J4843" i="1"/>
  <c r="J4842" i="1"/>
  <c r="J4841" i="1"/>
  <c r="J4840" i="1"/>
  <c r="J4839" i="1"/>
  <c r="J4838" i="1"/>
  <c r="J4837" i="1"/>
  <c r="J4836" i="1"/>
  <c r="J4835" i="1"/>
  <c r="J4834" i="1"/>
  <c r="J4833" i="1"/>
  <c r="J4832" i="1"/>
  <c r="J4831" i="1"/>
  <c r="J4830" i="1"/>
  <c r="J4829" i="1"/>
  <c r="J4828" i="1"/>
  <c r="J4827" i="1"/>
  <c r="J4826" i="1"/>
  <c r="J4825" i="1"/>
  <c r="J4824" i="1"/>
  <c r="J4823" i="1"/>
  <c r="J4822" i="1"/>
  <c r="J4821" i="1"/>
  <c r="J4820" i="1"/>
  <c r="J4819" i="1"/>
  <c r="J4818" i="1"/>
  <c r="J4817" i="1"/>
  <c r="J4816" i="1"/>
  <c r="J4815" i="1"/>
  <c r="J4814" i="1"/>
  <c r="J4813" i="1"/>
  <c r="J4812" i="1"/>
  <c r="J4811" i="1"/>
  <c r="J4810" i="1"/>
  <c r="J4809" i="1"/>
  <c r="J4808" i="1"/>
  <c r="J4807" i="1"/>
  <c r="J4806" i="1"/>
  <c r="J4805" i="1"/>
  <c r="J4804" i="1"/>
  <c r="J4803" i="1"/>
  <c r="J4802" i="1"/>
  <c r="J4801" i="1"/>
  <c r="J4800" i="1"/>
  <c r="J4799" i="1"/>
  <c r="J4798" i="1"/>
  <c r="J4797" i="1"/>
  <c r="J4796" i="1"/>
  <c r="J4795" i="1"/>
  <c r="J4794" i="1"/>
  <c r="J4793" i="1"/>
  <c r="J4792" i="1"/>
  <c r="J4791" i="1"/>
  <c r="J4790" i="1"/>
  <c r="J4789" i="1"/>
  <c r="J4788" i="1"/>
  <c r="J4787" i="1"/>
  <c r="J4786" i="1"/>
  <c r="J4785" i="1"/>
  <c r="J4784" i="1"/>
  <c r="J4783" i="1"/>
  <c r="J4782" i="1"/>
  <c r="J4781" i="1"/>
  <c r="J4780" i="1"/>
  <c r="J4779" i="1"/>
  <c r="J4778" i="1"/>
  <c r="J4777" i="1"/>
  <c r="J4776" i="1"/>
  <c r="J4775" i="1"/>
  <c r="J4774" i="1"/>
  <c r="J4773" i="1"/>
  <c r="J4772" i="1"/>
  <c r="J4771" i="1"/>
  <c r="J4770" i="1"/>
  <c r="J4769" i="1"/>
  <c r="J4768" i="1"/>
  <c r="J4767" i="1"/>
  <c r="J4766" i="1"/>
  <c r="J4765" i="1"/>
  <c r="J4764" i="1"/>
  <c r="J4763" i="1"/>
  <c r="J4762" i="1"/>
  <c r="J4761" i="1"/>
  <c r="J4760" i="1"/>
  <c r="J4759" i="1"/>
  <c r="J4758" i="1"/>
  <c r="J4757" i="1"/>
  <c r="J4756" i="1"/>
  <c r="J4755" i="1"/>
  <c r="J4754" i="1"/>
  <c r="J4753" i="1"/>
  <c r="J4752" i="1"/>
  <c r="J4751" i="1"/>
  <c r="J4750" i="1"/>
  <c r="J4749" i="1"/>
  <c r="J4748" i="1"/>
  <c r="J4747" i="1"/>
  <c r="J4746" i="1"/>
  <c r="J4745" i="1"/>
  <c r="J4744" i="1"/>
  <c r="J4743" i="1"/>
  <c r="J4742" i="1"/>
  <c r="J4741" i="1"/>
  <c r="J4740" i="1"/>
  <c r="J4739" i="1"/>
  <c r="J4738" i="1"/>
  <c r="J4737" i="1"/>
  <c r="J4736" i="1"/>
  <c r="J4735" i="1"/>
  <c r="J4734" i="1"/>
  <c r="J4733" i="1"/>
  <c r="J4732" i="1"/>
  <c r="J4731" i="1"/>
  <c r="J4730" i="1"/>
  <c r="J4729" i="1"/>
  <c r="J4728" i="1"/>
  <c r="J4727" i="1"/>
  <c r="J4726" i="1"/>
  <c r="J4725" i="1"/>
  <c r="J4724" i="1"/>
  <c r="J4723" i="1"/>
  <c r="J4722" i="1"/>
  <c r="J4721" i="1"/>
  <c r="J4720" i="1"/>
  <c r="J4719" i="1"/>
  <c r="J4718" i="1"/>
  <c r="J4717" i="1"/>
  <c r="J4716" i="1"/>
  <c r="J4715" i="1"/>
  <c r="J4714" i="1"/>
  <c r="J4713" i="1"/>
  <c r="J4712" i="1"/>
  <c r="J4711" i="1"/>
  <c r="J4710" i="1"/>
  <c r="J4709" i="1"/>
  <c r="J4708" i="1"/>
  <c r="J4707" i="1"/>
  <c r="J4706" i="1"/>
  <c r="J4705" i="1"/>
  <c r="J4704" i="1"/>
  <c r="J4703" i="1"/>
  <c r="J4702" i="1"/>
  <c r="J4701" i="1"/>
  <c r="J4700" i="1"/>
  <c r="J4699" i="1"/>
  <c r="J4698" i="1"/>
  <c r="J4697" i="1"/>
  <c r="J4696" i="1"/>
  <c r="J4695" i="1"/>
  <c r="J4694" i="1"/>
  <c r="J4693" i="1"/>
  <c r="J4692" i="1"/>
  <c r="J4691" i="1"/>
  <c r="J4690" i="1"/>
  <c r="J4689" i="1"/>
  <c r="J4688" i="1"/>
  <c r="J4687" i="1"/>
  <c r="J4686" i="1"/>
  <c r="J4685" i="1"/>
  <c r="J4684" i="1"/>
  <c r="J4683" i="1"/>
  <c r="J4682" i="1"/>
  <c r="J4681" i="1"/>
  <c r="J4680" i="1"/>
  <c r="J4679" i="1"/>
  <c r="J4678" i="1"/>
  <c r="J4677" i="1"/>
  <c r="J4676" i="1"/>
  <c r="J4675" i="1"/>
  <c r="J4674" i="1"/>
  <c r="J4673" i="1"/>
  <c r="J4672" i="1"/>
  <c r="J4671" i="1"/>
  <c r="J4670" i="1"/>
  <c r="J4669" i="1"/>
  <c r="J4668" i="1"/>
  <c r="J4667" i="1"/>
  <c r="J4666" i="1"/>
  <c r="J4665" i="1"/>
  <c r="J4664" i="1"/>
  <c r="J4663" i="1"/>
  <c r="J4662" i="1"/>
  <c r="J4661" i="1"/>
  <c r="J4660" i="1"/>
  <c r="J4659" i="1"/>
  <c r="J4658" i="1"/>
  <c r="J4657" i="1"/>
  <c r="J4656" i="1"/>
  <c r="J4655" i="1"/>
  <c r="J4654" i="1"/>
  <c r="J4653" i="1"/>
  <c r="J4652" i="1"/>
  <c r="J4651" i="1"/>
  <c r="J4650" i="1"/>
  <c r="J4649" i="1"/>
  <c r="J4648" i="1"/>
  <c r="J4647" i="1"/>
  <c r="J4646" i="1"/>
  <c r="J4645" i="1"/>
  <c r="J4644" i="1"/>
  <c r="J4643" i="1"/>
  <c r="J4642" i="1"/>
  <c r="J4641" i="1"/>
  <c r="J4640" i="1"/>
  <c r="J4639" i="1"/>
  <c r="J4638" i="1"/>
  <c r="J4637" i="1"/>
  <c r="J4636" i="1"/>
  <c r="J4635" i="1"/>
  <c r="J4634" i="1"/>
  <c r="J4633" i="1"/>
  <c r="J4632" i="1"/>
  <c r="J4631" i="1"/>
  <c r="J4630" i="1"/>
  <c r="J4629" i="1"/>
  <c r="J4628" i="1"/>
  <c r="J4627" i="1"/>
  <c r="J4626" i="1"/>
  <c r="J4625" i="1"/>
  <c r="J4624" i="1"/>
  <c r="J4623" i="1"/>
  <c r="J4622" i="1"/>
  <c r="J4621" i="1"/>
  <c r="J4620" i="1"/>
  <c r="J4619" i="1"/>
  <c r="J4618" i="1"/>
  <c r="J4617" i="1"/>
  <c r="J4616" i="1"/>
  <c r="J4615" i="1"/>
  <c r="J4614" i="1"/>
  <c r="J4613" i="1"/>
  <c r="J4612" i="1"/>
  <c r="J4611" i="1"/>
  <c r="J4610" i="1"/>
  <c r="J4609" i="1"/>
  <c r="J4608" i="1"/>
  <c r="J4607" i="1"/>
  <c r="J4606" i="1"/>
  <c r="J4605" i="1"/>
  <c r="J4604" i="1"/>
  <c r="J4603" i="1"/>
  <c r="J4602" i="1"/>
  <c r="J4601" i="1"/>
  <c r="J4600" i="1"/>
  <c r="J4599" i="1"/>
  <c r="J4598" i="1"/>
  <c r="J4597" i="1"/>
  <c r="J4596" i="1"/>
  <c r="J4595" i="1"/>
  <c r="J4594" i="1"/>
  <c r="J4593" i="1"/>
  <c r="J4592" i="1"/>
  <c r="J4591" i="1"/>
  <c r="J4590" i="1"/>
  <c r="J4589" i="1"/>
  <c r="J4588" i="1"/>
  <c r="J4587" i="1"/>
  <c r="J4586" i="1"/>
  <c r="J4585" i="1"/>
  <c r="J4584" i="1"/>
  <c r="J4583" i="1"/>
  <c r="J4582" i="1"/>
  <c r="J4581" i="1"/>
  <c r="J4580" i="1"/>
  <c r="J4579" i="1"/>
  <c r="J4578" i="1"/>
  <c r="J4577" i="1"/>
  <c r="J4576" i="1"/>
  <c r="J4575" i="1"/>
  <c r="J4574" i="1"/>
  <c r="J4573" i="1"/>
  <c r="J4572" i="1"/>
  <c r="J4571" i="1"/>
  <c r="J4570" i="1"/>
  <c r="J4569" i="1"/>
  <c r="J4568" i="1"/>
  <c r="J4567" i="1"/>
  <c r="J4566" i="1"/>
  <c r="J4565" i="1"/>
  <c r="J4564" i="1"/>
  <c r="J4563" i="1"/>
  <c r="J4562" i="1"/>
  <c r="J4561" i="1"/>
  <c r="J4560" i="1"/>
  <c r="J4559" i="1"/>
  <c r="J4558" i="1"/>
  <c r="J4557" i="1"/>
  <c r="J4556" i="1"/>
  <c r="J4555" i="1"/>
  <c r="J4554" i="1"/>
  <c r="J4553" i="1"/>
  <c r="J4552" i="1"/>
  <c r="J4551" i="1"/>
  <c r="J4550" i="1"/>
  <c r="J4549" i="1"/>
  <c r="J4548" i="1"/>
  <c r="J4547" i="1"/>
  <c r="J4546" i="1"/>
  <c r="J4545" i="1"/>
  <c r="J4544" i="1"/>
  <c r="J4543" i="1"/>
  <c r="J4542" i="1"/>
  <c r="J4541" i="1"/>
  <c r="J4540" i="1"/>
  <c r="J4539" i="1"/>
  <c r="J4538" i="1"/>
  <c r="J4537" i="1"/>
  <c r="J4536" i="1"/>
  <c r="J4535" i="1"/>
  <c r="J4534" i="1"/>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<sst xmlns="http://schemas.openxmlformats.org/spreadsheetml/2006/main" count="45679" uniqueCount="12181">
  <si>
    <t>Índice onomástico anual · Gacetas oficiales de 1816</t>
  </si>
  <si>
    <t>Del 1 de enero al 31 de diciembre de 1816 · Gaceta de Madrid</t>
  </si>
  <si>
    <t>Aviso: índice generado a partir del OCR de facsímiles históricos. Las grafías y lecturas dudosas deben cotejarse con la página enlazada.</t>
  </si>
  <si>
    <t>5035 menciones · 161 archivos oficiales · 1359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</si>
  <si>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</si>
  <si>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</si>
  <si>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</si>
  <si>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</si>
  <si>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</si>
  <si>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</si>
  <si>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</si>
  <si>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</si>
  <si>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</si>
  <si>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</si>
  <si>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</si>
  <si>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A'va, Juan</t>
  </si>
  <si>
    <t>Juan A'va</t>
  </si>
  <si>
    <t>Actuación administrativa o judicial</t>
  </si>
  <si>
    <t>Noticias y disposiciones</t>
  </si>
  <si>
    <t>Gaceta de Madrid n.º 3</t>
  </si>
  <si>
    <t>24</t>
  </si>
  <si>
    <t>Nombre detectado automáticamente; cotejar si se va a citar</t>
  </si>
  <si>
    <t>…pen dientes del resguardo ; no menos necesario á los abogados que defienden los pleitos, y á lo» .comíTwivntes para conducirse rectamente en sus expediciones mercantiles: su autor D. Juan A'va ez Pesadilla , fiscal que fue del crimen en la Real audiencia de Valencia, y de aquella subdeiegauon de rentas: su precio 20 rs. en papel, 21 á Ja rústica v ;6 en pasta. Guia del estado eclesiástico seglar y regular de España &amp;c. para el año de 1816, con el r…</t>
  </si>
  <si>
    <t>Lectura OCR</t>
  </si>
  <si>
    <t>A, E.</t>
  </si>
  <si>
    <t>E. A</t>
  </si>
  <si>
    <t>Mención en noticia o disposición</t>
  </si>
  <si>
    <t>Gaceta de Madrid n.º 26</t>
  </si>
  <si>
    <t>PDF p. 6</t>
  </si>
  <si>
    <t>Lectura automática dudosa; cotejar el facsímil</t>
  </si>
  <si>
    <t>…por D. Josef Hidalgo, año de 1813. El 4.® [Catecismo político español constitucional que á imitación del de Doctrina cristiana compuesto por el Sr. Reínoso presenta al publico E. D. D. E. A. , en Málaga en la oficina de D. Luis Carreras, año de 1814. Y el 5° Catecis* mo cristiano político compuesto por un Magistrado para la educación de su hijo, y dado á luz por el Ayuntamiento de Antequera para el uso de su s escuelas, impreso en la misma por la…</t>
  </si>
  <si>
    <t>Revisar OCR</t>
  </si>
  <si>
    <t>A, Josef Andrés de</t>
  </si>
  <si>
    <t>Josef Andrés de A</t>
  </si>
  <si>
    <t>Operaciones o servicios militares</t>
  </si>
  <si>
    <t>Noticias militares</t>
  </si>
  <si>
    <t>Gaceta de Madrid n.º 77</t>
  </si>
  <si>
    <t>647</t>
  </si>
  <si>
    <t>…Or denes Militares á D. Lorenzo Viso Moreno para la vara de alcalde mayor de la villa de Villamayor de Santiago de nueva creación; y promover al ac tual alcalde mayor de Infantes D. Josef Andrés de A rellano á la vara de Pedro-Muñoz, vacante por fallecimiento de D. Francisco de Paula Pereira. Habiéndose servido el Rey nuestro Señor admitir la cesión que ha hecho de sus sueldos vencidos hasta fín de Abril último el oficia! supernumerario del cuerpo polític…</t>
  </si>
  <si>
    <t>A, Juan</t>
  </si>
  <si>
    <t>Juan A</t>
  </si>
  <si>
    <t>Actividad económica o mercantil</t>
  </si>
  <si>
    <t>PDF p. 8</t>
  </si>
  <si>
    <t>…, en razón de que se declaren de su pertenencia cuatro vales Reales de 600 pesos, tres de Ja creación de i.° de Enero de 1808, y el otro de la de Mayo del mismo año, encabezados á D. Juan A da ñero, señalados con los números 363743» 364806, 369339 y 373375 » y últimamente endosados el primero á los señores viuda de R, Boon é hijos, de Cádiz; el segundo á D. Nicolás Ballcster y Flotats; el tercero á I&gt;. Tomas de Urrutia, y el cuarto á D. Josef Ga…</t>
  </si>
  <si>
    <t>A, Juan de</t>
  </si>
  <si>
    <t>Juan de A</t>
  </si>
  <si>
    <t>Gaceta de Madrid n.º 158</t>
  </si>
  <si>
    <t>PDF p. 5</t>
  </si>
  <si>
    <t>…onra de felícirar á S. M. por su angusto matrimonio el Excmo. Sr. D. Francisco Xavier Venegas , teniente general de los Reaíes egércitos, y los Sres. D~ Amonio de Alcalá Galianu y D. Juan de A nguío&gt; capitán de la. Real Brigada de carabineros* á nombre de la ciudad dé Ecíja; el primero de los cuales d'ijor ,ySeñor :• La ciuda de Ecija * deseosa de llenar sus obligaciones', nos pro porciona el honor de ofrecernos á L. R. P. de V. M., comisionándonos…</t>
  </si>
  <si>
    <t>A, Juan Simón de</t>
  </si>
  <si>
    <t>Juan Simón de A</t>
  </si>
  <si>
    <t>Gaceta de Madrid n.º 104</t>
  </si>
  <si>
    <t>PDF p. 12</t>
  </si>
  <si>
    <t>…llama y emplaza á D. Ramón Aguilar y No guera, D. Simón de Amaga, D. Josef Vicente de Iraz.ibal, D. Josef de Llamas, Dona Josefa lgnacia de Muxica , I). Juan Bautista de Torres y D. Juan Simón de A muga , tenedores de nueve vales Reales de 300 pesos, de Mayo de 808, señaiados con los números 423341, 430446, 430726, 434266, 436122, 439757, 440896, 440894 y 447748, para que en el término de 30 dias, contados desde el 16 deJ corriente, comparezcan al refer…</t>
  </si>
  <si>
    <t>A, María Francisca de</t>
  </si>
  <si>
    <t>María Francisca de A</t>
  </si>
  <si>
    <t>Edición extraordinaria</t>
  </si>
  <si>
    <t>Gaceta de Madrid n.º 124 (extraordinaria)</t>
  </si>
  <si>
    <t>PDF p. 1</t>
  </si>
  <si>
    <t>…á V. M. por su suspirado arribo ai suelo de la capital de esta monar quía, por su augusto enlace con el mas digno y mas amado de los Sobera nos , por el de la Serma. Sra. Infanta Doña María Francisca de A sis con el Sermo. Sr. Infante D. Carlos, y por el singular jubilo y placer con que se han recibido estos vínculos por la nación entera, y mas particularmente por el heroico pueblo de Madrid, que reconociendo y admirando las virtu des de V. M. y A. S. bendice…</t>
  </si>
  <si>
    <t>A., A.</t>
  </si>
  <si>
    <t>A. A.</t>
  </si>
  <si>
    <t>Gaceta de Madrid n.º 116</t>
  </si>
  <si>
    <t>1020</t>
  </si>
  <si>
    <t>…ca, oficia! de húsares, y caba lero de la cruz de la let-inn de Honor, y tra ducidas por el sargento mayor de ¡nfanteríi, y primer ayudante del regimiento de Burgos , 21 de linca, D. A. A. El di ¿curso con que principia sobre la diferencia de las guerras del norte á las de F.snaña , la imparcialidad con que detalla las principa les accicnes, la justicia que hace al ca;ácter español , los lances particulares que 1c sucedieron en varíes puebles, y L…</t>
  </si>
  <si>
    <t>A., R.</t>
  </si>
  <si>
    <t>R. A.</t>
  </si>
  <si>
    <t>Publicación o actividad intelectual</t>
  </si>
  <si>
    <t>Gaceta de Madrid n.º 145</t>
  </si>
  <si>
    <t>…varios y ex traordinarios lances que sucedieron á dos esposos llenos de virtud , sensibilidad y honor: obra escrita en ingles por el famoso Fielding, y traducida al castellano por D. R. A. D. Q.: 5 tomos en 8.° á 50 rs en pasta. Se hallará en la librería de Bai lo, calle de las Carretas. El Emprendedor, ó aventuras de un español en el Asia: 2 tomos en 8.° Se ha llarán en la librería de Orea, calle de la Montera. EN LA IMPRENTA REAL.</t>
  </si>
  <si>
    <t>Abad, Josef</t>
  </si>
  <si>
    <t>Josef Abad</t>
  </si>
  <si>
    <t>PDF p. 7</t>
  </si>
  <si>
    <t>…il. Fueron examinados en aritmédea D. Josef Perez, D. Juan Pablo Rodríguez, D. Josel María JLcureiro, D. Florencio Pereira, D, Benito Pereira , D. Cosme Arias, D. Juan Rodrí guez, D. Josef Abad, D. Manuel Vicario, D. Josef Vicente Veiga , D. Jo-</t>
  </si>
  <si>
    <t>Abad, Manuel Quiñones</t>
  </si>
  <si>
    <t>Manuel Quiñones Abad</t>
  </si>
  <si>
    <t>Gaceta de Madrid n.º 1</t>
  </si>
  <si>
    <t>8</t>
  </si>
  <si>
    <t>…, de 6498 rs. en un recibo de intereses de vales___^ D. Josef Betaaicourt y Castro, coronel de milicias,su sueldo de ifoo rs. desde t.° de Julio de 1808 hasta igual mes de 5814___D. Manuel Quiñones Abad , cura párroco de San Pedro de Castro de Laza, obispado 4e Orense, 5© rs. que entregó para el egército. Juan Bautista Torres^ subteniente de cazadores de Orihuela, electo canónigo de la colegiata de Junquera de Ambia , 14400 rs. que le cor respondían por paga…</t>
  </si>
  <si>
    <t>Abadal, Antonio</t>
  </si>
  <si>
    <t>Antonio Abadal</t>
  </si>
  <si>
    <t>Fallecimiento, herencia o memoria</t>
  </si>
  <si>
    <t>Gaceta de Madrid n.º 20</t>
  </si>
  <si>
    <t>156</t>
  </si>
  <si>
    <t>…ídem de 1809 á los herederos de D. Angel Perez, números 34877 y 42209: otrocreación y valor idem ídem, núm. 47246, á D. Cristóbal Gironelia é hijos: otro idem ídem; núm. 56522 , á D. Antonio Abadal: otros dos de idem idem, números 67913 y 69252, á D, Jaime Valis: uno idem de ídem, núm. 67953 » a Juan Artiz y García; otro idem de idem, niun. 79853 , á D, Josef Francisco Guardiola: otro idem idem, num. 70914, á D. Manuel Segundo Martínez: otros 2 dé i.° d…</t>
  </si>
  <si>
    <t>Abadía, Francisco Xavier</t>
  </si>
  <si>
    <t>Francisco Xavier Abadía</t>
  </si>
  <si>
    <t>Gaceta de Madrid n.º 19</t>
  </si>
  <si>
    <t>…en su casa calle de GreneLÍe-St.-Germain. Mr. Sieyés ílegó el 21 del corriente á Bruselas.. ESPAÑA. . ' 1 ; - . ■ : 1 \ Madrid2 de Febrero. A R T I C u"l O DE OFICIO. El teniente general D. Francisco Xavier Abadía,, inspector general de América, ha participado, entre otras cosas , en oficio dirigido por extraordi nario al Sr. Secretario del Despacho, universal de la Guerra, con fecha de 4 de este mes, lo que .sigue: ,,Exorno. Sr.: Por un buque procedente de la Havana e…</t>
  </si>
  <si>
    <t>Gaceta de Madrid n.º 22</t>
  </si>
  <si>
    <t>£f7;I Dios guarde á V, muchos años.'Madrid-2 2 de Enerode ¿8í6í^=í'D6ii Bartolomé Muñoz. ' : •'[ &lt;. - ' &gt; El Teniente general D. Francisco Xavier Abadía, inspector general de América , con fecha de 9 del actual desde Qfcdiz dice'al SríSeórétário de Es tado y del Despacho universal1'dei la &lt;3rüefrr&lt;if"lo ^ue sigue4 r ■ : / — ' „Excmo. Sr.: Por un buque* llegado» á-este puerto'én el díá de &amp;yef, procedente de B…</t>
  </si>
  <si>
    <t>Gaceta de Madrid n.º 47</t>
  </si>
  <si>
    <t>PDF p. 9</t>
  </si>
  <si>
    <t>…lleja, con motivo de la duda ocurrida á los Ministros de la Tesorería general de México al tiempo de ajustar al batallón i.° Americano, el parecer del Inspector general de América D. Francisco Xavier Abadía, y la circunstancia de que los sueldos y prest asignados á las expresadas tropas en Ultramar difieren en los distintos dominios en que se hallan; se ha digna do S. M. resolver, en prueba del señalado aprecio que le merecen tan bene méritas tropas, y en el ínt…</t>
  </si>
  <si>
    <t>Gaceta de Madrid n.º 62</t>
  </si>
  <si>
    <t>…de 1816. jReal orden comunicada por el Sr. Secretario de listado y del Despacho universal de la Guerra al Inspector general de América y~encargado de las expediciones de Ultramar D. Francisco Xavier Abadía , exis tente en Cádiz, y que se da al publico para que pueda servir de cono cimiento á los que se consideren acreedores, d las gracias que en ella se expresan. Ministerio de Guerra r Excmo. Sr.: A los individuos dé la comisión de Reemplazos de Ultramar digo c…</t>
  </si>
  <si>
    <t>Gaceta de Madrid n.º 63</t>
  </si>
  <si>
    <t>…que traslado á V. de la misma para su inteligencia y efectos con siguientes. Dios guarde á V. muchos años. Madrid 6 de Mayo de 1816. Circular del Ministerio de Guerra. El teniente general D. Francisco Xavier Abadía, Inspector general de América , y encargado de la organización y habilitación de las expediciones que pasan á aquellos dominios, hizo presente con fechas de 5 y 23 de Ene ro último en sus carras números 337 y 396 la necesidad de establecer las re glas que se…</t>
  </si>
  <si>
    <t>Gaceta de Madrid n.º 70</t>
  </si>
  <si>
    <t>_ *79 .... ,,E1 Teniente General D. Francisco Xavier Abadía, Inspector general de América, y encargado de la organización y habilitación de ias expedicio nes militares que se envían á aquellos dominios, hizo presente con fecha de io de Noviembre del año anterior las dificultades é inconvenientes que se ha llaban para…</t>
  </si>
  <si>
    <t>Abadía, Pedro</t>
  </si>
  <si>
    <t>Pedro Abadía</t>
  </si>
  <si>
    <t>Gaceta de Madrid n.º 108</t>
  </si>
  <si>
    <t>PDF p. 4</t>
  </si>
  <si>
    <t>…y saqueo, que no dudo realicen al tiempo de su salida. Idem Las bombas de vapor conducidas de Inglaterra en el año pasado al Ca lino por D. Francisco Uvi 1 le, socio de ios Sres. D. Pedro Abadía y D. Josef Arizmciidi en ia empresa del desagüe de estas minas, hasta ahora hacen dejar á algunos acerca de sus portentosos efectos; pero esto no debe extrañare si se considera que en este país, donde las artes y ciencias exactas no están muy adelantadas, los hombres, hablando gen…</t>
  </si>
  <si>
    <t>Abaida, Manuel</t>
  </si>
  <si>
    <t>Manuel Abaida</t>
  </si>
  <si>
    <t>Gaceta de Madrid n.º 46</t>
  </si>
  <si>
    <t>…Ortiz Canelas y D. Francisco S* Pedro: el de teniente de fragSta gra duado en su clase de contra-maestre á D Sebastian Garrido:el de ayudante de contra- maestre de construcción á D. Manuel Abaida , capataz de carpin teros de Ribera: el de oficial primero del cuerpo político de marina a Don Manuel Agüete; y el de la propiedad de oficial quinto del mismo á D. Tuan Morote, que era honorario. Premios de cruces de la Real Orden de Isabel la Católica, y de…</t>
  </si>
  <si>
    <t>Abarca, Francisco</t>
  </si>
  <si>
    <t>Francisco Abarca</t>
  </si>
  <si>
    <t>Nombramiento o servicio público</t>
  </si>
  <si>
    <t>España</t>
  </si>
  <si>
    <t>Gaceta de Madrid n.º 52</t>
  </si>
  <si>
    <t>…e de Real orden comunico á V. para su inteligencia y cumplimiento. Dios guarde á V. muchos anos. Madrid 18 de Marzo de 1816. El Rey nuestro Señor, atendiendo á la avanzada edad de D. Francisco Abarca, ministro honorario de la suprema Inquisición, y decano del santo oficio de Lima, se ha servido concederle jubilación con el goce de la tercera parte de sus sueldos; y en prueba de cuan gratos le han sido sus dilatados méritos y servicios, ha venido en conced…</t>
  </si>
  <si>
    <t>Abeleira</t>
  </si>
  <si>
    <t>Gaceta de Madrid n.º 150</t>
  </si>
  <si>
    <t>…o. Sr. D. Joaquín de la Pezuela, á quien le di cuenta en el mismo acto por extraordinario. ,,Ha pasado también por las armas el teniente coronel Llano á 12 de los cabecillas, y el coronel Abeleira á 18 de los mismos; de manera que si hubiese uno ú otro mas dé los*de esta clase prófugos, los propios indios han de entregarlos; pues hasta el pérfido Esquivel y Mariano Galvez, que pudie ron fugarse,el primero recibió un balazo en la cara,y el segundo se de…</t>
  </si>
  <si>
    <t>Abeleira, Josef Bernardo</t>
  </si>
  <si>
    <t>Josef Bernardo Abeleira</t>
  </si>
  <si>
    <t>…uellas conmociones. „Tan feliz suceso es debido á las armas del Rey, mandadas por el te niente coronel D. Josef de Llano en la capital de Larecaja y sus pueblos in mediatos , y al coronel D. Josef Bernardo Abeleira, como también á ,mis pro clamas aprobadas por V. E., y á los ulteriores medios que he tomado. ,,Ellos han despreocupado á la multitud de indios de las seducciones cap ciosas de los caudillos y cabecillas que los atraían á su iniquo sistema, les ha inspirado l…</t>
  </si>
  <si>
    <t>Abelia, Joaquin</t>
  </si>
  <si>
    <t>Joaquin Abelia</t>
  </si>
  <si>
    <t>Gaceta de Madrid n.º 90</t>
  </si>
  <si>
    <t>…endo tanto el gozo de su buena madre que por unos instantes cayó desmayada , único azar, si tal puede llamarle, que ocurrió en jodo el curso de estas pueriles funcio ne*. Concluyó D. Joaquin Abelia con*la acción de gracias al respetable con curso, cuya presencia, lejos de cortar ó arredrar á los niños aun mas tier nos, parece les había inspirado nuevo aliento y brio para el desempeño, con el que llenaron los deseos de sus maestros, de su padres y aun de…</t>
  </si>
  <si>
    <t>Abizu, Joaquín Clarebout y</t>
  </si>
  <si>
    <t>Joaquín Clarebout y Abizu</t>
  </si>
  <si>
    <t>Gaceta de Madrid n.º 61</t>
  </si>
  <si>
    <t>…ligencia^y demas efectos correspondientes. Dios guarde á V. muchos años* Madrid i .° de Abril de 1816* El Rey nuestro Señor en con sideración á los servicios del coronel reti rado D. Joaquín Clarebout y Abizu,á su acendrada lealtad, y al amor á su Real Persona que tiene acreditasio, se ha dignado concederle el ascenso á brigadier de infantería sin goce de sueldo. La tesorería general ha pedido noticia á varias corporaciones para inda gar el paradero 6 residencia d…</t>
  </si>
  <si>
    <t>Abreu, Manuela Perez de</t>
  </si>
  <si>
    <t>Manuela Perez de Abreu</t>
  </si>
  <si>
    <t>Gaceta de Madrid n.º 160</t>
  </si>
  <si>
    <t>1412</t>
  </si>
  <si>
    <t>…ficación de armas de los apellidos de López, Gómez, Ruizo, Morano, Perez, Dominguez, López, Alvarez, pertene ciente al Sr. D. Antonio López Gómez, natural de Cádiz, y de su esposa Doña Manuela Perez de Abreu, natural de la ciudad de S. Felipe y Santia go del Bejucar, y vecinos de la Havana, por sí y en nombre de sus hijos</t>
  </si>
  <si>
    <t>Abreu, Marcos Nuñez</t>
  </si>
  <si>
    <t>Marcos Nuñez Abreu</t>
  </si>
  <si>
    <t>Gaceta de Madrid n.º 24</t>
  </si>
  <si>
    <t>…pellán de honor.de S. M. ; los cuales pusieron en sus Rea les manos la representación siguí ente • ,,Señor: Vuestro gobernador político y militar de la villa y partido de Infantes D. Marcos Nuñez Abreu tiene hoy la honra de expresar á L. R. P. de V. M. entre el entusiasmo de amor y admiración respetuosa hacia su au gusta Persona, los sentimientos mas puros de homenage y fidelidad. Cediendo, pues, al dulce impulso de ellos, y no creyendo satisfechas con ning…</t>
  </si>
  <si>
    <t>Gaceta de Madrid n.º 135</t>
  </si>
  <si>
    <t>H93 te una diputación de la villa de Infantes y de las 23 de su partido, com puesta del coronel D. Marcos Nuñez Abreu, caballero profeso de la orden de Santiago, y gobernador militar y político de ellas, asociado de los regi dores perpetuos del ayuntamiento de la capital D. Juan Antonio Melgarejo, caballero ae la orden de Alcántara, y D. Josef Tomas Ballesteros, caballe ro d…</t>
  </si>
  <si>
    <t>Abreu, Nicolás</t>
  </si>
  <si>
    <t>Nicolás Abreu</t>
  </si>
  <si>
    <t>Gaceta de Madrid n.º 113</t>
  </si>
  <si>
    <t>988</t>
  </si>
  <si>
    <t>…la na ; y fueron Josef Calixto , Miguel Gutiérrez , Josef León y Pedro de Torre?. D. Domingo Osuna é Ines Morales recibieron un egerhplar de dicha gra mática y otro del catecismo. D. Nicolás Abreu , maestro de la escuela Real, que presentó mayor nú mero de niños premiados, recibió una medalla de oro de cuatro duros, y un egemplar ia colección de muestras de D. Torcuato Torio, y otro premio igual Doña María Sosa por la misma razón. A la maestra Doña Mar…</t>
  </si>
  <si>
    <t>Abruzan, IX Joaquín</t>
  </si>
  <si>
    <t>IX Joaquín Abruzan</t>
  </si>
  <si>
    <t>Gaceta de Madrid n.º 89</t>
  </si>
  <si>
    <t>…á las vistillas de San Francisco de esta corte, señalada con el núin. 8 de la manz. 141 , con 3482 pies de sitio, v tasada en 87465 rs. Quien quisiere hacer postura acuda ante el Sr. IX Joaquín Abruzan, de! consejo de S. M., teniente conegidor de esta villa, por la escribanía de su número que ejerce D. Juan Raya. Se vende á voluntad de su dueño en el pueblo de Isnalloz, i cuatro leguas de Granada, con 700 Fanegas de tierra de regadío y calma, olivar y monte…</t>
  </si>
  <si>
    <t>Abruzan, Joaquín</t>
  </si>
  <si>
    <t>Joaquín Abruzan</t>
  </si>
  <si>
    <t>Gaceta de Madrid n.º 103</t>
  </si>
  <si>
    <t>900</t>
  </si>
  <si>
    <t>…idad ro mana , del original de Murillo, grabada por D. Temas López Enguídanos, á 60 rs. ( Se cent ¡finará.') A. instancia de varios acreedores al concurso de D. Cir os Manelía, el Sr. Don Joaquín Abruzan , del Consejo de S. M., teniente corregidor de esta villa, ha se ñalado para celebrar junta el domingo i.° del mes de betiembre en su habitación ¿ las ocho de su mañana; e ignorándose la de algunos de dichos acreedores y su exis tencia, que se les cite por me…</t>
  </si>
  <si>
    <t>Acebo, Francisco Quintana del</t>
  </si>
  <si>
    <t>Francisco Quintana del Acebo</t>
  </si>
  <si>
    <t>Gaceta de Madrid n.º 87</t>
  </si>
  <si>
    <t>741</t>
  </si>
  <si>
    <t>…uvo la honra de besar la Real mano de S. M. y felicitarle por su contratado y augusto enlace, á nombre del cabildo y ayun tamiento oe la ciudad de Tlaxcala , en el reiro de México D. Francisco Quintana del Acebo, abogado de los Reales consejos y oficial del departa mento del fomento general y balanza del comercio, quien dirigió á S. M. el discurso siguiente: ,,Señor: El cabildo y ayuntamiento de la muy roble y rruy leal ciudad de Tlaxcala , en vuestro reino de México…</t>
  </si>
  <si>
    <t>Acevcdo, Ramón</t>
  </si>
  <si>
    <t>Ramón Acevcdo</t>
  </si>
  <si>
    <t>740</t>
  </si>
  <si>
    <t>…Fr. Casto Navajas, inspirando amor y gratitud á la Real benté— cencía de nuestro Soberaro y á las tareas de la sociedad, y el poema que con el mismo objeto dijo el socio de mérito D. Ramón Acevcdo ; con lo cual, y la lectura de los trabajos de la sociedad que hizo su secretario D Josef L)iaz Pedregal y Peón, y varias letras y canciones análogas al a^urto ento nadas por la música de la santa iglesia catedral, se concluyó la junta . y se retiraron los qu…</t>
  </si>
  <si>
    <t>Acevedo, Diego Díaz de</t>
  </si>
  <si>
    <t>Diego Díaz de Acevedo</t>
  </si>
  <si>
    <t>Gaceta de Madrid n.º 55</t>
  </si>
  <si>
    <t>437</t>
  </si>
  <si>
    <t>…uel Laífore á orden de D. Feliciano Antonio de Puyada sobre D. Santiago Angel de Velasco: otra de 160 id, dada en Vitoria á 11 de Enero de 18 it por Bagnere hermanos á la orden de D. Diego Díaz de Acevedo sobre D. Pedro Baille1 y compañía, de Madrid: otra de dos doblones dada en París en 15 de Julio de 1811 por Seiliá á la orden de D. Diego Carrere á cargo de los señores hermanos Barthel'emy , ce Madrid: otra tercera de 8973 rs. plata, dada en Cádiz el 18 de O…</t>
  </si>
  <si>
    <t>Acosta, Rafael de</t>
  </si>
  <si>
    <t>Rafael de Acosta</t>
  </si>
  <si>
    <t>Gaceta de Madrid n.º 11</t>
  </si>
  <si>
    <t>…de Monteagudo á D. Francisco Fernandez Molina: para la de Mombeltran á D. Benito Gabriel de Aguilera: para la de Rioseco á D. Antonio Romero Prieto: para la de Navas del Marques á D. Rafael de Acosta: para la de Villafrechos á D. Juan García Barba: para la de Motril á D. Josef Manzano Márquez: para la de Iznajar á D, Josef Manuel Sánchez del Aguila: para la de Alarcon á D. Alonso Ramón Rubio: para la de Alaejos á D. Juan Rabanal y Hevia: para la de Torrel…</t>
  </si>
  <si>
    <t>Acuña, Fernando</t>
  </si>
  <si>
    <t>Fernando Acuña</t>
  </si>
  <si>
    <t>Gaceta de Madrid n.º 83</t>
  </si>
  <si>
    <t>PDF p. 11</t>
  </si>
  <si>
    <t>…D. Marcos Unzue uno: D. Manuel García ur.o: D. Juan Ocon uno: D. Manuel Cono uno: D. Fernando Carrillo uno: D. Josef Cantalapiedr» uno: D. Tomas Medina uno: D. Josef Salinas uno: D. Fernando Acuña uno: D. Nicolás Suarcz dos: D. Josef Robles uno: D. Blas López cuatro: el mar ques de Villadangos dos : e! marques de Castrojanillos dos: D. Josef Quiño nes dos: D. Claudio Quijada dos: D. Bernardo Escovar dos: D. Manuel Lorenzana uno : el provisor dos : los…</t>
  </si>
  <si>
    <t>Adan, Juan</t>
  </si>
  <si>
    <t>Juan Adan</t>
  </si>
  <si>
    <t>Gaceta de Madrid n.º 140</t>
  </si>
  <si>
    <t>PDF p. 10</t>
  </si>
  <si>
    <t>…- - ----- - - ---------—'.............. .............. -........ i. ------------El dia r4 de Junio ultimo falleció en esta corte, á los 75 años, tres me ses y 14 dias de su edad , D. Juan Adan, primer escultor de S. M. , v direc tor de las academias pontificia de S. Lucas de Roma y Real de S. Fernan do de esta corte. Nació el i.° de Marzo des 1741 en la ciudad de Tarazona de Aragón; y trasladado á Zaragoza , se colocó bajo la enseñanza de D. Jo sef…</t>
  </si>
  <si>
    <t>Adhemar, Mauricio de</t>
  </si>
  <si>
    <t>Mauricio de Adhemar</t>
  </si>
  <si>
    <t>PDF p. 3</t>
  </si>
  <si>
    <t>…ue no ha muerto, todavía permanece cerrada la casa en que habita. FRANCIA. 'Neufbrisack 16 de Enero. El dia 22 de este mes se formó en cuerpo la legión del alto Rhin al man do del conde Mauricio de Adhemar. El mariscal de campo Mallet, coman dante superior del departamento, deseoso de dar á esta ceremonia toda la so lemnidad y el respeto que inspira la augusta religión , hizo que concurriese la tropa á la iglesia; y habiendo oido una misa rezada del Espíritu Sa…</t>
  </si>
  <si>
    <t>Adinero, Juan</t>
  </si>
  <si>
    <t>Juan Adinero</t>
  </si>
  <si>
    <t>Gaceta de Madrid n.º 100</t>
  </si>
  <si>
    <t>…escribanía del. número de D. Claudio S.nz, en razop &lt;!c que se declaren de su pertenencia cuatro vales Reales de 600 pe-sos de la creación de i.d de Tunero de 1808 , encabezados á D. Juan Adinero, señalados con los números 363743» 364806, 360339 y 373375 , y últimamente endosados el pnnVero á los señores viuda de R. Boon é hijos, de Cádiz; el segundo á D. Nico lás Billester y Flotats; el tercero á D. Tomas de Urruti.i, y el cuarto í D. Josef Gallinaus…</t>
  </si>
  <si>
    <t>Adriaensens, Manuel María</t>
  </si>
  <si>
    <t>Manuel María Adriaensens</t>
  </si>
  <si>
    <t>Gaceta de Madrid n.º 18</t>
  </si>
  <si>
    <t>…dadas en Murcia á favor del señor conde de Selvaflorida, y endosadas á D. Manuel Martínez Arroyo: dos dadas en Sevilla, la primera á favor del. Sr. D. Miguel de Tovia, endosada al Sr. D. Manuel María Adriaensens, y después á los,señores Gargollo» hermanos : la segunda Á favor del Sr. D. Pedro Orduña, y endosada para los de la primera: seis dadas en Cádiz á favor de los señores Gargollb y hermanos, endosados al Sr. D. Manuel María Adriaensens: una dada en Santiago á f…</t>
  </si>
  <si>
    <t>Adriano</t>
  </si>
  <si>
    <t>Gaceta de Madrid n.º 42</t>
  </si>
  <si>
    <t>….; y la tercera en la calle de Carretería, núm. 5, manz. 112 , su sitio 79! varas cuadradas, y su valor 15310 rs. vn. Quien quisiere comprarlas juntas ó separadas podrá tratar con D. Adriano de las Barcenas, calle Mayor, frente á la casa del Excmo. Sr. conde de Oñate, y en Málaga con D. Cristóval Chacón, oficial mayor interventor de correos; previniéndose que en caso dé permuta se abonará en dinero el exceso si lo hubiese. fin Abril de 1812 se au…</t>
  </si>
  <si>
    <t>Affry</t>
  </si>
  <si>
    <t>643</t>
  </si>
  <si>
    <t>…ya de Marsella Mr. Cromot después de firmar el acta de la entrega de S. A. R. la Duquesa de Berry. Lord Wellington tuvo ayer una audiencia del Rey, que duró cerca de dos horas. El coronel Affry ha marchado á León para mandar los batallones suizos destinados á recibir á S. A. R. la Duquesa de Berry. Se asegura que han sido arrestados cerca de Thonon los generales Desaix y Favre, y que se les ha conducido á Chamberí. Las tropas prusianas que se habían…</t>
  </si>
  <si>
    <t>Agnete, Josef</t>
  </si>
  <si>
    <t>Josef Agnete</t>
  </si>
  <si>
    <t>Gaceta de Madrid n.º 128 (extraordinaria)</t>
  </si>
  <si>
    <t>1131</t>
  </si>
  <si>
    <t>…meritorios D. Sixto Tomaseti y D. Jo sef Gómez Roldan. Graduaciones, Graduación de oficial primero al segundo D. Miguel Sarmiento; gra duación de oficiales segundos á los terceros D. Josef Agnete y D. Josef Mi lian; graduación de tercero al cuarto D. Francisco Cerquero; graduación de cuarto al quinto D. Antonio Pascual la Peña, y graduaciones de oficiales quin tos á los meritorios D. Rafael Riaño, D. Manuel Sánchez Pinete y D. Mi guel Josef de Quevedo. DEPARTAMENTO…</t>
  </si>
  <si>
    <t>Agredano, Francisco Romero de</t>
  </si>
  <si>
    <t>Francisco Romero de Agredano</t>
  </si>
  <si>
    <t>Gaceta de Madrid n.º 29</t>
  </si>
  <si>
    <t>…r al referido D. Antonio Clavería por un gobernador zeloso y justo, y que en consecuencia se publique asi en los papeles públicos para su buena memoria y consuelo de su familia. A D. Francisco Romero de Agredano, segundo teniente retirado de las compañías de artilleros provisionales en Cádiz, ) oficial mayor de la admi nistración de correos de dicha ciudad, ha tenido á bien el Rey concederle el permiso de poder usar la decoración de la Lis con que-S. M. Cristianísima…</t>
  </si>
  <si>
    <t>Aguado, Antonio de Góngora y</t>
  </si>
  <si>
    <t>Antonio de Góngora y Aguado</t>
  </si>
  <si>
    <t>Gaceta de Madrid n.º 32</t>
  </si>
  <si>
    <t>…pre sentantes; con apercibimiento de que en su defecto les parará el perjuicio que ha ya lugar lo que por los demas se resol viere. Habiendo fallecido el 10 de Febrero de este ano D. Antonio de Góngora y Aguado, vecino que fue de la villa de Cehegin, en el reino de Murcia , el que era poseedor de 17 vinculaciones, y no dejando sucesor conocido para ellas mas que un hermano que tuvo llamado D. Francisco de' Góngora y Aguado, natural de dicha villa de Cehegin, e! que…</t>
  </si>
  <si>
    <t>Aguado, Josef</t>
  </si>
  <si>
    <t>Josef Aguado</t>
  </si>
  <si>
    <t>Gaceta de Madrid n.º 96</t>
  </si>
  <si>
    <t>832</t>
  </si>
  <si>
    <t>…individuos. Luego que el cabildo de aquella iglesia catedral y el convento de PP. dominicos de la misma tuvieron noticia de esta gracia, nombraron una diputación compuesta del Dr. D. Josef Aguado, arcediano de Olmedo, dignidad de la misma santa iglesia, de D. BartoloméGarcimartin, canónigo de la misma , y del Riño. P. Mtro. Fr. Pedro Ramirez, prior de dicho convento, para que en nombre de las corporaciones de que son in dividuos pasasen á la corte i c…</t>
  </si>
  <si>
    <t>Aguado, Victoriano</t>
  </si>
  <si>
    <t>Victoriano Aguado</t>
  </si>
  <si>
    <t>Gaceta de Madrid n.º 78</t>
  </si>
  <si>
    <t>…emas. Los partidos de médico y cirujano de la villa de Moratilla, provincia de Gua dalajara, y cinco leguas de esta ciudad, se hallan vacantes, y se dirigirán los pre tendientes á D. Victoriano Aguado, procurador síndico general de dicha villa, has ta 2 del próximo mes de Julio, en que se han ue proveer: su vecindario es de 130 vecinos. La dotación del médico son 4^ rs. vn. y 20 fanegas de tilgo, cobrado y pagado todo por tercios por Ja justicia. la del ci…</t>
  </si>
  <si>
    <t>Aguayo, Juan Carrillo y</t>
  </si>
  <si>
    <t>Juan Carrillo y Aguayo</t>
  </si>
  <si>
    <t>Gaceta de Madrid n.º 131</t>
  </si>
  <si>
    <t>…res 60. El gremio de especieros 760 rs. y 10 inrs. El mariscal de camoo D. To mas Zerain i^oo rs. D. Francisco Beltran de Guevara 160. D. Rafael Crespo ico. D. josef Herrera 120. D. Juan Carrillo y Aguayo 70. D. Miguel Mu ñoz 320. D. Rafael Juanicotena 1$. D. Andrés de León 100. D. Antonio Ru iz 60. D. Angel del Riego 100. Geraido de la Fuente ^o. D. Juan de Pa nlagua 60. El colegio de escribanos 1500. D. Juan Xerez Palomo 40. D. Ber nabé Notario 160 D. Juan X…</t>
  </si>
  <si>
    <t>Agudo, Francisco</t>
  </si>
  <si>
    <t>Francisco Agudo</t>
  </si>
  <si>
    <t>…percibida por Moreda *. 17490 rs. entregados al mismo de las multas impuestas por la sala, y destinadas para este efecto : 1600 rs. entregados por la comisión á Moreda para dar á D. Francisco Agudo, uno de los agraciados, á virtud de una Real orden,y 10075 rs. suplidos por el mismo para integrar á los arte sanos. Importa todo i8o©rs. ' . ■' :j DATA. Cuarteles. _ Maravillas. D. Juan Pardo y Manuel Arias, maestros de coches; Simón Rivas y Felipe_ Corral,…</t>
  </si>
  <si>
    <t>Agüe, Antonio de</t>
  </si>
  <si>
    <t>Antonio de Agüe</t>
  </si>
  <si>
    <t>…. Martin de Zaldivar, D. Juan Alonso Espino, conde de Calatrava, marques de Casa-boca , y marques de Corpas. Mayordomos de semana Al barón de Carondelet, al conde de Casa-Rojas, á D. Antonio de Agüe ra y Mollinedo , D. Gaspar María Soler y Arcayo, y D. Josef Bruno Mag dalena. Ayudas de cdmara A D. Nicolás Arguelles , D. Domingo Izquierdo y Morales, D. Francis co Hernández y Nogues y D. Joaquín Montujar y Larrea. NOTA. Las gracias que se han expedido por…</t>
  </si>
  <si>
    <t>Agüete, Manuel</t>
  </si>
  <si>
    <t>Manuel Agüete</t>
  </si>
  <si>
    <t>Gaceta de Madrid n.º 40</t>
  </si>
  <si>
    <t>…a sola familia, siendo igual la unión que hemos tenido los tres generales. x „ Ei capitán de fragata D. Torcuato Piedrola y ios oficiales segundo y quinto del ministerio de Marina D. Manuel Agüete y D. Josef María Moró te, que han estado empleados en Sta. Marta y Puerto-Cabello en la recolec ción, apresto y remisión de subsistencias, han desempeñado sus encargos con una actividad y zelo'que ha interesado mucho al servicio, y merecen sé les tenga en consideración para sus as…</t>
  </si>
  <si>
    <t>Gaceta de Madrid n.º 41</t>
  </si>
  <si>
    <t>…mada correspondiente, y los efectos para las operaciones , sin que hubiese sugetos capaces sobre los cuales se des cansase. Para este fin quedó en Puertocabello el oficial segundo D. Manuel Agüete, y en Sta. Marta el quinto D. Josef Morete, á las órdenes del capi tán de fragata D. Toreuato Pjedrola, todos con mucha repugnancia, por que deseaban pasar los trabajos al lado de sus compañeros. Si la elección ha sido acerrada, lo demostrará la puntualidad c…</t>
  </si>
  <si>
    <t>…D Sebastian Garrido:el de ayudante de contra- maestre de construcción á D. Manuel Abaida , capataz de carpin teros de Ribera: el de oficial primero del cuerpo político de marina a Don Manuel Agüete; y el de la propiedad de oficial quinto del mismo á D. Tuan Morote, que era honorario. Premios de cruces de la Real Orden de Isabel la Católica, y de la de Marina. Para comendadores de la primera al capitán de navio D. Josef de Salas, y que se tenga presente…</t>
  </si>
  <si>
    <t>Aguiar, Juan Bautista</t>
  </si>
  <si>
    <t>Juan Bautista Aguiar</t>
  </si>
  <si>
    <t>Gaceta de Madrid n.º 45</t>
  </si>
  <si>
    <t>…s, 300 camisas, roo pares de zapatos para la división auxiliar de Asturias, el equipo de ios tambores y otros socorros al regimiento de Compostela, del que era coro nel su sobrino D. Juan Bautista Aguiar, y otras infinitas cantidades distri buidas en aquellos dias de escasez á varios individuos del egército y otros. Con sus bienes patrimoniales fundó una escuela de primeras letras y una cá tedra de gramática; y al morir ha querido que sus bienes propios se di…</t>
  </si>
  <si>
    <t>Aguiar, Vicente María</t>
  </si>
  <si>
    <t>Vicente María Aguiar</t>
  </si>
  <si>
    <t>…arios del Despa cho de Marina D. Josef Vázquez Figueroa, y de Hacienda D. Manuel Ló pez Araujo. r- f &lt; Cruces supernumerarias i A D. Antonio Colomer de Prades, natural de Morelfe; D. Vicente María Aguiar , dignidad de la catedral de Mondoñedo ; D* Juan JosefiFagoaga, ve cino de México ; D. Juan PedraGómez, natural de Talavera de la Reina; D. Francisco de Paula Aguilar y Nava , regidor de la ciudad de Ubeda; Don</t>
  </si>
  <si>
    <t>Aguiíar, Josef Julio de</t>
  </si>
  <si>
    <t>Josef Julio de Aguiíar</t>
  </si>
  <si>
    <t>Gaceta de Madrid n.º 84</t>
  </si>
  <si>
    <t>…su aplicación é instrucción D Eusebio Campuzano, D. Luis Piernas, P. Josef María Ruiz, P. Antonio Regidor, P. Manuel de Luque Castilla, P. Bartolomé Madrid, P. Patricio Macores y D. Josef Julio de Aguiíar; ú estos siguieron 17 del li bro 4.0 para pasar al “).% los que dieron pruebas de su suficiencia en cuanto fiieron preguntados , con especialidad P. Andrés Valderrama , P. Josef Co bos , P Pedro Ariza, P. Andrés Olaigui, D. Andrés Sotomayor, P. Franciccode Sa…</t>
  </si>
  <si>
    <t>Aguila, Luis del</t>
  </si>
  <si>
    <t>Luis del Aguila</t>
  </si>
  <si>
    <t>…ar, y al R. obispo de Guadalajara de Indias D. Juan Cruz Ruiz de Cabañas. Comendadores. El conde de Santiago de Calimaya, el coronel D. Juan Josef García de Santiago y Machón , ei coronel D. Luis del Aguila, el brigadier de la Real Armada D. Santiago de Irisarri, el brigadier D. Torcuato Trugillo, el capítan de Navio D. Domingo Monteverde, el canónigo de la santa iglesia de To ledo D. Isidoro Sainz de Alfaro, el brigadier D. Josef Cevallos, y D. Josef Matías de…</t>
  </si>
  <si>
    <t>…la gaceta extraordinaria del domi»go 13 del corriente, pág. 1127, lín. gdonde dice marques de la Ramilla, léase marques de la Rambla', y en Ja misma pág., lín. 1 2 , donde dice el coronel D. Luis del Aguila, léase el brigadier D. Luis del Aguila. EN LA IMPRENTA REAL.</t>
  </si>
  <si>
    <t>Aguilar, Erancisco</t>
  </si>
  <si>
    <t>Erancisco Aguilar</t>
  </si>
  <si>
    <t>…conocido; ESPAÑA. Madrid j $ de Mayo. El dia 19 del pasado tuvo la honra de felicitar á S. M. por su contrata do y augusto enlace en nombre de la villa de Benaojan su comisionado Don Erancisco Aguilar, quien dirigió á S. M. el discurso siguiente: ,,Señor: Si Ips sentimientos del corazón pudiesen expresarse con el órgano de la voz, este seria el propio momento en que la villa de Benaojan y sus ve cinos, en la serranía de Ronda, desplegaran ansiosos la efusi…</t>
  </si>
  <si>
    <t>Aguilar, Francisco Martínez de</t>
  </si>
  <si>
    <t>Francisco Martínez de Aguilar</t>
  </si>
  <si>
    <t>Gaceta de Madrid n.º 105</t>
  </si>
  <si>
    <t>920</t>
  </si>
  <si>
    <t>…a averiguar su establecimiento en Cavite sin fruto alguno, y teniendo que comunicarle á él ó sus herederos cosas que les in teresan , se suplica al que sepa su paradero lo avise i D. Francisco Martínez de Aguilar, del comercio de libros de Málaga. La persona que supiere el paradero de D. Antonio María Santos, oficial del re gimiento de infantería de Castilla, que fue hecho prisionero en la rendición de la ciudad de Valencia, y conducido á Pau , ciudad de Francia, se s…</t>
  </si>
  <si>
    <t>Aguilar, Juan de Dios</t>
  </si>
  <si>
    <t>Juan de Dios Aguilar</t>
  </si>
  <si>
    <t>1131 Honores de auditores de departamento, A D. Juan de Dios Aguilar, maestrante de Ronda, y alcalde mayor de Xerez de la Frontera; D. Pedro Reinoso, auditor de marina de Vera; Don Joaquín Wuster de Velasco, auditor de marina de Vera , y D. Manuel Benitez , abogado de los Reales Consejos, residente en la Havana, habilitado de…</t>
  </si>
  <si>
    <t>Aguilera, Benito Gabriel de</t>
  </si>
  <si>
    <t>Benito Gabriel de Aguilera</t>
  </si>
  <si>
    <t>…Villagarcía á D. Josef Martínez Sarabia: para la de Arroyo del Puerco á D. Pedro Alzorriz Morgado : para la de Monteagudo á D. Francisco Fernandez Molina: para la de Mombeltran á D. Benito Gabriel de Aguilera: para la de Rioseco á D. Antonio Romero Prieto: para la de Navas del Marques á D. Rafael de Acosta: para la de Villafrechos á D. Juan García Barba: para la de Motril á D. Josef Manzano Márquez: para la de Iznajar á D, Josef Manuel Sánchez del Aguila: para la…</t>
  </si>
  <si>
    <t>Aguirre, Josef María de</t>
  </si>
  <si>
    <t>Josef María de Aguirre</t>
  </si>
  <si>
    <t>PDF p. 2</t>
  </si>
  <si>
    <t>…rdia; á los oficiales de la secretada del Despacho de Hacienda D. Francisco Icabaleerá, D. Josef Goicoechea, D. Justo Josef Banqueri, D. Luis López Ballesteros y D. Manuel Corte*; D. Josef María de Aguirre, teniente goberna dor subdelegado de Rentas de Cantabria; D. Antonio Reguera., regidor de la Coruña; D. Mariano Moxo, maestrante de Ronda, y D. Francisco Durango, vecino de Santander. Cruz de mimero A D. Genaro Azcona y Balanza, oficial 'segundo primero de la…</t>
  </si>
  <si>
    <t>Aguirre, Mafias de</t>
  </si>
  <si>
    <t>Mafias de Aguirre</t>
  </si>
  <si>
    <t>Gaceta de Madrid n.º 66</t>
  </si>
  <si>
    <t>…Cóporo al capitán de Realistas de la hacienda de la Barranca L&gt;. Martin Montero de Arritola con otros dos, hizo salir la madrugada del 17, con el objeto de libertarlo, al teniente coronel D. Mafias de Aguirre, y este activo gefe lo consiguió entre Tlalpuxahua y Angangueo,y ademas libertó también á otros 20 infelices que llevaban al mismo punto de Cóporo, extraídos de varias rancherías y pue blos , apresando al teniente de rebeldes Felipe Pico, que era el que los c…</t>
  </si>
  <si>
    <t>Aguirre, Matías</t>
  </si>
  <si>
    <t>Matías Aguirre</t>
  </si>
  <si>
    <t>…res, confirmó el concepto de que Morelos seguida el Mexcala para buscar á Tehuacan. Entre tanto, y para asegurar el territorio que antes cubría Concha, se mandó situar al teniente coronel D. Matías Aguirre con una división en S. Felipe del Obrage, y al mismo tiempo se dispuso que las guarniciones del valle de Toluca, de Chalco, Cuautla, Cuernavaca y toda la línea de puestos al sudoeste de esta ca pital se pusiesen en acción , como lo verificaron, formando una l…</t>
  </si>
  <si>
    <t>…ceso desgra ciado que causó la prisión del capitán D. Martin Montero de Arritola en el pueblo de Coroneo. Con fecha 26 de Octubre desde la hacienda de Teperitlan dice el tenien te coronel D. Matías Aguirre, que habiendo dado orden ai alférez D. Esté-</t>
  </si>
  <si>
    <t>Aguirre, Simón Perca</t>
  </si>
  <si>
    <t>Simón Perca Aguirre</t>
  </si>
  <si>
    <t>Gaceta de Madrid n.º 71</t>
  </si>
  <si>
    <t>…l día 2 del corriente tuvieron también la honra efe cumplimen tar á S. M. por igual motivo en nombre del cabildo de la santa iglesia care&gt;«fral de Jaén los canónigos de ella Dres. D. Simón Perca Aguirre y D. Miguel de les Santos Ballesteros, acompañados del Excmo- Sr. duque de Monte mar; y de ellos el- primero dijo r ,, Señor : Él cabildo de la catedral de Jaén , que en todos tiempos ha pro** curado dar á V. \í. y á sus augustos progenitores pruebas nada equívocas de su…</t>
  </si>
  <si>
    <t>Agui’a, Pedro Antonio García de</t>
  </si>
  <si>
    <t>Pedro Antonio García de Agui’a</t>
  </si>
  <si>
    <t>373</t>
  </si>
  <si>
    <t>…lía del crimen de la audiencia de Cuba, por fallecimien to de D. Josef Antonio Zaldivia, á D. Josef Mariano García Valero: la fis calía de! crimen de la Real audiencia de Manila á D. Pedro Antonio García de Agui’a é Icaza; y la de lo civil de la propia audiencia á D. Ramón de Pomar é Hidalgo. El Rey nuestra Señor ha tenido á bien nombrar coronel del reoimiento provincial de Bujalance á D. Carlos de Vargas , teniente coronel de la cuar ta división de granaderos y cazado…</t>
  </si>
  <si>
    <t>Agus</t>
  </si>
  <si>
    <t>…bre se entregase la plaza á discreción.” •# El Rey se ha servido nombrar para !a djgnidád dé. maestrescuela de ih santa iglesia catedral de Chiapa, ert Goátemala, por promoción dé D. Agus tín Maza y Paz á la de chantre de la misma, á D. Josef Serrano'Sánchez; y para la dignidad de arcediano de la santa iglesia catedral de Valladolid de Mechoacan, por fallecimiento de D. Mariano Escando y Llera , á D, Ma nuel de la Barcena. . ; Igualmente se ha…</t>
  </si>
  <si>
    <t>Gaceta de Madrid n.º 82</t>
  </si>
  <si>
    <t>691</t>
  </si>
  <si>
    <t>…en recibos: el conde de Noblejjs 79© y mas rs. que la tesorería le debía de atrasos por el sueldo de proveedor ge neral de armadas: un vecino de Oviedo 7180 rs. en tres abonarés: D. Agus tín Iglesias Cervantes, presbítero, beneficiado de Cardeñosa, ha ceddo 12725 rs. y 17 mrs de réditos vencidos de su capellanía: el cabildo di be neficiados de Sta. María de Ronda un vale Real de 150 peso^: los vecinos de la villa de Sahagun 2236 rs. y 32 mrs.…</t>
  </si>
  <si>
    <t>Agus, Josef</t>
  </si>
  <si>
    <t>Josef Agus</t>
  </si>
  <si>
    <t>Gaceta de Madrid n.º 120</t>
  </si>
  <si>
    <t>…el corriente se supo en esta dudad la plausible noticia de la feliz llegada á Cádiz de la Reina nuestra Señora y de la Serma. Sra. In fanta Doña Maria Francisca de Asís, cuando el coronel D. Josef Agus tín de Llano, el coronel graduado teniente coronel mayor D. Gregorio de Cacares y oficialidad del regimiento de Pavía, cuarto de dragones, acuar telado en esta ciudad, llenos de gratitud al Todopoderoso por tan singular beneficio, se apresuraron á dar á su di…</t>
  </si>
  <si>
    <t>Agustín, Antonio</t>
  </si>
  <si>
    <t>Antonio Agustín</t>
  </si>
  <si>
    <t>Gaceta de Madrid n.º 107</t>
  </si>
  <si>
    <t>940</t>
  </si>
  <si>
    <t>…Ferreras. —Cuaderno 3.0: Hernán Cortés, Garcilaso de la Vega, D. Alonso de Ercilla, D. Pedro Calderón de la Barca, Miguel de Cervantes Saavedre, y D. Jo&gt;sef Patino.— Cuaderno 4.0: D. Antonio Agustín, D. Sancho Dávila, D. Juan de Austria, D. Alvaro de Bazan, Antonio de Nebrija, y D. Pedro Menendez Avilés.zzCuaderno 5 °: D. Juan de Austria, Fr. Luis de Granada, Martin de Alpizcueta, Pedro Chacón, D. Bernardino de Rebolledo, y D. Luis de Góngora.= Cuaderno…</t>
  </si>
  <si>
    <t>Ahrtu, Rafael de</t>
  </si>
  <si>
    <t>Rafael de Ahrtu</t>
  </si>
  <si>
    <t>Gaceta de Madrid n.º 69</t>
  </si>
  <si>
    <t>…S. M. □ besar su Real mano y felicitarle por su contratado y augusto enlace á nombre del ayuntamiento de la ciudad de Iluete , en la provincia de Cuenca , slw comi sionados el Dr. D. Rafael de Ahrtu v del Moral, corregidor, capitán á guer ra , subdelegado de todas rentas Reales, montes , plantíos y pósitos de dicha ciudad y su partido, y 1). Jostf d~ Briones y Verdejo, regidor perpetuo subdecano del mismo i de los cuales ei primero arengó a S. M. en esto…</t>
  </si>
  <si>
    <t>Aibarran, Tomas</t>
  </si>
  <si>
    <t>Tomas Aibarran</t>
  </si>
  <si>
    <t>Gaceta de Madrid n.º 37</t>
  </si>
  <si>
    <t>…tibañez , el asesor , abogados y promotor D. Vicente Amonio de la Grandara, D. Francisco Alfonso Rodríguez, D. Sebastian-de la*- Peñas y D. Sebastian de Iglesias el alguacil mayar D. Tomas Aibarran , el escribano D~ Pedro J3Iazquez. Tova l, el visitador D. Gerónimo Salgado, el escribana D. Francisco Yangiie j3ecerril&gt; los alcaldes que fueron del Espinar D. Juan</t>
  </si>
  <si>
    <t>Aibear, Manuel Rivas</t>
  </si>
  <si>
    <t>Manuel Rivas Aibear</t>
  </si>
  <si>
    <t>…Nestrosa , O. Antonio Castillo de Lerin, apoderados del conde de Vistaflorida, de D. Josef Manuel de Trevilla, D. Josef Rubiano y otros consortes, acreedoies á la testamentaria de D. Manuel Rivas Aibear, vecino y del comercio que fue de esta corte, al defensor de los demas acreedores ausentes, á D. Agustín Caballero y Rivas, socio principal de la casa y comercio titulada Rivas, Pena y compañía, y á los demas que sean interesados en la ocurrencia á la expresa…</t>
  </si>
  <si>
    <t>Aíí-ponzoni, Fabio</t>
  </si>
  <si>
    <t>Fabio Aíí-ponzoni</t>
  </si>
  <si>
    <t>Gaceta de Madrid n.º 155</t>
  </si>
  <si>
    <t>…ci, año de iSió. — Nuevo pla no del puerto de Veracruz , levantado en 1807 de orden del difunto capitán de na vio de la Real armada D. Ciríaco de Cevailos por el teniente de navio D. Fabio Aíí-ponzoni, publicado en la Dirección de hidrografía en 1816. Se hallarán en Ma drid en el despicho de obras de la Dirección hidrográfica, calle de Alcalá; en Cá diz en el deposito particular, casa de la Camorra; en las academias de Ferrol y Cartagena, y en los colegios…</t>
  </si>
  <si>
    <t>Aillon, Josef Valentín</t>
  </si>
  <si>
    <t>Josef Valentín Aillon</t>
  </si>
  <si>
    <t>Gaceta de Madrid n.º 91</t>
  </si>
  <si>
    <t>…onado, que con este motivo dió muestras de mucha destreza y habilidad. Noticia de las personas y corporaciones que han felicitado d S. M, en es ta villa de Sace don. El presbítero D. Josef Valentín Aillon , cura párroco de ia villa de Sacedon , en compañía de los eclesiásticos de dicha villa. El alcalde mayor y un diputado de la villa de Brihuega. Las corporaciones del clero y ayuntamiento de Budia. La justicia y ayuntamiento de ora. María de Poyos con su teni…</t>
  </si>
  <si>
    <t>Aillon, Mariana</t>
  </si>
  <si>
    <t>Mariana Aillon</t>
  </si>
  <si>
    <t>. 11^3 Doña Mariana Sánchez fo. D. Bernabé Sánchez Jo. Doña Catalina de la Ri ca 50 Doña Mariana Aillon óo. Doña María de Castro 60- Juan de Cam pos Ruiz 40. D. Francisco Bejar 40. Josef Beímar 40. Sebastian Moreno 40. Juan Espinosa Tellez 50* Doña Isabel Gerónima Zamorano 100. D. Anto nio Ortiz Calvento 50. D. Pedro Josef Zamorano 160. Pedro Alfonso Clavijo i®…</t>
  </si>
  <si>
    <t>Ainat, Rafael</t>
  </si>
  <si>
    <t>Rafael Ainat</t>
  </si>
  <si>
    <t>Gaceta de Madrid n.º 133</t>
  </si>
  <si>
    <t>…a, del vicario eclesiástico D. Joaquín Rafael Gaitan, y de los presbíteros Don Miguel Zamorano y D. Antonio Sanz Pastor; y otra de la ciudad de Jaén representada por su corregidor D. Rafael Ainat, los cuales repitieron áS.M* y A. R. las mismas expresiones de respeto, amor y sumisión. Al dia siguiente habiéndose detenido S. M. y A. R. en la mis'ma, ciudad, se dignaron admitir también á su presencia una diputación de la villa de Menjivar, compuesta de D…</t>
  </si>
  <si>
    <t>Ainetiler, Blas</t>
  </si>
  <si>
    <t>Blas Ainetiler</t>
  </si>
  <si>
    <t>…:¡ la gaceta antericr sets en pliego marca imperial. En pliego de marca mayor. La t; za dei Avestruz, original de Eoucner, primer pintor del Rey de 1* rancia Luís xv , grabada per D. Blas Ainetiler, i 4o rs*__La pesca del Cocodrilo , original deí mismo, cribada por D. PrdsoMo á 40.—El Cristo de la Paz, dibujada y grabada per D. Juan Antonio C.armera, í 20----Jtsus, María y Josef, original de Murillo , gis inda per D. Juan Aun.pío Car mona , i 1 2.„_ Nue…</t>
  </si>
  <si>
    <t>Ajfarci, Narciso Bosch y</t>
  </si>
  <si>
    <t>Narciso Bosch y Ajfarci</t>
  </si>
  <si>
    <t>…parará el debido peíjuicio; y los sugetos á cuyo taTror’tienen dichos vales su ulti mo endoso son los siguientes: uno de. 60 o pesos de i.° de Setiembre de 1809 ,.nú mero 9458, á D. Narciso Bosch y Ajfarci: uno de 300 ídem de ídem, «úm. 23350^ á Doña María Saehz y Jíeredia: otros'dos ídem de i.° de Setiembre de 1808 á j). Agustín Frutos, número* 31071 y 70935: dos de Ia.de 1;.® de ídem de 1809 á los herederos de D. Angel Perez, números 34877 y 42209: otrocreaci…</t>
  </si>
  <si>
    <t>Al, Fclix Flores</t>
  </si>
  <si>
    <t>Fclix Flores Al</t>
  </si>
  <si>
    <t>Gaceta de Madrid n.º 92</t>
  </si>
  <si>
    <t>791</t>
  </si>
  <si>
    <t>…los, ex-cura de Car cuitar o , lucho por el Sr. auditor de *;« rr.t D. V/guel Bataller, que intervino en la respectiva á la utrzs dice ion unida de conjuez con el Sr. provisor Dr. D. Fclix Flores Al torre , y por sí para la de la capitanía general. Era natural de Vaiiadoiid, hijo de un carpintero de la misma ciudad,</t>
  </si>
  <si>
    <t>Al, Infante</t>
  </si>
  <si>
    <t>Infante Al</t>
  </si>
  <si>
    <t>Gaceta de Madrid n.º 43</t>
  </si>
  <si>
    <t>zones de sus vasallos. En esíe acto llegó también el Sermo. Sr. Infante Al mirante general, quien como gefe de todo el cuerpo de la Real armada acompañó á S. M. seguido de la oficialidad en el examen mas menudo y prolijo que se dignó S. M. practicar de las cuadras de ambos cuarteles , re partimiento de gente en ellas, estado de uten…</t>
  </si>
  <si>
    <t>Al, Joaquín</t>
  </si>
  <si>
    <t>Joaquín Al</t>
  </si>
  <si>
    <t>Gaceta de Madrid n.º 57</t>
  </si>
  <si>
    <t>…ta á la de Santa María, luim. 55, apreciada en Diciembre de 813 en 270564 rs; para tratar de su ajuste se acudí al administrador de las monjas de la Concepción de dicha ciudad. El Sr. D. Joaquín Al mazan y Xitneno, del consejo de S. M., teniente corregi dor de esta villa, á quien está cometido el cumplimiento de una Real facultad, según se anunció en la gaceta del dia 1 2 de Marzo anterior, para la subasta de una casa sita en la ciudad de Jaén, en la ca…</t>
  </si>
  <si>
    <t>Al, Joaqüin de</t>
  </si>
  <si>
    <t>Joaqüin de Al</t>
  </si>
  <si>
    <t>Gaceta de Madrid n.º 102</t>
  </si>
  <si>
    <t>…ticia, y de no hacerlo les parará el perjuicio que haya lugar. tíabiénd &gt;se duio cuenta á los Señores del Real y supremo.Consejo en sala de Provincia del remate celebrado ante -el Sr. D. Joaqüin de Al mazan* del Copsejo de S. M., teniente corregidor de esta villa, eji 17 def pasado, de .yna v*ra de alguacil de la Real casa y como , civil y criminal, perpetua ppr juro de heredad, que sirvió como propii Juan Ezequiel Salamanca , tasada en 40$ rs. vn., y fue…</t>
  </si>
  <si>
    <t>Al, Josef García</t>
  </si>
  <si>
    <t>Josef García Al</t>
  </si>
  <si>
    <t>Gaceta de Madrid n.º 48</t>
  </si>
  <si>
    <t>…cor á D. Antonio María de Rodas: para la de las Peñas de S. Pedro de nueva creación á D. Fernando Antonio Navarro : para la JsSacedon á D. Mariano Robledo: para la de Villablino á D. Josef García Al fonso: para la de la villa del Cerro á D. Antonio Morco é loza: para la del Burgo de Osma á D. Juan Galban Valiente: para la de Gerga á D. Miguel Antonio Compani; y para la de Cerezo á D. Josef Giménez Echevarría. Se halla vacante ía plaza de maestro de prime…</t>
  </si>
  <si>
    <t>Al, Josef Ventura</t>
  </si>
  <si>
    <t>Josef Ventura Al</t>
  </si>
  <si>
    <t>…D. Eusebio Domingo de Urquíio, D. J &lt; se f Vidal y Garri ga, D. Francisco Arger é hi,ps, D. Agustín Alecrín, D. Domingo Pérez é hijo, D. Micuel Alvarez de Pazos^D. Carlos Buzzoni, D. Josef Ventura Al» ¡, D Fidel M» rago y D. Jai me Ordeig, tenedores de un vale Real de 6c o pesos, creación de i.° de Setiembre, nám. 2927 , para que en el término de 30 dias, coníaJos desde el 2a de Agosto último, acudan al referido juzgado y citada escribanía á deducir el de…</t>
  </si>
  <si>
    <t>Ala-va, Ignacio María de</t>
  </si>
  <si>
    <t>Ignacio María de Ala-va</t>
  </si>
  <si>
    <t>Gaceta de Madrid n.º 147</t>
  </si>
  <si>
    <t>…os sus fieles y leales vasallos.’' Los'mismos comisionados felicitaron con igual motivo al Sermo. Si. In fante D. Cários. ; ¿ • Los diputados comisionados por la ciudad de Vitoria D. Ignacio María de Ala-va, teniente general de la Real armada, y ministro deí Supremo Con sejo de Almirantazgo, y D. Raimundo Ettenhard y Salinas, arcediano de TIuete en la santa iglesia de Cuenca, y ministro de la suprema Inquisición, felicitaron á S. M. y A. el dia 23 de Octubre én…</t>
  </si>
  <si>
    <t>Aladren, Manuel</t>
  </si>
  <si>
    <t>Manuel Aladren</t>
  </si>
  <si>
    <t>…olocado en medio de sus competidores recibid la enho rabuena de uno de ellos , y por premio de la victoria una rica medalla de plata pendiente de un hermoso lazo. Habíala ofrecido D. Manuel Aladren, que era uno de los certantes, y quiso tener la gloria de disputar esta conde coración entre los mas animosos y valientes. A continuación D. Manuel Lasala dió las gracias al lucido concurso con una breve anacreóntica. Los mismos egercicios, y con igual despej…</t>
  </si>
  <si>
    <t>Alameda, Antonio González</t>
  </si>
  <si>
    <t>Antonio González Alameda</t>
  </si>
  <si>
    <t>…haber impedido las cortas y da ños que se decían hechos en montes del término del Espinar. Son interesados «eri esto los corregidores que fueron propietarios é interino de Segovia Don Antonio González Alameda, D. Mateo de Eezaera y Zúíriga y el conde de Sarrtibañez , el asesor , abogados y promotor D. Vicente Amonio de la Grandara, D. Francisco Alfonso Rodríguez, D. Sebastian-de la*- Peñas y D. Sebastian de Iglesias el alguacil mayar D. Tomas Aibarran , el escriba…</t>
  </si>
  <si>
    <t>Alarcon, Manuel</t>
  </si>
  <si>
    <t>Manuel Alarcon</t>
  </si>
  <si>
    <t>Gaceta de Madrid n.º 88</t>
  </si>
  <si>
    <t>…todavía se oyen los elogios mas exagerados como honoríficos al autor y al cuerpo á quien pertenece. Ultimamente, en reconocimiento de esta aceptación singular, el vice presidente D. Manuel Alarcon cerró el acto pronunciando un sucinto y la cónico discurso de gracias, con lo cual terminó la función de este dia me morable , en que la academia , después de hacer un obsequio á su Soberano, de quien tiene recibidas tantas pruebas de beneficencia, cogió tant…</t>
  </si>
  <si>
    <t>Alava, Manuel María de Arbizu y</t>
  </si>
  <si>
    <t>Manuel María de Arbizu y Alava</t>
  </si>
  <si>
    <t>…Noviembre. El día 19 del pasado tuvieron la honra de felicitar á S. M. por so augus to enlace, á nomore de la ciudad de Nájera, el barón de Maabe, primero de las dos Castillas, y D. Manuel María de Arbizu y Alava, del Supremo Consejo de Almirantazgo; el primero de los cuales dijo: „Señor: La ciudad de Nájera, que en rodos tiempos ha acreditado la de bida fidelidad y amor á sus legítimos Soberanos, quienes la han distinguido con los honrosos timbres de M. N. y M. L., h…</t>
  </si>
  <si>
    <t>Alava, Miguel de</t>
  </si>
  <si>
    <t>Miguel de Alava</t>
  </si>
  <si>
    <t>Gaceta de Madrid n.º 157</t>
  </si>
  <si>
    <t>jjSi «o gefe y soberano de la orden, pliso la insignia al augusto electo, que te nia por padrino á S. A.R. el Príncipe Federico. El collar fue presentado por el general D. Miguel de Alava, encargado de las funciones de tesorero. Las de secretario fueron desempeñadas por el comendador Falck, que en calidad de tal leyó el juramento, y pronunció la fórmula del recibimiento. S. M. acaba de aprobar las medidas propuestas por el departamento de la g…</t>
  </si>
  <si>
    <t>Albanell, Josef Suarez</t>
  </si>
  <si>
    <t>Josef Suarez Albanell</t>
  </si>
  <si>
    <t>…cuartos D. Manuel Trugillo y D. Jacinto Bota na; graduación de cuartos á los quintos D. Josef Fernandez Nuñez y Don Nicolás Arias Mandia , y graduación de quintos á los meritorios D. Josef Suarez Albanell y D. Alejandro de la Calle. DEPARTAMENTO DE CARTAGENA. Promovidos d sus inmediatas clases. A oficial segundo el tercero D. Juan Andrisain; á oficial tercero el cuar to D. Josef Santiago Santaeiia; á oficiales cuartos los quintos D. Fulgencio García Saez y D. Martin Rodon y…</t>
  </si>
  <si>
    <t>Albercombrie</t>
  </si>
  <si>
    <t>Gaceta de Madrid n.º 94</t>
  </si>
  <si>
    <t>…orios y congregaciones de los cardenales. Continúan llegando á esta capital muchos extrangeros, entre los cuales se notan los siguientes: el teniente general Makensie, el teniente general Albercombrie, lord Brownlon, lord Spencer , sir Jorge Staveii, y otras varias personas de distinción de Inglaterra. S. M. ha nombrado mariscales de Francia á los tenientes generales duque de Coigni, conde de Beurnonville, duque de Feltre y conde de Viomenii. ESPAÑA. Vite…</t>
  </si>
  <si>
    <t>Albert, Miguel</t>
  </si>
  <si>
    <t>Miguel Albert</t>
  </si>
  <si>
    <t>Noticia política o diplomática</t>
  </si>
  <si>
    <t>Gaceta de Madrid n.º 118</t>
  </si>
  <si>
    <t>1036</t>
  </si>
  <si>
    <t>…cisco Iborra: la agricultura no puede prosperar sin el fomento de'la industria. D. Francisco Casacuberta: el Gobierno debe concurrir á la producción protegiendo, no prescribiendo. D. Miguel Albert: es indispensable en España la construcción de cami nos y canales para fomentar y asegurar su prosperidad. D. Jaime Moré: es absolutamente necesaria la libertad prudente dél co mercio de alimentos de primera necesidad. D. Ignacio Saball, socio de la Real acad…</t>
  </si>
  <si>
    <t>Alberti</t>
  </si>
  <si>
    <t>Gaceta de Madrid n.º 31</t>
  </si>
  <si>
    <t>234</t>
  </si>
  <si>
    <t>…n la enfermedad. ITALIA. Otranto j de Febrero. Las tropas austríacas que formaban esta guarnición están á punto de par tir, y serán reemplazadas por tropas napolitanas. El coronel general Alberti, se halla aquí hace algunos dias encargado del mando de la plaza La guarnición constará de 3800 hombres. Se espera á S. A. R. el Príncipe heredero, que debe visitar todas las ciu dades y puertos del reino, áfin de informar á S. M. del estado en que se ha llan…</t>
  </si>
  <si>
    <t>Albertilli, Mario</t>
  </si>
  <si>
    <t>Mario Albertilli</t>
  </si>
  <si>
    <t>Gaceta de Madrid n.º 86</t>
  </si>
  <si>
    <t>…solo tiene egemplo entre estas naciones que existen para mengua de la Europa culta. Hoy hemos recibido también la noticia de que la tartana la Santísima Trinidad , mandada por el capitán Mario Albertilli, ha sido apresada debajo de las mismas baterías en donde estaba anclada junto á Ostia en las costas romanas, bien que con la fortuna de haberse podido salvar la tripulación en los botes. El pirata que la ha apresado es un pequeño barco berberisco con pabellón…</t>
  </si>
  <si>
    <t>Albiac, Manuel</t>
  </si>
  <si>
    <t>Manuel Albiac</t>
  </si>
  <si>
    <t>…de la causa formada sobre los sucesos ocurridos en la villa de Caspe el año .de 1809 , que deben ser conducidos al castillo de Zaragoza , sin comunicación, ó á otro parage seguro. D. Manuel Albiac, Vicente Cortés, D. Josef Viilanova, Joaquin Castillon , D. Lorenzo Viilanova, Antonio Pellicer, mayor, D. Joaquin Sunijer, Joaquin Dolader , Antonio Costa, Josef Bel lo, Pedro Calvo, Valero Guiu, Francisco Bielsa , Lorenzo Ralfas, D. Mariano Turlan, írancisc…</t>
  </si>
  <si>
    <t>Albillos, Vicente Ruiz de</t>
  </si>
  <si>
    <t>Vicente Ruiz de Albillos</t>
  </si>
  <si>
    <t>Gaceta de Madrid n.º 136</t>
  </si>
  <si>
    <t>1202</t>
  </si>
  <si>
    <t>…D. Carlos. En el dia ii del corriente el colector general de Espolios y Vacantes D. Tomas Aparicio Santin, D. Gabriel de Hevia y Noriega, del supremo Consejo de la Inquisición, y D. Vicente Ruiz de Albillos, juez en el tribunal</t>
  </si>
  <si>
    <t>Gaceta de Madrid n.º 146</t>
  </si>
  <si>
    <t>…vieron la honra de besar la Real mano de S. M. á nombre de la santa iglesia de Salamanca , y felicitarle por su augusto enla ce matrimonial con la Reina nuestra Señora , los Sres. D. Vicente Ruiz de Albillos, arcediano titular de ella, y auditor de la Rota, y D. Francisco María Riesco, canónigo de la misma , é inquisidor de corte ; manifestando los constantes sentimientos de lealtad de aquel venerable cuerpo, y su rego cijo por las esperanzas que se promete de la…</t>
  </si>
  <si>
    <t>Alboi, Juan</t>
  </si>
  <si>
    <t>Juan Alboi</t>
  </si>
  <si>
    <t>…cípulos del mismo colegio Andresiano en la clase de leer y escribir se presentaron al público bajo la dirección de su maestro el P. Bernabé de Sto. Tomas de Aquino ; y después que D. Juan Alboi, en nom bre de sus compañeros, pidió la atención del público , leyeron todos con sol tura y desembarazo en los parages de varios libros castellanos que les seña laron los concurrentes: recitaron por suerte los trozos que les cupo del ca tecismo adoptado por l…</t>
  </si>
  <si>
    <t>Albornoz, Cristóbal Carrillo de</t>
  </si>
  <si>
    <t>Cristóbal Carrillo de Albornoz</t>
  </si>
  <si>
    <t>…a una diputación de la villa de Menjivar, compuesta de D. Dionisio Morales, alcalde mayor ordinario, y Don Ramón Ruiz Ocaña, síndico personero, en nombre del ayuntamiento, del Dr, D. Cristóbal Carrillo de Albornoz , prior y cura párroco , en nombre del clero, y de D. Juan de Lillo Rubio y Galera, en nombre de los hacenda dos : otra de la villa de Martos, compuesta del teniente coronel D. Amero Henriquez y Cevallos , gobernador de ella;, y de los regidores D&gt; Alonso</t>
  </si>
  <si>
    <t>Albornoz, Gaspar Carrillo de</t>
  </si>
  <si>
    <t>Gaspar Carrillo de Albornoz</t>
  </si>
  <si>
    <t>…ara ponerlo en su superior noticia. Dios guarde á Vm. muchos años. Madrid 17 de Setiembre de 1816. El Rey nuestro Señor se ha servido nombrar gobernador y presidente de Charcas al brigadier D. Gaspar Carrillo de Albornoz, marques de Valdelirios. Dignándose el Rey nuestro Señor admitir la cesión que ha hecho de sus sueldos vencidos y no satisfechos el oficial quinto del Ministerio de Marina de la dotación del departamento de Cádiz D. Josef Trujiilo, ha tenido á bien mandar se…</t>
  </si>
  <si>
    <t>Albornoz, Gil</t>
  </si>
  <si>
    <t>Gil Albornoz</t>
  </si>
  <si>
    <t>…los siguien tes : cuaderno i.°: D. Antonio Leiva, Ambrosio Morales, el P. Juan de Mariana, Fr. Lope Félix de Vega Carpió, D. Antonio Solis, y D. Nicolás Antonío.zrCuaderno 2.0: el cardenal Gil Albornoz, Gonzalo Fernandez de Córdoba , el gran du que de Alba, Arias Montano, D. Francisco Quevedo y Villegas, y D. Juan de Ferreras. —Cuaderno 3.0: Hernán Cortés, Garcilaso de la Vega, D. Alonso de Ercilla, D. Pedro Calderón de la Barca, Miguel de Cervantes Saavedr…</t>
  </si>
  <si>
    <t>Albornoz, Mateo</t>
  </si>
  <si>
    <t>Mateo Albornoz</t>
  </si>
  <si>
    <t>…Josef Buitrago, D. Josef Resusta y D. Pe dro Micheo. A tenientes de Fragata los alféreces de Navio D. Josef Vargas MachucaD. Josef López Sagredo, D. Francisco Ro dríguez Gelabert, D. Mateo Albornoz, D. Josef Oiozaga, D. Francisco Gascón, D. Tomas Ciscar, D. Francisco Ristori y D. Santiago Soroa. A alféreces de Navio los de Fragata D. Luis Romero, D. Josef Sevilla, D. Félix Martínez, D. Ildefonso Yoldi, D. Josef del Solar, D. Juan de Lerena, D. Pedro Ter…</t>
  </si>
  <si>
    <t>Alburruza, Josef de</t>
  </si>
  <si>
    <t>Josef de Alburruza</t>
  </si>
  <si>
    <t>…Lorenzo Delgado, presbítero y comisario del Sto. Oficio de Se villa; D. Josef María Pau y Cánovas, vecino de Huesca; D. Ramón Anto nio Pico,.contador de la provincia de la Mancha; D. Josef de Alburruza, coronel de los Reales egérciros; D. Manuel Hernández , comisario ordenador, y regidor de la ciudad de S. Juan de Puerto-Rico; barón de Ortiz, digni dad de la catedral de Barcelona ; D. Melchor de Rocabruna, abad de Besalú; D. Santiago Diez Rodríguez, rector…</t>
  </si>
  <si>
    <t>Alcaide, Agustín</t>
  </si>
  <si>
    <t>Agustín Alcaide</t>
  </si>
  <si>
    <t>…csf-ibk'cid:! i ^ oC1 *j*-**&gt; 9 laboriosidad de su actual .H5tV profesor, que lo es de.la misma ciencia en la universidad literaria el doctor en ambos derechos y maestro en artes D. Agustín Alcaide, socio de mérito literario y secretario de la misma, resolvió que en su juma general ordinaria del 10 del corriente se presentasen estos á dar pruebas de sus addantamlentos, como se veriticó después del despacho acostumbrado , con asuénela de su director prim…</t>
  </si>
  <si>
    <t>Alcalá, Bernardo</t>
  </si>
  <si>
    <t>Bernardo Alcalá</t>
  </si>
  <si>
    <t>Gaceta de Madrid n.º 68</t>
  </si>
  <si>
    <t>…el Sermo. Sr. Infame D. Carlos María. Por última disposición y voluntad expresa antes de su fallecimiento ce dió en favor del Real erario el comisario ordenador juMiado de Marina Don Bernardo Alcalá la suma que alcanzase á la Real Hacienda pe r todos sus sueldos vencidos y no satisfechos; y resultando ser esta, según ajustamiento hecho después de su muerte ia de 68835; rs* Y 2^ mrs. vn., se ha disua do S. M. admitir esta cesión como una piueba de los gen…</t>
  </si>
  <si>
    <t>Alcaraz</t>
  </si>
  <si>
    <t>Gaceta de Madrid n.º 59</t>
  </si>
  <si>
    <t>…x, mariscal de campo de ios Reales egércitos, y D. Ginés Ruiz de Moya, capellán de ho nor de S. M., obtuvieron audiencia particular el dia i.° de este mes; en la cual pronunció el Sr. Alcaraz el siguiente discurso: ,,Señor: Si los matrimonios acertadamente ajustados entre particulares producen el júbilo de las familias, los enlaces de los Príncipes colman de regocijo á los pueblos con las mas linsonjeras esperanzas. ,,La M. N. y M. L. ciudad de Lo…</t>
  </si>
  <si>
    <t>Alcaraz, Francisco López de</t>
  </si>
  <si>
    <t>Francisco López de Alcaraz</t>
  </si>
  <si>
    <t>…onados por la ciudad de Lorca para felicitar al Rey nuestro Se ñor ■ con motivo de su ajustad© enlace con la Serma. Sra. Infanta de Portu gal Doña María Isabel Francisca los Sres. D. Francisco López de Alcaraz, ministro del supremo consejo de Hacienda, D. Juan Poutoux, mariscal de campo de ios Reales egércitos, y D. Ginés Ruiz de Moya, capellán de ho nor de S. M., obtuvieron audiencia particular el dia i.° de este mes; en la cual pronunció el Sr. Alcaraz el siguien…</t>
  </si>
  <si>
    <t>Alcázar, Francisco</t>
  </si>
  <si>
    <t>Francisco Alcázar</t>
  </si>
  <si>
    <t>…ando las fincas de un pueblo de las del otro. En el juzgado del Sr. D. Joaquín Almazan, del consejo de S. M., teniente cor regidor en esta villa, y por la escribanía del número de D. Francisco Alcázar, si gue autos Mateo del Rio sobre la pertenencia de tres vales Reales de 300 pesos de i.° de Mayo de 1808, señalado uno de ellos con el nútn. 454881, y su último endoso puesto por D. Ramón Antonio Moreno en Guadalajara á 18 de Setiembre de 1814 en favor de D.…</t>
  </si>
  <si>
    <t>716</t>
  </si>
  <si>
    <t>…lcoba y cocina; tasado todo en la cantidad de 170^ rs. vn. Quien quisiere hacer postura ó mejora á esta posesión acuda ante dicho señor comisionado por la escribanía del número de Don Francisco Alcázar en término de 30 dias, que se cuentan desde el de la publica ción en la gaceta de esta corte; en inteligencia de que no ha de rematarse en me nor cantidad que la de la tasa. A voluntad de su dueño se vende una huerta en el lugar de Vicálvaro, con va riedad de…</t>
  </si>
  <si>
    <t>Alcgrin, Agustín</t>
  </si>
  <si>
    <t>Agustín Alcgrin</t>
  </si>
  <si>
    <t>Gaceta de Madrid n.º 125</t>
  </si>
  <si>
    <t>…ro al cargo de D. Cristóbal de Vicuña , se cita, llama y emplaza á D. Rafael Ignacio Fantoni, O. Ensebio Domingo de Urqutjo, D. Josef Vidal y Garriga, D. Fran cisco Arger é hijos, D. Agustín Alcgrin, D. Domingo Perez é hijo, D. Miguel Alvarez de Pazos, D. 'Carlos Bazzoni y D. Jaime Ordeix, interesados en un vale Real de 600 pesos, creación de j.° de 'Setiembre, señalado con el núm. 2927, para que en el término de 30 dias, contados desde el 22 del pasado,…</t>
  </si>
  <si>
    <t>Alcjand</t>
  </si>
  <si>
    <t>Gaceta de Madrid n.º 76</t>
  </si>
  <si>
    <t>640</t>
  </si>
  <si>
    <t>…manca, ta sada en 40S) rs. vn. Quien quisiere hacer postura á la expresada vara, cuyos títulos se hallan corrientes, acuda arte dicho señor teniente por la escribanía de número de D. Alcjand o Gutiérrez, donde se admitirán las que se hiciesen siendo justas y arregladas, y manifestarán los referidos títulos. Se desea saber el paradero del capitán de egército D. Juan de Panigo, para co municarle un asunto que le interesa por D. Ventura de Imana, ve…</t>
  </si>
  <si>
    <t>Alcon, Andrés</t>
  </si>
  <si>
    <t>Andrés Alcon</t>
  </si>
  <si>
    <t>731</t>
  </si>
  <si>
    <t>…úblico en les dias 6, 8 y io del mes pasado á dar pruebas de la instrucción que habían adqui rido con su aplicación, y el zelo, laboriosidad é instrucción de su digno ca tedrático D. Andrés Alcon. Al efecto el dia 6 D Gregorio de Mendivil trató del agua, de sus pro piedades ti leas, de su análisis y sintesis, y de su grande influencia en .'a ve getación , vida animal, y hasta en el orden y colocación de las moléculas inorgánicas. Considerada en los tr…</t>
  </si>
  <si>
    <t>…de Farmacia de S. Fernando de esta corte abrirá el cur so de sus estudios el jueves 3 del próximo mes de Octubre á las 10 de su ma ñana con una oración inaugural, que leerá el Dr. D. Andrés Alcon , cate drático de física-química de este Real establecimiento; desde cuyo dia hasta fin de Junio de 1817 continuarán los profesores explicando sus respectivas asignaturas en la calle del Barco, casa núm. 18, 19 y 20. Doña María Ignacia Osorno, viuda de D. Esc…</t>
  </si>
  <si>
    <t>Alcx, Antonio María</t>
  </si>
  <si>
    <t>Antonio María Alcx</t>
  </si>
  <si>
    <t>Gaceta de Madrid n.º 132</t>
  </si>
  <si>
    <t>…Cádiz á S. M y A. por la ciudad de Arcos de la Frontera, y estando equi vocados los apellidos de otros, se advierte que los sugetós nombrados fueron Don Mateo Francisco de Rivas, D. Antonio María Alcx, D. Juan Zapata y Caro, Don Josef María Obregon y D. Pedro Josef Zapata. EN LA IMPRENTA REAL.</t>
  </si>
  <si>
    <t>Aldcrcte, Pecho Luengo</t>
  </si>
  <si>
    <t>Pecho Luengo Aldcrcte</t>
  </si>
  <si>
    <t>Gaceta de Madrid n.º 152</t>
  </si>
  <si>
    <t>…n .169; .dos tituladas la vtnfa de la Tablada en 16650; otra Sotillos en 49©; otra Mora dé abajo en 44c). Quien quisiere hacer postura "a todas y á cada una dé ellas se dirigirá a D. Pecho Luengo Aldcrcte, capitán retirado , en* Ja Vi'lía-dcl Espinar. * - -</t>
  </si>
  <si>
    <t>Aldecóa, Manuel' María de</t>
  </si>
  <si>
    <t>Manuel' María de Aldecóa</t>
  </si>
  <si>
    <t>Gaceta de Madrid n.º 153</t>
  </si>
  <si>
    <t>…n á S. M., quien se dignó admitir con su bondad característica á cuantos tuvieron la honra de besar su Real mano. • : El teniente general D. Nemesio Salcedo, D. Jbsef Irúnciaga 3? D. Manuel' María de Aldecóa , diputados de la M N.fy M. Lí. villa de Bilbao señorícv de Vizcaya, túvieron la honra de felicitar á S. M. por su augusto enlace el' 31 de Octubre en los términos siguientes : „ Señor: Los sentimientos de amor, respeto y fidelidad á V. M. han dis-' tinguido…</t>
  </si>
  <si>
    <t>Alderete, Juan de Sarria y</t>
  </si>
  <si>
    <t>Juan de Sarria y Alderete</t>
  </si>
  <si>
    <t>Gaceta de Madrid n.º 60</t>
  </si>
  <si>
    <t>…obis po de Antequera: el limo. Sr. marques de Castañiza , obispo electo de Durango: el Sr. Dr. D. Joscf Mariano Beristain , deán de esta santa iglesia : los señores canónigos Lie. D. Juan de Sarria y Alderete , chantre: Dr. D. Juan Josef de Gamboa , maestre-escuela: Lie. D. Andrés Fernandez de la Madrid, tesorero ; se decidió que Morelos, como reo de alta traición, era digno de !a deposición perpetua y degradación solemne que debía verificarse el citado dia 27. A…</t>
  </si>
  <si>
    <t>Ale</t>
  </si>
  <si>
    <t>Gaceta de Madrid n.º 80</t>
  </si>
  <si>
    <t>…s coordinando esta gran obra para pu blicarla, tuvo encargo superior de adquirir y recoger noticias para la expe dición de dar la vuelta al mundo que se preparaba á las órdenes de D. Ale jandro Malaspina: encargo que desempeñó cumplidamente; pero sin poder tener entonces parte activa en la expedición por el quebranto de su salud. Restablecido ya en 1790 pasó de Real órden á México y Acapulco á unirse con Malaspina, conduciendo desde Cádiz alg…</t>
  </si>
  <si>
    <t>Alecrín, Agustín</t>
  </si>
  <si>
    <t>Agustín Alecrín</t>
  </si>
  <si>
    <t>…al car go de D. Cristóbal' de Vicuña, se cita, llama y emplaza a D. RaLel Ignacio Fantoni, D. Eusebio Domingo de Urquíio, D. J &lt; se f Vidal y Garri ga, D. Francisco Arger é hi,ps, D. Agustín Alecrín, D. Domingo Pérez é hijo, D. Micuel Alvarez de Pazos^D. Carlos Buzzoni, D. Josef Ventura Al» ¡, D Fidel M» rago y D. Jai me Ordeig, tenedores de un vale Real de 6c o pesos, creación de i.° de Setiembre, nám. 2927 , para que en el término de 30 dias, coníaJos…</t>
  </si>
  <si>
    <t>Alegre, Manuel</t>
  </si>
  <si>
    <t>Manuel Alegre</t>
  </si>
  <si>
    <t>Gaceta de Madrid n.º 129</t>
  </si>
  <si>
    <t>…su pasLn y muerte, grabado por D. Juan Bruneti, á 6 rs. — S. Pablo apóstol, porSanz, á 4 rs. —Un Ecce Horno, del Giierchino, á 6 rs. —Una Magdalena, por Mateo Cerezo, grabada por D. Manuel Alegre, y un S. Gerónimo, por Pere da, á 6 rs. cada una — Varias vistas de los pueblos del reino de Valencia, á 2 rea les. cada una.— Retratos de la Lmilia B.eal, á 4 rs. cada uno. (JV continuará.') En virtud de providencia del Sr. D. Joaquín de Almazan , del Consej…</t>
  </si>
  <si>
    <t>Alejan</t>
  </si>
  <si>
    <t>Gaceta de Madrid n.º 8</t>
  </si>
  <si>
    <t>…s.1Dig^"rdenMojíes, D., Jo§ef Vernaci y; Aguado ,&lt; D. Rasrion tQrtii rdatMon$eUía.n¡ól D. ¡Pedro: . Whirte» y Fleming, D. Miguel Whirte y Flemifig^ D. «Trinidad Caraveo y Lavalle, D. Alejan dro Ainirola y Pal vía-, D. Eusebio Fernandez , D: Francisco Diaz y Ramí rez, ;D Cruz A íburquérqtié,£iD: JFosef Varelá y Cancela, D. Joséf María Carvajal ;Jiaí artillero' disti^guído' D. Joséf1 dé Tetlería y Jáuiregut, y al cabo ‘ del^ ivil^Eíí11!?^0'..P^ítu…</t>
  </si>
  <si>
    <t>AlejandroLenoir</t>
  </si>
  <si>
    <t>Gaceta de Madrid n.º 35</t>
  </si>
  <si>
    <t>268</t>
  </si>
  <si>
    <t>…indigentes que comulguen por primera vez el dia de pascua : de este modo las señoras francesas no desmienten la ardiente caridad que hace muchos siglos j las caracteriza. . \ \ El caballero AlejandroLenoir, director del museo real de los monumen tos franceses, ha tenido la honra-de presentar á S. M. su ultima obra intitu^ lada: Consideraciones generales sobre las ciencias y las artes. El Rey ha ma nifestado al autor su agradecimiento. ESPAÑA. ' . Barcelona j de…</t>
  </si>
  <si>
    <t>Aler, Antonio María de</t>
  </si>
  <si>
    <t>Antonio María de Aler</t>
  </si>
  <si>
    <t>…diputaciones de los pueblos inmediatos , de que ya se ha dado cuenta en este periódico, una de la ciudad de Arcos de la Frontera, com puesta de los Sres. D Josef Bravo y Torices, D. Antonio María de Aler, D. Juan Zapata y Cena, D. Jos.éf Manuel Obregon y D. Pedro Josef Za pa, los cuales', en representación del ayuntamiento y del estado eclesiástico de aquella ciudad , tuvieron la honra el día 7 de Seriembre próximo pasado de ofrecer á S. M. y A. los sinceros…</t>
  </si>
  <si>
    <t>Alesnau, Jaime</t>
  </si>
  <si>
    <t>Jaime Alesnau</t>
  </si>
  <si>
    <t>Gaceta de Madrid n.º 64</t>
  </si>
  <si>
    <t>…juez y justicia Real ordinaria de la ciudad de Tuy, se cita, llama y emplaza á D. Antonio Matey, vecino que ba sido de Barcelona, y á los mas acreedores á la herencia fincable de D. Jaime Alesnau, canónigo que ha sido de la santa iglesia catedral de di cha ciudad, para que dentro de 6o días, contados desde esta fecha, acudan i dicho juzgado por sí ó por medio de apoderado, y por la escribanía de ayuntamiento de la misma, que egerce D. Juan Antonio Alo…</t>
  </si>
  <si>
    <t>…tomos en pasta. Se venden á too rs. en las librerías de Ranz y de Novillo, calle de la Concepción. Nota. En la gaceta del martes 21 del corriente, núm. 64, pág. 532 , don de dice D. Jaime Alesnau, léase D. Jaime Alemán de Tarrago, EN LA IMPRENTA REAL.</t>
  </si>
  <si>
    <t>Alfaro, Isidoro Sainz de</t>
  </si>
  <si>
    <t>Isidoro Sainz de Alfaro</t>
  </si>
  <si>
    <t>…a, el brigadier de la Real Armada D. Santiago de Irisarri, el brigadier D. Torcuato Trugillo, el capítan de Navio D. Domingo Monteverde, el canónigo de la santa iglesia de To ledo D. Isidoro Sainz de Alfaro, el brigadier D. Josef Cevallos, y D. Josef Matías de Landaburu, secretario de legación en Berlin. Cruz de Caballeros. El capitán de Fragata D. Miguel Araoz, el capitán del regimiento de Gra nada D. Fernando Gaver, el sargento mayor del regimiento de Badajoz…</t>
  </si>
  <si>
    <t>Alfon</t>
  </si>
  <si>
    <t>Gaceta de Madrid n.º 36 (extraordinaria)</t>
  </si>
  <si>
    <t>…artos.) 273 GACETA EXTRAORDINARIA DE MADRID DEL DOMINGO 17 DE. MARZO DE 1816. ARTICULO DE OFICIO. Madrid de Mar20. Por el teniente coronel del regimiento infantería de la Victoria D. Alfon so de Sierra, que llego á Cádiz el 12 del actual en el bergantín de guerra Vengador al mando del teniente de navio de la Real Armada D. Francisco de Paula Topete, procedente de la plaza de Cartagena de Indias ,ha recibido el Rey nuestro Señor en la noche de a…</t>
  </si>
  <si>
    <t>Alfonso</t>
  </si>
  <si>
    <t>…El de cirugía es de estuche: su dotación 63 rs. y casa, y en los mismos términos que el de medicina. Los memo.iales se dirigirán por Taiavera á los apoderados de los ayuntamientos D. Alfonso, de la Peña y D. Santiago Arroyo. El acreditado escritor de libros de coro D. Francisco Pastrana, que á últimos del siglo próximo escribió en esta corte para las iglesias de S. Isidro el Real, par roquias de S. Justo, S. Sebastian y Sta. Cruz, y conventos de…</t>
  </si>
  <si>
    <t>…el precioso momento en que V. M. se decidiese á unir á sí una augusta Esposa, adornada de las virtudes y demas dignas cual'dades que apetece la ley promulgada por el sa-r bio Rey D. Alfonso, que coadyuvando como fiel compañera á soportar el grave peso que ofrece á V. M. el vasto gobierno de una monarquía extensi-* va á ambos hemisferios, proporcionase algún dia á la nación el imponderable júbilo de ver asegurada la descendencia de su idolatrado…</t>
  </si>
  <si>
    <t>Gaceta de Madrid n.º 56</t>
  </si>
  <si>
    <t>…u chos de sus gloriosos progenitores que casaron con Infantas de aquel reino. V. M. sabe que fueron de aquella Real familia Doña Urraca , muger de Don Fernando n; Santa Teresa, de D. Alfonso ix, ambos Reyes de León; Do ña Mafalda, de D. Henrique i; Doña Constanza, de D. Fernando iv; Do ña María, de D. Alfonso xi; Doña Beatriz, de D. Juan i; Doña Isabel, de D. J uan ii; Doña Juana, de D. Henrique iv; Doña Isabel, del Emperador D. Carlos v, primero…</t>
  </si>
  <si>
    <t>…fidelidad sutpa , confirmando, los derechos y exen ción realenga que por ios mismos le adquirió en 1104 su restaurador del po-. der de los sarracenos vuestro-predecesor ya citado D. Alfonso 1 de Castilla, -vi de León; y nosotros como comisionados de tan leal ciudad, de cuyos hijos me glorío ser, expresamos su júbilo , su satisfacción y su amor á vues tra Real Persona, besando en su nombre respetuosamente vuestra Real ma no , y ofreciendo de nuev…</t>
  </si>
  <si>
    <t>Alias, Juan</t>
  </si>
  <si>
    <t>Juan Alias</t>
  </si>
  <si>
    <t>…otos graduados de tenientes de Fragata D. Juan Dieguez Miguez y D. Andrés Ramos. Vara la graduación de tenientes de Fragata d los que lo están de alférez de Navio D Pedro Sánchez, D. Juan Alias, D. Pedro García Galindo, D. Juan Inciarte y Portu y D. Julián Alias.</t>
  </si>
  <si>
    <t>Aliponzoni, Fabio</t>
  </si>
  <si>
    <t>Fabio Aliponzoni</t>
  </si>
  <si>
    <t>112 6 A capitanes de Fragata los tenientes de Navio D. Francisco de Murías, era graduado; D. Diego Fonseca, D. Fabio Aliponzoni, D. Norberto de Mella y D. Manuel de Cañas. A tenientes de Navio los de Fragata El graduado de teniente de Navio D. Josef Morales, D. Francisco Berminghan, D. Pedro Mareilla, D. Josef Buitrago, D. Josef Resusta y D. Pe dro Micheo. A tenientes de Fragata los a…</t>
  </si>
  <si>
    <t>Alix, Juan</t>
  </si>
  <si>
    <t>Juan Alix</t>
  </si>
  <si>
    <t>…os aplausos, se regalaron entre los concurrentes 200 ejemplares de los estatutos que rigen este establecimiento apr&lt; bados por S. M. Restablecido muy pronto el silencio, el censor D. Juan Alix principió la lectura de un discurso, cuyo argumento era la medicina vindicada. Este es crito fue tan bien recibido, que todavía se oyen los elogios mas exagerados como honoríficos al autor y al cuerpo á quien pertenece. Ultimamente, en reconocimiento de esta…</t>
  </si>
  <si>
    <t>Allavenia, Luis Guarnerio y</t>
  </si>
  <si>
    <t>Luis Guarnerio y Allavenia</t>
  </si>
  <si>
    <t>Gaceta de Madrid n.º 130</t>
  </si>
  <si>
    <t>…na de París, y se da á luz bajo los auspicios del Real estudio de clínica, á la que se dedica ; traducida al castellano de la última edición publicada en Agosto de 1803 por el Dr. D. Luis Guarnerio y Allavenia, médico que fue del Real sitio de S. Ildefonso. Se hallará en la calle del Príncipe, lonja de chocolate, r,úm. 2 , y en la calle de Atocha, lonja molino de chocolate, casa de los Agonizantes, frente al hospital General: su precio 8 rs. en rústica y 10 en past…</t>
  </si>
  <si>
    <t>Allue, Antonio</t>
  </si>
  <si>
    <t>Antonio Allue</t>
  </si>
  <si>
    <t>1278</t>
  </si>
  <si>
    <t>…os y su augusta Esposa. El mismo dia tuvieron la honra de felicitar á SS. MM. y AA. por sus augustos enlaces los Sres. D. Josef María Puig de Samper, ministro del Con sejo Real, y D. Antonio Allue, capellán de honor, y obispo electo de Gero na , en representación de la Real universidad literaria de la ciudad de Hues ca; el primero de los cufies dijo á S. M. entre otras cosas lo siguiente: „ Señor: Como las ciencias son uno de los apoyos del trono, es m…</t>
  </si>
  <si>
    <t>Alma, Joaquín</t>
  </si>
  <si>
    <t>Joaquín Alma</t>
  </si>
  <si>
    <t>De orden del Sr. D. Joaquín Alma zan , del consejo de S. M., teni-nte corre gidor 'le esta villa, juez de la testamen taría de D. Manuel Zor.il;a de San Martin* qae fue del comercio de lienzos en esta corte, se llama y emplaza á los acreedores é interesados en ella, para que concurran á la j…</t>
  </si>
  <si>
    <t>Gaceta de Madrid n.º 139</t>
  </si>
  <si>
    <t>…anifiestan. el verdadero interes que se toman sus vasallos en aliviar á proporción de sus facultades los extremados apuros en que se encuentra su Real erario. Por la audiencia del Sr. D. Joaquín Alma2an, del Consejo de S. M., teniente corregidor de esta villa, y por la escribanía dei numero de D. Toteas de Sancha y Prado, se vende á voluntad de su dueño una casa sita en esta corte en la calle de los Dos Amigos, rum. 10, manz. 539, que tiene 5847 píes de s…</t>
  </si>
  <si>
    <t>Alma, P. Joaquín</t>
  </si>
  <si>
    <t>P. Joaquín Alma</t>
  </si>
  <si>
    <t>Gaceta de Madrid n.º 67</t>
  </si>
  <si>
    <t>Para poner en egecucíon una Real facultad cometida al Sr. P. Joaquín Alma* zan, del consejo de S. M., teniente corregidor de esta villa, se han traido al pre gón en la forma ordinaria una casa en la ciudad de Jaén , calle del Cerón, .y- rliüi oficinas de otra en la misma población, llamadas del Palacio, tasadas ambas en 44*55 rs* d…</t>
  </si>
  <si>
    <t>Almaran, Joaquín</t>
  </si>
  <si>
    <t>Joaquín Almaran</t>
  </si>
  <si>
    <t>Gaceta de Madrid n.º 99</t>
  </si>
  <si>
    <t>…co; v por decreto del Cornejo supremo de S. M. se ha mandado publicar por 15 días mas, y señalado nuevamente para el remate el 1 2 d? Agosto próximo á las doce en la audiencia del Sr. D. Joaquín Almaran, teniente corregidor de esta villa, por la escribanía de su número que egcrcc D. Juan Rava. Se halla vacante el partido de médico de Mahora , en el estado de Jorquera, pueblo de buen clima y de 400 vecinos: tiene de sueldo 7SJ rs. vn. cobrados, y ca sa franca…</t>
  </si>
  <si>
    <t>Almázan, Jóaqilin</t>
  </si>
  <si>
    <t>Jóaqilin Almázan</t>
  </si>
  <si>
    <t>…su derecho ¡y: defensa en,e.l. expresado asunto, pues pa?ado dicho término se procederá á la determinación sin mas citación ni emplazamiento. . &lt; á. c: , ' ‘ Por providencia del "Sr. D. Jóaqilin Almázan, del consejo de S. M., teniente corregidor de ésta Villa, por la escribanía del número que egerce D. Antonio Villa Fernandez , se han mandado sacar ¿ pública subasta por término de 30 diás, conta dos desde 8 del corriente, cuatro pedazos .de tierra en ¡términ…</t>
  </si>
  <si>
    <t>Almazan, Joaquin</t>
  </si>
  <si>
    <t>Joaquin Almazan</t>
  </si>
  <si>
    <t>nejo á D. Dionisio González; y para la de Lorca, de nueva creación, á Don Luis de Lemos Gil de Taboada. Por providencia del Sr. D. Joaquin Almazan del dia 23 de Diciembre anterior se ha mandado sacar á pública subasta por término de 30 dias , contados desde la publicación de este anuncio, una casa principal perteneciente á D. Frutos de Alva ro Benito, ausente, que se halla sita en la ciudad de Segovia,…</t>
  </si>
  <si>
    <t>Almazan, Joaquín</t>
  </si>
  <si>
    <t>Joaquín Almazan</t>
  </si>
  <si>
    <t>…iento que pasado el término señalado les parará el perjuico que haya lugar á los que no lo hayan hecho, y se procederá á lo demas que corres ponda en justicia. Por providencia del Sr. D. Joaquín Almazan, del consejo de S. M., teniente corregidor de esta villa, se cita, llama y emplaza á los herederos de Juan Goyanes, vecino que fue dé esta corte, para que en el término de 30 dias , contados desde 31 del pasado , acudan á su juzgado y escribanía del número de…</t>
  </si>
  <si>
    <t>Gaceta de Madrid n.º 33</t>
  </si>
  <si>
    <t>…y se advierte que para el remate de las propias casas se ha señalado el dia 2 del pró ximo mes de Abril á las 1 2 de la mañana en la audiencia de S. S. A virtud de providencia del Sr. D. Joaquín Almazan, del consejo de S. M., teniente corregidor de esta heroica villa, y en egecucion de una Real facnltad que' le está cometida, se saca á pública subasta por 30 dias, contados desde 2 del cor riente, una casa sita en la ciudad de Jaén en la calle del Cerón, y di…</t>
  </si>
  <si>
    <t>Gaceta de Madrid n.º 38</t>
  </si>
  <si>
    <t>…on de regadío, tasadas á 3500 rs., v la fanega y media restantes, que no se pueden regar en los alrededores por sus • alturas, á 400 rs. Quien quisiere hacer postura acuda ante el Sr. D. Joaquín Almazan, del consejo de S. M., teniente corregidor de esta villa, por la escribanía de su número, que egerce L&gt;. Juan Raya. ¡ Se baila vacante- la escuela de primeras letras de k villa de Casarubios del Monte: su dotación es de 8 rs. diarios pagados del fondo de prop…</t>
  </si>
  <si>
    <t>…erido señor juez y citada escribanía. El corral sito en la calle de la Ventosa de esta población, señalado con el nú mero i.° de la ma«zana 113. cuya venta se anunció de órden del Sr. D. Joaquín Almazan , teniente de corregidor de esta villa, en el diario de 7 de Marzo último, y se verificó su remate en 17300 rs. metálicos en 15 del propio mes por ante el escribano del número D. Cristóbal de Vicuña, se mandó por la superioridad del consejo anunciar al públic…</t>
  </si>
  <si>
    <t>…neras poco mis ó menos: otra en dicho sitio mas adelante, ambas en 1980 rs.; y otra en los Carrascalejos, de dos fanegas, en 403 rs. Quien quisiere ha er postura acuda an te el Su D. Joaquín Almazan, teniente corregidor de esta villa, por la escribanía de su número que egerce D. Juan Raya. A voluntad de sus dueños se vende una hacienda, sita en término de la vil!* de Legane», al sitio del Ranal, camino de la Aceña ó Polvorín , compuesta de to fa negas de…</t>
  </si>
  <si>
    <t>…en inteligencia que serán preferidas las que se hagan á metálico, llegando al total de la tasación, aunque sea separando las fincas de un pueblo de las del otro. En el juzgado del Sr. D. Joaquín Almazan, del consejo de S. M., teniente cor regidor en esta villa, y por la escribanía del número de D. Francisco Alcázar, si gue autos Mateo del Rio sobre la pertenencia de tres vales Reales de 300 pesos de i.° de Mayo de 1808, señalado uno de ellos con el nútn. 454…</t>
  </si>
  <si>
    <t>Gaceta de Madrid n.º 73</t>
  </si>
  <si>
    <t>6i6 Por parle de ia comunidad de religiosos dominicos del colegio de Sto. Tomit *e ha acudido ante el Sr. D. Joaquín Almazan , del consejo de S. M., teniente cor regidor de esta villa , y escrinania del número de D. Antonio Villa y Fernandez , re clamando los vales reales que les fueron extraídos al tiempo de apoderarse de sus bienes los satélites del Gobierno intruso; y en su virt…</t>
  </si>
  <si>
    <t>…aberlo verificado no se les admitirá ni se les tendrá por tales acreedo res , parándoles el perjuicio que haya lugar. En virtud de providencia de 11 d*l corriente mes de Junio del Sr. D. Joaquín Almazan, del consejo de S. M., teniente corregidor de esta villa, se ha mandado sacar á pública subasta por término de 30 dias una vara de alguacil de la Real casa y corte, que sirvió como propia por juro de heredad Juan Ezequiel Salamanca, ta sada en 40S) rs. vn. Qu…</t>
  </si>
  <si>
    <t>671</t>
  </si>
  <si>
    <t>…siempre estimable su memoria, particularmente entre les que como compañeros , amigos ó subalternos, tuvieron ocasión de tratarte y conocerle con mayor inmediación é intimidad. El Sr. D. Joaquín Almazan, del consejo de S. Al., teniente corregidor de esta</t>
  </si>
  <si>
    <t>804</t>
  </si>
  <si>
    <t>…ico; y por decreto del Consejo supremo de S. M. se ha mandado publicar por 15 dias mas, y señalado nuevamente para el remate el 1 2 de Agesto próximo á las 1 2 en la audiencia del Sr. D. Joaquín Almazan, teniente corregidor de esta villa, por la escribanía de su número que egerce D. JuanRaya. En virtud de providencia de los Señores del supremo Consejo de Castilla se han mandado publicar por ocho dias mas dos casas sitas en el lugar de Carabanchel de arriba,…</t>
  </si>
  <si>
    <t>Gaceta de Madrid n.º 106</t>
  </si>
  <si>
    <t>927</t>
  </si>
  <si>
    <t>…nueva de la ciudad de . v gec ras, dibujada por ei coronel ce a.iiuexía D. Jcsef Dolz, y grabada por D. Tuinas Engrúdanos, a i 2 rs. {Se cor.t'nuara.) En virtud de providencia del Sr. D. Joaquín Almazan. de) Consejo de S. M., teniente corregidor de esta villa, á quien está cometí ca po Real fuuh.id ía er iceración de una huerta sita extra muros de esta corte en ¡a vega de A'g.n/ueTa, al pie de las Pcñuclas, inmediato al portillo de Embajadores, que compiende…</t>
  </si>
  <si>
    <t>…. Bartolomé del-.Hoyo y Dofia Francisca de Tejada y sus bienes para que acudía á deducirle dentro del término de 1-5 dias, contados desde el de esta publicación, en el juzgado del Sr. D. Joaquín Almazan, del Consejo de S. M. teniente corregidor de esta villa, y por la escribanía del número vacante que actualmente despacha D. Bernardo Diaz de Antoñaaa; apercibidos que de lo contrario les parará el perjuicio.que haya lugar. En virtud de providencia del 31 del…</t>
  </si>
  <si>
    <t>…udiencia de S. S. Quien quisiere hacer mejora acuda ante dicho señor juez por la escribanía del número de L). Antonio López de Salazar, que se admitirá. En junta celebrada ante el Sr. D. Joaquín Almazan, del Consejo de S. M., te niente corregidor de esta villa de Madrid, y escribano del número D. Josef Anto nio Canosa, en 28 de Julio último per los acreedores á la dimisión y cesión que en 8 de Junio hizo de estos á su favor la Excma. Sra. condesa viuda de To…</t>
  </si>
  <si>
    <t>1^6 26384 rs. en metálico. En consecuencia se admitirán las posturas que se hiciesen hasta el día 29 de este mes, que se ha señalado para su rema-te en la audiencia del Sr. D. Joaquín Almazan, del Consejo de S. M., teniente de corregidor de esta vi lla, á las 12 de la mañana de dicho dia. En virtud de providencia del Sr. D. Joaquín de Almazan y Himeno, dei Con sejo de S. M., teniente corregidor de esta villa, refrendada del escribano del nú mero d…</t>
  </si>
  <si>
    <t>Gaceta de Madrid n.º 141</t>
  </si>
  <si>
    <t>…n los Carrascaíejos, de dos fanegas, en 403 rs.; y está rematado' todo en las dos terceras partes de la tasación á pagar en metálico. Quien quisiere hacer mejora acuda ante el Sr, D. Joaquín Almazan, dél Consejo de $• M., teniente corregidor de esta villa, por la escribanía de su número que;egeice D. Juan Raya, dentro de ocho dias, que últimamente ha señalado el Real y supremo Consejo de.S. M., y ha de celebrarse eí último remate el dia 19 de este mes á…</t>
  </si>
  <si>
    <t>…sión 1732 fanegas, 9 celemines; está tasada en 627255 rs. 17 mis. , y dan por ella la misma cantidad en dinero metálico. La per dona que quisiere hacer mejora á ella acuda ante el Sr. D. Joaquín Almazan , del Consejo de S. M., teniente corregidor de esta villa, por la escribanía del níírnero de E&gt;. Antonio Villa y Fernandez, en el citado término de los 40 días, contados des de esta fecha; en inteligencia que se admitirán las que sean arregladas, y que el re…</t>
  </si>
  <si>
    <t>Gaceta de Madrid n.º 156</t>
  </si>
  <si>
    <t>…orregidor de esta villa, y juez de la misma testamentaría. Se llama á Narciso Diez, vecino de la ciudad de Burgos, y residente en esta corte , para que sin dilación se presente ai Sr. D. Joaquín Almazan, del Consejo de S. M., teniente corregidor de esta villa, á quien está cometido un asunto intere sante al mismo Narciso. En el año de 1808 á la entrada de los franceses en esta capital faltó de ella Don Remigio González Soria, empleado en la contaduría de Pro…</t>
  </si>
  <si>
    <t>…co. La persona que quisiere mejorarla lo egecutará ante el insinuado señor teniente vicario, donde se admitirán las que se hicieren siendo arregladas. En virtud de providencia del Sr. D. Joaquín Almazan, del Consejo de S. M., y teniente de corregidor de esta villa, refrendada por D. Jacinto Gaona y Leeches, escribano de su número, se han mandado sacar á pública subasta dos casas sitas en esta corte, la una en las calles de Sta. Agueda y Sta. Brígida, núm. 16…</t>
  </si>
  <si>
    <t>Almazan, Joaquín de</t>
  </si>
  <si>
    <t>Joaquín de Almazan</t>
  </si>
  <si>
    <t>…ercibidos de que pasado dicho término sin haber comparecido se procederá á lo que haya lugar, y les parará perjuicio, sin mas citarles ni emplazarles. En virtud de providencia del Sr. D. Joaquín de Almazan, del consejo de S. M., teniente de corregidor de esta villa, por la escribanía del número de D. Juan Anto nio de Urraza, y para pago de acreedores, se saca á pública subasta una casa sita en esta misma villa y su calle de S. Marcos, esquina á la de S. Antón,…</t>
  </si>
  <si>
    <t>…. Véndese á 4 rs. en el despa.ho de 1&amp; imprenta Real. Se subscribe en dicho despacho, y en la- provincias en todas las ad ministraciones principales y agregadas de correos. Por el Sr. D. Joaquín de Almazan, del consejo de S. M., teniente corregidor «fe esta heroica villa de Madrid, se cita,, llama y emplaza á la viuda y herederos de</t>
  </si>
  <si>
    <t>Gaceta de Madrid n.º 65</t>
  </si>
  <si>
    <t>…bién retasada últimim-nte en 3300 rs. Quien quisiere hacer postura á cualquiera de ellas, juntas ó sepiradis, a&gt;_uda ante dicho señor juez y citada escribanía. Por el juzgido del Sr. D. Joaquín de Almazan yXimeno, del consejo de S. M., teniente corregidor de esta villa, y escribanía del número del Sr. D. Casimiro An tonio Gómez, del consejo de S. M., su secretario, se siguen autos por parte de Don Joscf de Vil ogas, vecino y d A comercio de la ciudad de la Cor…</t>
  </si>
  <si>
    <t>Gaceta de Madrid n.º 75</t>
  </si>
  <si>
    <t>6\2 'En virtud de providéficia del Sr. D. Joaquín de Almazan, de! consejo de S. M., teniente corregidor de esta villar se cita, llama y emplaza á la justicia y junta tle propios del lumir de Saeliees, en el ducado de Medinaceli, tenedor de un vale Real de 300 pesos de la creación de Mayo de 1808, número 425538, retenid…</t>
  </si>
  <si>
    <t>…bal terna de Brozas , en Alcántara. A instancia de los dueños de una casa sita en esta corte, calle de los Abades, núm. 17, manz. 65, á su voluntad, y en virtud de providencia del Sr. D. Joaquín de Almazan, del Consejo de S. M., teniente de corregidor de esta villa, se subasta por término de 30 dias, contados desde su publicación, la ^que, según la tasación del arquitecto, contiene 6020$ pies cuadrados superíicia’es! de arca plana, y vale 387532 rs. vn. La pers…</t>
  </si>
  <si>
    <t>Gaceta de Madrid n.º 117</t>
  </si>
  <si>
    <t>…nes perte nezcan acudan á acreditarlo con los competentes documentos , y con poder y en for maren el término 4c 1 5 dias primeros siguientes i la publicación, por la audiencia de| Sr. D. Joaquín de Almazan, del Consejo de S. M., teniente de corregidor de esta villa, y escribanía del número de D. Miguel Gonzalo. En el juzgado del Sr. Bk, Josef Manuel de Arjona , del Consejo de S. M., su alcalde d? casa y corte, y escribanía de provincia y comisiones de D. Manuel…</t>
  </si>
  <si>
    <t>Gaceta de Madrid n.º 121</t>
  </si>
  <si>
    <t>…untos, naturales dé la villa de Villanucva de Cameros, y vecinos que fueron de esta corte, para que dentro de 30 días, contados desde e! d¡a i.° del corriente, comparezcan ante el Sr. D. Joaquín de Almazan, del Consvjo de S. Mi, teniente corregidor de esta villa, y escribanía de número de D. Saaíiago de Estepar, por sí ó por medio de procurador, á pedir la cuarta parte de bienes que quedaron por muerte de los referidos D. Manuel y Doña Polonia, según su disposi…</t>
  </si>
  <si>
    <t>Gaceta de Madrid n.º 127</t>
  </si>
  <si>
    <t>…calle de los Abades, níím. 17, manz. 65 , que contiene 602 of pies cuadrados superficiales de area plana, tasada en 287532 rs. vn., se está subastando en virtud de providencia del Sr. Don Joaquín de Almazan, del Consejo de S. M., teniente de corregidor de esta villa, y por la escribanía del número de D. Miguel Gonzalo, y se continúa su subasta por otros 15 dias, que cumplirán el 24 del corriente; y en el día 29 del mismo se ve rificará su remate en el mejor post…</t>
  </si>
  <si>
    <t>…ada una — Varias vistas de los pueblos del reino de Valencia, á 2 rea les. cada una.— Retratos de la Lmilia B.eal, á 4 rs. cada uno. (JV continuará.') En virtud de providencia del Sr. D. Joaquín de Almazan , del Consejo de $. M., teniente de co1 regidor de esta heroica villa, de 4 del corriente, se cita, lla ma y emplaza á las personas que se consideren con derecho á los bienes , caudal y efectos que han quedado por muerte rntestada acaecida en 2 de Setiembre ú…</t>
  </si>
  <si>
    <t>…scurso inaugural, que á las nueve de la mañana pro nunciará uno de sus mismos catedráticos. La matrícula estará abierta hasta el dia 4 de Noviembre. A voluntad de su dueño, por el Sr. D. Joaquín de Almazan, del Consejo de S. M., teniente de corregidor de esta villa de Madrid, se ha mandado sacar á sub asta por término de 20 días, contados desde el 11 del corriente, una casa sita ca lle del Relox, barrios de nuestra Señora de Gracia, nútn. 9, manz. 105 , libre d…</t>
  </si>
  <si>
    <t>Almazan, O. Joi-jnín</t>
  </si>
  <si>
    <t>O. Joi-jnín Almazan</t>
  </si>
  <si>
    <t>716 Con facultad Peal, yen virtud de providencia del Sr. O. Joi-jnín Almazan, del consejo de S. Al., teniente corregidor de esta villa, á quiea se ha cometido, se vende una huerta situada extramuros de esta corte, en la vega de Arganzuela, al pie del alto de las Pcíuielas, inmediato al portillo de Embajadores, que comprende 11 fanegas…</t>
  </si>
  <si>
    <t>Almazati, Joaquín</t>
  </si>
  <si>
    <t>Joaquín Almazati</t>
  </si>
  <si>
    <t>Gaceta de Madrid n.º 111</t>
  </si>
  <si>
    <t>…; y otra en los Carrascalejos, de 1 fanegas, en 403 : se ha hecho postura en las dos terceras partes de la tasación á pagar en metálico. Quien quisiere hacer me jora acuda ante el Sr. D. Joaquín Almazati, teniente corregidor de esta villa, por la escribanía de su número que egerce D. Juan Raya, y esta señalado para su rema te el dia 20 del presente i las 1 2 á la puerta de la audiencia del mismo señor. Por providencia de los Sres. del Consejo de 3 del corrien…</t>
  </si>
  <si>
    <t>Almeiras, Manuel Rodríguez</t>
  </si>
  <si>
    <t>Manuel Rodríguez Almeiras</t>
  </si>
  <si>
    <t>…aría Loureiro, D Florencio Pereira, D. Benito Pereira, D. Cosme Arias, D. Juan RoJriuuez , I). Josef Abad, D. Manuel Vicario, D. Josef Vicente Veigi, D Josef Alonso, D. Juan Vega, D. Manuel Rodríguez Almeiras j D. Cayetano Cruz. En geometría D. Josef Pujadas, D. Fermín Galceran, D Josef Sada, D. Ignacio Palacios, D. Tomas Diago, y los citados D Josef Perez y D. Juan Pablo Rodríguez. En trigonometría plana D. Manuel Ban dujo, O. Cándido Pulleiro, D. Joaquín Hernánd…</t>
  </si>
  <si>
    <t>128o sef Alonso, D. Juan Vega\ D. Manuel Rodríguez Almeiras y D. Cayetano Cruz. En geometría D. Josef Pujadas, D. Fermín Gaiceran, D. Josef Sada, D. Ignacio Palacios , D. Tomas Díago, y los citados D. Josef Perez y Don Juan Pablo Rodríguez. En trigonometría plana D. Manuel Bandujo, Don Cándido Pulleiro, D. Joaquín Hernández, D. Eusebio…</t>
  </si>
  <si>
    <t>Almengual, Clemencia</t>
  </si>
  <si>
    <t>Clemencia Almengual</t>
  </si>
  <si>
    <t>322</t>
  </si>
  <si>
    <t>…ión, esclava de Lasurt; Melchor* Arrocha, idem libre; MaríaCipriana Perez,esclava de una difunta llamada Hilaria; Cipriana Torres, libre; Juana Bautista Bonilla, enferma y blanca; Doña Clemencia Almengual. Trinidad'y Enero 18 de 1816. = Ambrosio de Mendoza. En virtud de providencia de 21 del corriente del limo. Sr. D. Estéban Anto nio de Orellana, del consejo y cámara de S. M. en el Real y supremo de la Guer ra, y asesor general de los cuerpos y tropas de casa…</t>
  </si>
  <si>
    <t>Almi, Infante</t>
  </si>
  <si>
    <t>Infante Almi</t>
  </si>
  <si>
    <t>…-V * ' Por el ministerio de Marina se ha comunicado al secretario del supremo Consejo del Almirantazgp la Real orden siguiente: ,,Conformándose el Rey con los pareceres del Sermo. Sr. Infante Almi rante general y del Consejo supremo del Almirantazgo, ha tenido á bien re solver que los oficiales y tropa del egército que tuvieron destino en las fuer zas,sutiles, ó hicieron servicios.en la marina en la última guerra de I3 clase de aquellos por los cuales…</t>
  </si>
  <si>
    <t>Almirantazgo, Secretario del</t>
  </si>
  <si>
    <t>Secretario del Almirantazgo</t>
  </si>
  <si>
    <t>…ico igualmente á. los Inten dentes de los departamentos para su respectivo cumplimientos Dios giiarde ’á V. S. muchos años. Palacio o de Abril de 13iÓ.==Jdsef Vázquez Figueroa.ts: Sr. Secretario del Almirantazgo. - ■ ..... - - -</t>
  </si>
  <si>
    <t>Almirante</t>
  </si>
  <si>
    <t>Gaceta de Madrid n.º 16</t>
  </si>
  <si>
    <t>…idas convenientes á fin de reprimir la piratería de los estados berberiscos. Viena 31 de Enero de 1815. „E1 infrascrito tiene la honra de recomen dar la petición adjunta al Excmo. Sr. Almirante sir SidneySmith* rogándole que tenga á bien hacer cuanto esté de su parte para acelerar la iibertad del interesado.vaEl Príncipe Luis de Tichenstein? f Memorial del capitán Felsch. Viena 10 de Enero de 1815. ,,Mi hermano Francisco Felsch, cautivo en Argel, se…</t>
  </si>
  <si>
    <t>…o de este año se ha servido S. M. suprimir el empleo de Director general de Ig armada , mandando que la sala de Gobierno del Almirantazgo egerza, por subdelegacion del Serení simo Sr. Almirante, las funciones señaladas á este empleo en las ordenanzas de la armada. Mas como á pesar de, estar subentendido en el expresado de creto que la sala de Gobierno del Almirantazgo debe egercer las funciones de la inspección general de marina, como aneja que. era…</t>
  </si>
  <si>
    <t>Almirante, Infante</t>
  </si>
  <si>
    <t>Infante Almirante</t>
  </si>
  <si>
    <t>Gaceta de Madrid n.º 17</t>
  </si>
  <si>
    <t>…á bien concederles una condecoración equivalente á las dispensadas en los Egércitos de operaciones;; y conformándose S. M. con lo que sobre el particular le ha propuesto el Sermo. Sr. Infante Almirante general de Espa ña é Indias, se ha servido aprobar el modelo de cruz que le presentó, y es de cuatro brazos triangulares, sostenida por una ancla con ei Real busto de S. M. vestido sobre esmalte rojo y corona de laurel, y al reverso la cifra del augusto nombr…</t>
  </si>
  <si>
    <t>Gaceta de Madrid n.º 28</t>
  </si>
  <si>
    <t>…informe del comisario general de Artillería , se den, mediaste el Real decreto de 15 del. corriente, á propuesta de la sala de gobierno del consejo de Almirantazgo, por el Sermo. Sr. Infante Almirante general, para un viage de ida y vuelta á los puertos de América , y por un año parados que naveguen en los mares de Europa; cuyo tiempo espirado deberá solicitarse nueva licencia por el interesado , y en todos casos para ob tenerla ha de acreditar ante el com…</t>
  </si>
  <si>
    <t>Almodovar, Pascual Ortiz de</t>
  </si>
  <si>
    <t>Pascual Ortiz de Almodovar</t>
  </si>
  <si>
    <t>…cumplimentar por su efectuado en lace á S. M. y A. R. el Sermo. Sr. Infante D. Carlos, en nombre y repre sentación del ayuntamiento de la villa de Onteniente , reino de valencia, D. Pascual Ortiz de Almodovar, síndico personero de la expresada villa, y condecorado con la cruz del segundo egército. El Emo. y Excmo. Sr. cardenal Cebrian, patriarca de las Indias; el Excmo. Sr. inquisidor general de estos reinos , y los Sres. D. Tomas Apari^ ció Santin, colector gener…</t>
  </si>
  <si>
    <t>Alomo, Rey D</t>
  </si>
  <si>
    <t>Rey D Alomo</t>
  </si>
  <si>
    <t>…el, llamada Zaida, hija dd Rey’ de Sevilla Benavet, que se convirtió á la religión católica por las maravillas que vio en la traslación del santo patrono, y después fue esposa del Sr. Rey D Alomo el vi. 12. La Sra. Reyna Doña Urraca, segunda espoía del Señor Rey Don Alonso de Aragón. Sres. Infantes é Infantas. Lo? Sres. Infantes D. Alonso, D. Ordoño y D. Ramiro, hijos del Sr. Rey' D. Fruela el 11. Fl Infante D. García, hijo del conde de Castilla D. Sa…</t>
  </si>
  <si>
    <t>Alonso</t>
  </si>
  <si>
    <t>Gaceta de Madrid n.º 25</t>
  </si>
  <si>
    <t>…a de Novillo, calle de Barrionuevo, donde se hallarán desde hoy las siguientes; Memorias de la Real acade mia de la Historia; 4 tomos en 4.0 marqu illa.—Las siete partidas del Rey Don Alonso el Sabio, cotejadas con varios códices antiguos por la Reai academia de la Hi storia: edición ia mas correcta de cuantas se han hecho hasta ahora: 3 tomos en 4.0 niarquilla. c—.Demostración histórica del verdadero valor de todas las monedas que corrían en Cas…</t>
  </si>
  <si>
    <t>Gaceta de Madrid n.º 44</t>
  </si>
  <si>
    <t>344</t>
  </si>
  <si>
    <t>…d; el primero de los cuales arengó á S M. en los términos siguientes: „ Señor: La dudad de Baeza, que tanto bajo el imperio de los godos, como después de sus conquistas por el Rey D. Alonso el Bueno, ha sido siempre de las mas fieles y obedientes á sus Soberanos, se ofrece hoy á los Reales pies de V. M., le da la enhorabuena por su tratado casamiento con la Sra. Infanta de Portugal Doña María Isabel, prometiéndose que esta alianza será el comple…</t>
  </si>
  <si>
    <t>…sangrienta batalla deBenamerin y del Salado al formidable egército sar3*aceno que destrozaron, ¿no se debió á la heroína Reina Doña María, que haciendo de embajadora de su marido D. Alonso xi desde Sevilla hasta Evora , supo contratar y hacer que su padre D. Alfonso iv de Portugal se coli gase con el de Castilla para aquella tan atrevida como memorable empresa? ¿No fue hija de la Reina Doña Isabel aquella que supo desempeñar el go bierno de la…</t>
  </si>
  <si>
    <t>…S. Isidoro de León ,de aquel antiguo monumenro de la piedad y devoción de vuestros au gustos progenitores , fundado por el Sr. Rey D I‘ernando el i , enriquecido por el Emperador D. Alonso, y restablecido por el feliz regreso de V. M. al trono, me encarga, como individuo que soy de aquel cuerpo, haga pre sente á L. R. P. de V. M. como lo hago con el mas profundo respeto : que en el glorioso dia de S. Fernando, 30 del próximo pasado, se volvió á…</t>
  </si>
  <si>
    <t>…Sra. Reina Doña Urraca, esposa del Sr. Rey Don Ramiro el 111. 4.a La Sra. Reina Dona Elvira, esposa del Sr Rey’ D. B.rmudo el 11. ^.a La Sra. Reina Doña Elvira, e'poi^a del Sr Rey D. Alonso el v. 6.a La Sra. R ¿riña Doña Ximena , espo*adel Sr. Re) D. Bermudo el im. 7. a La Sra. Reina Doña Sancha, esposa del Emperador D. Fcrnardo el 1. 8. a La Sra. Reina Doña Urraca, hija del Emperador D. Fernando el 1, Rei na de Zamora y de mitad del infantado d…</t>
  </si>
  <si>
    <t>Gaceta de Madrid n.º 93</t>
  </si>
  <si>
    <t>…r de los Reyes su Soberano, de grande pobla dor „ n los siglos pa - 'os , y ennoblecida con singulares privilegios por su fidd iad á su&gt; Re . es en todos tiempos , y señaladamente D. Alonso, conquis tador de este territorio , y hoy ya titulado del Infantado por medio del va liente capitán Rolng* D'i¿ d i Vivar , llamado comunmente el Cid Cam peador, se mira 'hoy hu^dana de los hijos que ha sacrificado en defensa de los derechos de V. M., reunión…</t>
  </si>
  <si>
    <t>…imonio, hallán dose depositadas en aquella Real casa las respetables cenizas de 40 personas Reales, las 11 de Reyes y Reinas, 14 Infantas monjas, entre estas Doña Blan ca, hija de D. Alonso m , Rey de Portugal, que nominalmente se comprenden en la lista que tengo el honor de presentar á -VV. MM., no puede prescindir aquel Real monasterio de tributaros en tan notable ocasión el mas sincero, afectuoso y sumiso parabién por tan acertada elección. B…</t>
  </si>
  <si>
    <t>…ncia, y recibió igual lista. Lista presentada d SS. MM. y A A. de las Infantas que han sido monjas y abadesas perpetuas en el Real, monasterio de Httelgas. Doña Constanza, hija de D. Alonso el vnr, Rey fundador: Dona Cons tanza , hija de D. Alonso ix de León: Doña Constanza, hija del Rey Don Alonso el Sabio: Doña Sancha, hija de D. Alonso él ii: Doña Berenguela, hija del Sto. Rey D. Fernando el iii , de tan extraordinaria virtud que no quiso ser…</t>
  </si>
  <si>
    <t>Alonso, Antonio</t>
  </si>
  <si>
    <t>Antonio Alonso</t>
  </si>
  <si>
    <t>1128</t>
  </si>
  <si>
    <t>…Cruzada. Idem de Provincia Á D. Mariano Vallejo, superintendente y director de las Reales fábricas de Guadalajara; D. Pascual Román, contador de Juros, y D. Francisco Mel garejo y D. Antonio Alonso , tesoreros de egército y Real hacienda de Cádiz. Idem de secretarios del Rey A D. Josef Armesto y Segovia, contador de Resultas de la contaduría mayor, y á D. Antonio Carrero, idem de título. Idem de tesorero de Egército A D. Josef Robelo, depositario de Ren…</t>
  </si>
  <si>
    <t>Alonso, Manuel</t>
  </si>
  <si>
    <t>Manuel Alonso</t>
  </si>
  <si>
    <t>…rs.: Don Josef Chicarro un par de zapatos : D. Fausto Escaja uno: D. Gerónimo Gó mez uno: D. Fernando Pareja uno: D. Martin Ginoves 10 rs.: D. Santiago Gallego un par de zapatos: D. Manuel Alonso uno: D. Antonio Chalanzon uno:D. Santiago Treve uno: D. Juan Hechilla uno: D. Ricardo Muñoz uno: D. Marcos Unzue uno: D. Manuel García ur.o: D. Juan Ocon uno: D. Manuel Cono uno: D. Fernando Carrillo uno: D. Josef Cantalapiedr» uno: D. Tomas Medina uno: D. Jo…</t>
  </si>
  <si>
    <t>Alonso, Roque</t>
  </si>
  <si>
    <t>Roque Alonso</t>
  </si>
  <si>
    <t>Gaceta de Madrid n.º 123</t>
  </si>
  <si>
    <t>…'erez y D&gt; Manuel de las Heras. Segunda clase. D. Salustiano de Olozaga, D. Cosme Giménez de Anti1100,0. Cosme Cordon, O. Cayetano Barosa, D. Angel de las Heras, Don Manuel Vega , D. Roque Alonso, Di Felipe Saiuz Robles, D. Valentín. Alonso y D. Manuel Serrano-</t>
  </si>
  <si>
    <t>Alrnazan, Joaquín</t>
  </si>
  <si>
    <t>Joaquín Alrnazan</t>
  </si>
  <si>
    <t>…ta ñe je* poco mas ó menos: otra en dicho sitio mas adelante, ambas en 1980 rs.; y Mr* en los Carrascalejos, de dos fanegas, en 403 rs. Quien quisiere hacer postura acuda ante el Sr. D. Joaquín Alrnazan, teniente corregidor de esta villa, por la es cribanía de su número que egerce IX Juan Raya, y está señalado para su remate el dia 29 de este mes á las 1 2 á la puerta de la audiencia del mismo señor. Se vende una casa sita en la calie del Estudio, á las vist…</t>
  </si>
  <si>
    <t>Altnazam, Joaquín</t>
  </si>
  <si>
    <t>Joaquín Altnazam</t>
  </si>
  <si>
    <t>Gaceta de Madrid n.º 6</t>
  </si>
  <si>
    <t>…n el mucho mas término que ha corrido postura alguna,- se ha mandado en 23 de Diciembre anterior por el señor teniente de corregidor de esta heroica villa y'juez de esta.comisión; D. Joaquín Altnazam, por ante .el-escribano dej número dp. ella P-Jacobo Mapuel Manrique, contlnuarse ja^ufiasta eje esta mis ma dehesa por término eje 20 dias contados desde la publicación- de este anuncio. .Quien quisiere hacer postura á ella acuda ante dipfio señor juez y esc…</t>
  </si>
  <si>
    <t>Alva, Frutos de</t>
  </si>
  <si>
    <t>Frutos de Alva</t>
  </si>
  <si>
    <t>…n del dia 23 de Diciembre anterior se ha mandado sacar á pública subasta por término de 30 dias , contados desde la publicación de este anuncio, una casa principal perteneciente á D. Frutos de Alva ro Benito, ausente, que se halla sita en la ciudad de Segovia, parroquia de S. Ro mán, confinante a poniente con la plazuela del Seminario conciliar, con su jardia que le cerca el acueducto que surte á la misma ciudad, que se compone de piso sub terráneo, hol…</t>
  </si>
  <si>
    <t>Alvarado, Antonio Villanueva Pacheco y</t>
  </si>
  <si>
    <t>Antonio Villanueva Pacheco y Alvarado</t>
  </si>
  <si>
    <t>…a dignado conceder los honores dé comisario ordenador á Doil: Juan Regis de Castro, administrador, principal de correos de Burgos.. El día 4 de Febrero murió en esta corte el limo Sr. D. Antonio Villanueva Pacheco y Alvarado, del Real y Supremo Consejo y Cámara de Cas tilla, natural de la ciudad de Piasenciaen Extremadura;, fue colegial en él mayor de S Ildefonso , universidad de Alcalá oidor en la Real audiencia de Canarias y charcilleria de Granada; regente del Real Consejo de…</t>
  </si>
  <si>
    <t>Alvarez</t>
  </si>
  <si>
    <t>l'll dirección de su incomparable gobernador Alvarez, digno de otra suerte, para que se regocijen , y vean que V. E. por su parte les hace la justicia que to das las naciones han reconocido. Gerona en todas épocas ha dado pruebas dé su lealtad y valor, y la posteridad de sus moradores no degenerará , siempre qu…</t>
  </si>
  <si>
    <t>Gaceta de Madrid n.º 138</t>
  </si>
  <si>
    <t>…iuviidades seculares y regulares, dirigiéndose por la calle de la Inqui sición, plaza del Rey, Boria, hasta la puerta Nueva, en donde estarán colo cados los restos del cadáver del Señor Alvarez*, y de allí saldrá la procesión con toda la pompa de estilo correspondiente á un Capitán general, empren dí endo su marcha por la Esplanada, plaza de Palacio, Encantes, Fuste ría,, calle Ancha, Cambios, hasta la iglesia deSta. María , en donde está preparado…</t>
  </si>
  <si>
    <t>Alvarez, D- Mariano</t>
  </si>
  <si>
    <t>D- Mariano Alvarez</t>
  </si>
  <si>
    <t>688</t>
  </si>
  <si>
    <t>…sangre y con el sacrificio de sus personas. Una junta establecida para dirigir la defensa en los dos sitios, bajo las inmediatas órdenes en el último y mas sangriento del inmortal gobernador D- Mariano Alvarez: la fundación de una cruzada pnra hacer el servicio militar sin estipendio juntamente con la vale rosa guarnición : todos los vecinos sirviendo gratuitamente en los puntos que se les señ .¡aban : el clero secular y regular convertido en otros tantos solda dos…</t>
  </si>
  <si>
    <t>Alvarez, Eugenio María</t>
  </si>
  <si>
    <t>Eugenio María Alvarez</t>
  </si>
  <si>
    <t>…Para el gobierno militar y político de la plaza del Ferrol ha nombrado S. M. al capitán de navio D. Joaquín Blanco Maldonado: para el corregi miento de Herrera del Rio Pisuerga á D. Eugenio María Alvarez: para el de Mayorga á D. Manuel Rufino García Zorrilla: para el de Trebujena á Don Josef Sánchez Rollan : para el de Valencia de Don Juan á D. Manuel de Quevedo y los Ríos : para el de Atienza á D. Juan Antonio Vergara: para el de Jadraque á D. Francisco Garc…</t>
  </si>
  <si>
    <t>Alvarez, Francisco García</t>
  </si>
  <si>
    <t>Francisco García Alvarez</t>
  </si>
  <si>
    <t>…Villegas, sobre la pertenencia de dos vales Reales de á 300 pesos, de la cracion de i.° de Mayo de 1808, núms. 475925 y 438200; y habiéndose nombrado defensor de los herederos de D. Francisco García Alvarez, de D. Toribio Fernandez Sanz, ausente, y de D. Bernardo Fernandez, cuyo paradero se ignora; se ha mandado, á instancia de dicho defensor, se les cite, líame y empláce por término de 30 dias precisos y perentorios, que empezarán á correr desde el en que se an…</t>
  </si>
  <si>
    <t>Alvarez, Manuel</t>
  </si>
  <si>
    <t>Manuel Alvarez</t>
  </si>
  <si>
    <t>…lla, calesero; Juan Bermudez, maestro confitero; Fran cisco Rodríguez, vidriero; Josef Arnez, carpintero: todos percibieron las mismas cantidades y en iguales épocas. Plaza mayor. D. Manuel Alvarez, profesor de escultura; Santiago, Ximenez, maestro carpintero; Tiburcio Sánz, maestro cabestrero; Valentín Ruesga, cuchillero; Blas Púyales , maestro sastre; Juan Jeta, cuchillero: todos percibieron las mismas cantidades y en las mismas épocas. Resulta que ha…</t>
  </si>
  <si>
    <t>…eida que están bajo una gran taza en la fuente del paseo del Prado delante de la puerta de Atocha: en la de Apolo el mismo colosal con que re mata, que dejó principiado el célebre D. Manuel Alvarez: en la fachada del templo de las Salcsas Reales las estatuas de S. Francisco de Sales y Sta. J«a-</t>
  </si>
  <si>
    <t>Alvarez, Mariano</t>
  </si>
  <si>
    <t>Mariano Alvarez</t>
  </si>
  <si>
    <t>229</t>
  </si>
  <si>
    <t>…S. M. tuvo á bien poner á mi cargo, me condujo á la plaza de San Fernando de Figueras, visité el inmundo calabozo ennoblecido y consagrado con la gloriosa muerte del héroe español D. Mariano Alvarez, gobernador que fue de esta plaza durante su defensa é inmortal memoria, acaecida en 1809. Á la vista de aquel lugar se despertaron en mi alma todos los sentimien tos de un español amante de su patria, y que se lisonjea de tener con este título derecho á se*…</t>
  </si>
  <si>
    <t>…ad de esta plaza en el ri guroso y dilatado sitio que la pusieron las huestes del mas abominable de los tíranos en el año de 1809, siendo su defensa dirigida por el héroe espa ñol D. Mariano Alvarez, dignísimo gobernador de Gerona, que última mente la iniquidad del monstruo, avergonzado de sus infames procederes, y colérico de 4a resistencia que se le hizo, consumó la mayor de las maldades haciendo perecer á un héroe, que será inmortal, en un asqueroso c…</t>
  </si>
  <si>
    <t>…la patria, se dignó mandar que en la ciudad de Barcelona , co mo capital del principado, se efectuase con la mayor solemnidad posible la pompa fúnebre de Capitán general al Excmo. Sr. D. Mariano Alvarez de «</t>
  </si>
  <si>
    <t>Alvarez, Matías Samaniego y</t>
  </si>
  <si>
    <t>Matías Samaniego y Alvarez</t>
  </si>
  <si>
    <t>…r y su digno Hermano el Sermo. Sr. Infante D. Carlos. El dia 7 del presente mes tuvieron el honor de besar la Real mano y fe licitar á S. M. por su augusto enlace los Sres. el Dr. D. Matías Samaniego y Alvarez, canónigo penitenciario de la insigne iglesia colegiaf de la ciudad de Toro, y D. Ana res Sánchez de Arcilla , racionero de la misma , como comi sionados de ella, de los cuales el primero dijo entre otras cosas lo siguiente: ,,Señor: Los individuos de este ca…</t>
  </si>
  <si>
    <t>Alvarez, Pedro Pertierra y</t>
  </si>
  <si>
    <t>Pedro Pertierra y Alvarez</t>
  </si>
  <si>
    <t>Gaceta de Madrid n.º 39</t>
  </si>
  <si>
    <t>…nció en Ja gaceta anterior ha de ser el domingo 24, y no el dia 23. El dia' 16 de este mes tuvieron Ja honra de felicitar á S. M. por su con tratado y augusto enlace los Sres. Dr. D. Pedro Pertierra y Alvarez, chan tre de la Real iglesia colegiata de Sta. María de Arbas del Puerto, y el Dr. D. Ignacio Campesino; el-primero de los cuales arengó á S. M. en los tér minos siguientes: ; ¡-.V ,, Señor : El abad y cabildo dé vuestra Real iglesia colegiata de Sta. Ma ría…</t>
  </si>
  <si>
    <t>Alvarez, Toribio</t>
  </si>
  <si>
    <t>Toribio Alvarez</t>
  </si>
  <si>
    <t>…tonero; Josef Móstoles, carpintero; Eugenio Martin, esterero de palma; Josef Pelegrin, maquinista: todos percibieron las mismas cantidades y en iguales épocas. - San Isidro. ¿ .'i D. Toribio Alvarez, fabricante de azúcares; Manuela Castañeda., viuda, ídem de velas de sebo; Antonio Mendoza, fabricante de sombreros; Valen tín López, armero; Juan Ignacio López, carpintero; Diego Balsamóme, eba nista: todos percibieron las mismas cantidades y en ¡guales époc…</t>
  </si>
  <si>
    <t>Alzaibar, Vicente</t>
  </si>
  <si>
    <t>Vicente Alzaibar</t>
  </si>
  <si>
    <t>…2 y 55832&gt; 7 9 de 150, núms. 148235 , i487°3 » 792&gt; l658a4» 175026, 177092, 177773* 197692 y 202094; y habiéndose dado traslado á los últimos tenedores, ignorándose el paradero de D. Vicente Alzaibar, D. Juan Montalbo, l&gt;. Juan Iluminad, D. Manuel Sánchez Cogolludo, cuyos endosos suenan hechos en Madrid; D. Manuel Diez del Olmo, en Sevilla; D. Josef Gallisans y L). Miguel González Villanueva, en Cádiz; se les cita, llama y emplaza para que en el término d…</t>
  </si>
  <si>
    <t>Amador</t>
  </si>
  <si>
    <t>…observarse en ésta ocasión, como en otras iguales á estas, que los que mandan á los rebeldes no se olvidan de sus intereses, y asi no han incendiado sus posesiones, como sucede al gobernador Amador con las suyas de Cospique y Albornoz, y García Toledo con las de Barragan, que sirven bien para almacenes del egército. „EI i.° de Setiembre se formalizó el bloqueo por mar y tierra, ocupando á Pasa-Cabal los, con lo que, á pesar del ganado y arroz que recogi…</t>
  </si>
  <si>
    <t>Amador, María</t>
  </si>
  <si>
    <t>María Amador</t>
  </si>
  <si>
    <t>…astante conocidos que estaban en tierra, y son el Dr. D. Josef María Toledo, Dr. D. Miguel Díaz Granados, D. Domingo Granados, Dr. D. Basilio Toro, D. Esteban de Pumbo, y familia, D. María Amador , é id., D. Santiago Launa, é id., D. Manuel Verve id., D. Fran cisco Fierro é hijo. Quedaron apresados los individuos siguientes: á saber , Manuel Antonio, Manuel y Leandro Salgado, nueve esclavos de la familia de Amador y uno de Pumbo, y el presbítero D. Sa…</t>
  </si>
  <si>
    <t>Amaga, Simón de</t>
  </si>
  <si>
    <t>Simón de Amaga</t>
  </si>
  <si>
    <t>,9*sejo de S. M., teniente corregidor de esta villa, dada por la escribanía del número de D. Cristóbal de Vicuña, se cita, llama y emplaza á D. Ramón Aguilar y No guera, D. Simón de Amaga, D. Josef Vicente de Iraz.ibal, D. Josef de Llamas, Dona Josefa lgnacia de Muxica , I). Juan Bautista de Torres y D. Juan Simón de A muga , tenedores de nueve vales Reales de 300 pesos, de Mayo de 808, señaiados con los números 423341, 430446, 430726, 434266,…</t>
  </si>
  <si>
    <t>AMana, Antonio Vázquez de</t>
  </si>
  <si>
    <t>Antonio Vázquez de AMana</t>
  </si>
  <si>
    <t>…encia ó fallecimien o se serxirá comunicarlo en Ma drid á D. Manuel Herrera, calle de la Lruz, ntím. 7, frerte á la de la Victoria. Se desea saber el paradero de! coronel retirado D. Antonio Vázquez de AMana , quien caso de hallarse en esta corte se servirá avistarse con D. Pedro García Teresa, que vive calle de Alcalá, núm. 2, cuarto bajo, pues se halla encargado de comunicarle ciertas noticias que le pu d-n ser convenientes. Memorias sobre la cuerra de hs franc…</t>
  </si>
  <si>
    <t>Amantegui, María Antonia de</t>
  </si>
  <si>
    <t>María Antonia de Amantegui</t>
  </si>
  <si>
    <t>…aza , se cita, llama y emplaza á D. Josef de Sand^Juce , D. Pedro Antonio de Olabarría y Sta. Cruz, D. Andrés de Escondrillas , D. Cristóbal de Vicuña, D. Pedro Fermín de lbarra y Doña María Antonia de Amantegui, tenedores de tres vales Reales, tres de ellos de 150 pesos, vales dinero de Ja renovación de i.° de Enero de 1809, números 312838, 311427 y 311806: dos de 600 pesos, tam bién vales dinero, renovación de i.°de Mayo de 1808, núms. 387394 y 385306* otros dos as…</t>
  </si>
  <si>
    <t>Amar, Antonio</t>
  </si>
  <si>
    <t>Antonio Amar</t>
  </si>
  <si>
    <t>…rande de España para si} sus hijos y sucesores Al marques de la Ramilla, vecino y regidor de la ciudad de Ubeda. ORDEN AMERICANA DE ISABEL LA CATOLICA. Grandes Cruces. Al Teniente general D. Antonio Amar, y al R. obispo de Guadalajara de Indias D. Juan Cruz Ruiz de Cabañas. Comendadores. El conde de Santiago de Calimaya, el coronel D. Juan Josef García de Santiago y Machón , ei coronel D. Luis del Aguila, el brigadier de la Real Armada D. Santiago de Irisarri…</t>
  </si>
  <si>
    <t>Amarilla, Josef</t>
  </si>
  <si>
    <t>Josef Amarilla</t>
  </si>
  <si>
    <t>…. en el de la suprema y general Inquisición; el arcediano de Moya D. Ramón Eyaralazcapellán de honor de S- M.., y confesor del Sermo¿ .Sr- Infante D- Antonio;; el prior y canónigo D. Josef Amarilla,, mi nistro» d'eL Conseja dé S.. M.. en el de la suprema, y general Inquisición; el canónigo D. Juan García Iñigor capellán dé honor, y del mismo Consejo, y el .canónigo D- Francisco Xavier Duro,, ministro»del tribunaL de la Rota* quienes digeEon;á S M- entre…</t>
  </si>
  <si>
    <t>Amat, Bartolomé</t>
  </si>
  <si>
    <t>Bartolomé Amat</t>
  </si>
  <si>
    <t>…esta academia,entre los cuales citó con entusiasmo los nombres célebre* de Sangenis y Maupoei, no menos conocidos que envidiados de los sabios y va lientes. En seguida el teniente coronel D. Bartolomé Amat, profesor de esta cla se , manifestó á S. M. el sistema que se sigue en la enseñanza de ella. Todo lo escuchó S. M. con sume agrado, y permitió que á su presencia contentasen los alumnos á las preguntas que por suertes se les hicieron, relativas á las ciencia…</t>
  </si>
  <si>
    <t>Ambrusí, Francisco</t>
  </si>
  <si>
    <t>Francisco Ambrusí</t>
  </si>
  <si>
    <t>…ro ducción casi peculiar del Asia meridional, para cuya adquisición se gastaban en Europa grandes sumas, no debe ya considerarse como un género exóiico, pues el doctor en medicina D. Francisco Ambrusí, de Bitonto, ha consegui do hacer un opio mas perfecto y mas eñcaz que el de Asia.” ESPAÑA. Villalon de Campos 30 de Setiembre. El ayuntamiento de esta villa, penetrado del interes que resulta al esta do de la buena educación que se da á los niños, ha mirado…</t>
  </si>
  <si>
    <t>Ameil</t>
  </si>
  <si>
    <t>Gaceta de Madrid n.º 72</t>
  </si>
  <si>
    <t>…cuanto ha salido de la mano de este hábil artista. El estado militar de Saxonia se compondrá de 10® hombres* repartidos en tres regimientos de Infantería y tres de caballería. El general Ameil,, comprendido en la orden de 24 de Julio* que fue ar restado en Hannóver, se halla todavía detenido en Hildesheim. Una carta de Quimper , del 14 del corriente, cita un rasgo de valor que honra á los gendarmas de aquel departamento, los cuales conducian á la c…</t>
  </si>
  <si>
    <t>Amelo, Dionisio</t>
  </si>
  <si>
    <t>Dionisio Amelo</t>
  </si>
  <si>
    <t>…y enlace de S. M. y su Sr. Hermano el Serrao. Sr. Infante D. Carlos Mana con las excelsas Infantas de Portugal. El dicho ayuntamiento compuesto de los regidores D. Pablo López, el capitán D. Dionisio Amelo, D. Máximo de Avila y D. Rafael Bautista Ca ntara , y los diputados D Manuel Ahugetas, D. Vicente Cárdenas, D. Joscí Rodriguez y D. Francisco Fernandez Calvillo , y el sindico persenero Don Bernardo González, con su procurador síndico el Lie. 1). Fraru en Jos…</t>
  </si>
  <si>
    <t>Amér, Bartolomé</t>
  </si>
  <si>
    <t>Bartolomé Amér</t>
  </si>
  <si>
    <t>Gaceta de Madrid n.º 50</t>
  </si>
  <si>
    <t>…número de D. Cristóbal de Vicuña, se cita, llama y emplaza á D. Mariano Lanals, D. Be nito Capó y Paigsener, D. Pedro Antonio Canabes, apoderado del Dr. D. Pedro Antonio Arnér, de D. Bartolomé Amér y D. Pedro Francisco Morro, y á D. Bar tolomé Valentín Sorteja, tenedores de seis vales Reales de 300 pesos, creación de i.® de Setiembre, señalados con los números 57459» 57610» 58548, 58960, 59024 y 68233, á fin de que en el término de 30 dias, contados desde 2 del cor riente, concur…</t>
  </si>
  <si>
    <t>Ametller, Blas</t>
  </si>
  <si>
    <t>Blas Ametller</t>
  </si>
  <si>
    <t>…bujadas por D. Antonio Guerrero y D. Asensio Julia, y grabadas por Don Tomas Enguídanos, D. Rafael Estere y otros: á 1 a rs. cada una.rzLa plegaria de amor, dibujada y grabada por D. Blas Ametller: á 16 rs.r=El amor maligno, por el original de Aníbal Caracci, dibujada por D. Josef Camarón, y grabada por Don Rafael Esteve: á 16 rs.zz Retrato del V. Fr. Sebastian Sillero, del original de Don Gregorio Ferro, grabada por D. Manuel Salvador Carmona: á 10 rs…</t>
  </si>
  <si>
    <t>Amherst</t>
  </si>
  <si>
    <t>GRAN BRETAÑA. Londres 16 de Febrero. Dícese que la embajada de lord Amherst á la China no tiene otro objeto que e! de cumplimentar á aquel Emperador, quien recelaba de las miras que hubiesen podido mover á nuestros gobernadores de la India á guerrear con algunos reyezuelos que tienen sus posesiones hacia las fronteras de la Chrna, La…</t>
  </si>
  <si>
    <t>1214</t>
  </si>
  <si>
    <t>…esfuerzos, y cooperaré á cualquier medida que pue da asegurar la paz y el bien estar del género humano. GRAN BRETAÑA. Londres 14 de Octubre. El navio e! Alcestes, á cuyo bordo va lord Amherst, llegó á Java, y se disponía á seguir su víase á la China. Los periódicos de Baltimore anuncian que la goleta Manlio, mandada por el capitán Young, que había llegado á aquel puerto el 11 de Setiembre, hiz &gt; un vinge á Petersburgo, desembarcó su cargamento, to…</t>
  </si>
  <si>
    <t>Amlierst</t>
  </si>
  <si>
    <t>…interior del país. Se anuncia que ha debido salir de los puertos de Génova una escuadra para proteger el comercio y hacer el corso. ¡ GRAN BRETAÑA. Londres 2 de Enero. Se cree que lord Amlierst y su esposa saldrán mañana con toda su comi tiva para embarcarse á bordo del navio el General Hevvolt que está pronto, como la fragata Alcestes y 2. dar la vela. Todos los objetos preciosos que el gobierno ingles envía al Emperador de la China están ya embarc…</t>
  </si>
  <si>
    <t>Amo</t>
  </si>
  <si>
    <t>* "'3 * Por Rol orden de 22 de Ago«to del año d* i'T94 fue agregado D. Amo nio F mande*, pensionado de mérito por S M. &amp;j. , ai R ^¡ laboratorio de quí v.ici en calidad de profesor, con el obj to de publicar odos los nuevos de-1 uhrhniertos que adquiriese,y fuesen útiles para el arrede curar___Cump i ndn C'*n e&lt;re encargo publicó en…</t>
  </si>
  <si>
    <t>Amonio, Vicente</t>
  </si>
  <si>
    <t>Vicente Amonio</t>
  </si>
  <si>
    <t>…corregidores que fueron propietarios é interino de Segovia Don Antonio González Alameda, D. Mateo de Eezaera y Zúíriga y el conde de Sarrtibañez , el asesor , abogados y promotor D. Vicente Amonio de la Grandara, D. Francisco Alfonso Rodríguez, D. Sebastian-de la*- Peñas y D. Sebastian de Iglesias el alguacil mayar D. Tomas Aibarran , el escribano D~ Pedro J3Iazquez. Tova l, el visitador D. Gerónimo Salgado, el escribana D. Francisco Yangiie j3ecerril&gt;…</t>
  </si>
  <si>
    <t>Amor, Joaquín</t>
  </si>
  <si>
    <t>Joaquín Amor</t>
  </si>
  <si>
    <t>Gaceta de Madrid n.º 110</t>
  </si>
  <si>
    <t>…distinguir las substancias minerales, é h-izo aplicación de ellos a las dos principales espe cies de la familia del chorlo , á saber , el común , y el eléctrico ó turmalina. El 13 D. Joaquín Amor explicó las leyes físicas y químicas que dirigen el ad mirable fenómeno de la cristalización de los minerales, los caracteres geo métricos que esta ofrece para conocerlos y distinguirlo1*; indico lo mucho que la mineralogía debe sobre esta materia al célebre…</t>
  </si>
  <si>
    <t>…ue consistía en el Icones y tra ducciones citadas, y en los Anales de Ciencias naturales, fue conferido á D. Manuel Paz; y los dos terceros, de los mismos Anales y traducciones, á D. Joaquín Amor y á D. Sebastian del Peral. A D. Antonio Gimbernat y Grassoty D. Manuel de Riaza entregó S. E. los primeros premios de agricultura, compuestos de las Observaciones sobre la historia natural, población , agricultura del reino de Valencia por Cava— nilles; de l…</t>
  </si>
  <si>
    <t>An</t>
  </si>
  <si>
    <t>…spue de dicho dia 9de Abril, cualquiera que sean las causas.de la demora en su presen la cío n. = And res de la Cuesta. Por Real orden de 22 de Agosto del año de 1794 fue agregado D. An tonio Fernandez al Real laboratorio de química en calidad de profesor , corr el objeto de publicar todos los nuevos descubrimientos que fuesen útiles para el arte de curar. Cumpliendo con este encargo 'publicó en varias épo cas algunas composiciones que son b…</t>
  </si>
  <si>
    <t>Gaceta de Madrid n.º 34</t>
  </si>
  <si>
    <t>…alladolid, y de S. Ildefonso en Alcalá de Henares. Se hallará á 5 rs. en el despacho de la imprenta Real. Las obras de Hipócrates mas selectas, traducidas al castellano por el Dr. D. An drés Piquer, médico de cámara que fue del Sr. D. Cárlos ni.: tercera impresión. Deseando el traductor ocuparse en cosas que trajesen utilidad al público, pensó que nada podia hacer mas conducente á los adelantamientos de... la verdadera medicina, ni mas á pro…</t>
  </si>
  <si>
    <t>…dura mal hecha, orejas grandes y encorvadas, pelo negro y cortado, cabeza mui grande. La persona que se pa de su paradero, sírvase avisarlo, conducirlo ó enviarlo á casa del dicho D. An drés María Fariña, g¡e Santiago, tio político del chico, ó á la de su madre Doña Josefa Martínez, vecina de Puente de Ume, ó en esta corte á D. Vicente Céspedes, calle de la Magdalena baja, núm. 8: cualquiera de los,dos abonarán los gastos que hayan tenido en…</t>
  </si>
  <si>
    <t>…ta á certificar en la oficina de correos dos vales de 300 pesos de la creación de Setiembre, números 2772 y a776, y un libramiento de réditos de los mismos de 2888 rs. ¿ nombre de D. An tonio Francisco Elorriaga, vecino y del comercio de Bilbao, y otro de 150 de la misma creación, núm. 2702, y libramiento de réditos de 7*2 rs., á nombre de JX Vicente Arecochea, los cuales se han extraviado, y no los ha recibido e! expre sado Elorriaga. Se su…</t>
  </si>
  <si>
    <t>…ra su remate el dia 18 de e-.te mes a las doce y media de su mañana en U audiencia de S. S. Quien quisiere hacer me|ora acuda ante dicho señor juez por la escribanía del número de D. An tonio López de balazar, que se admitirá. EN LA IMPRENTA REAL.</t>
  </si>
  <si>
    <t>…ia de Campo, «tille de Alcalá. En el almacén de estampas de la calle Mayor, frvnte á la casa del conde de O ñate , se vende la estampa nueva de bta. María Magdalena, dibujada por D. An tonio Guerrero, y grabada en cuartilla de marca mayor por D. Luis Noseret, jun tamente con otros muchos santos y santas de i^ua, tam.iño, á 3 rs. cada una. EN LA IMPRENTA REAL.</t>
  </si>
  <si>
    <t>788</t>
  </si>
  <si>
    <t>…0 rs. en rósti* a: 4 2t r=. en Cídiz en la lihr ría de Pjjáres; en Sevilla en la de Hidalgo; en Sanlúcar de Bir-a neda en la de la olaza de la Panadería bma; en Granada en casa de D. An tonio Juan de Teba, cori dor dei comercio; en Valencia en la librería de Mellen, y en Zaragoza en la de Abcila. EN LA IMPRENTA REAL.</t>
  </si>
  <si>
    <t>…ante D. Carlos por los concertados enlaces con las Sertnas. Sras. Infantas de Portugal una comisión de la villa de H: ena, compuesta de su alcalde mayor el Dr. D. Lorenzo Cazanx , Sr. D. An tonio Gómez Calderón, fiscal del Consejo supremo de Indias, y el marques de Casa Madrid , gentilhombre de cámara de S. M., y mayordomo de se mana del Sermo. Sr. Infante D. Carlos; el primero de los cuales arengó á S. M. y A. en sus respectivas habitaciones de…</t>
  </si>
  <si>
    <t>…lace con la Reina nuestra Señora en nom bre de la ciudad de Algeciras los limos. Sres. conde dei Finar, del Consejo y Cámara de S. M., y del de la suprema Inquisición, y del limo. Sr. D. An drés Esteban, obispo de Jaén; el primero de los cuales dijo: ,,Señor: La antigua ciudad de Algeciras, de cuyos hogares partió en 1808, aumentada de gente y pertrechos de guerra, la mayor parte de las tropas que humillaron en Bailen el orgullo francés: aquella…</t>
  </si>
  <si>
    <t>An, Casimiro</t>
  </si>
  <si>
    <t>Casimiro An</t>
  </si>
  <si>
    <t>…te dicho señor juez y citada escribanía. Por el juzgido del Sr. D. Joaquín de Almazan yXimeno, del consejo de S. M., teniente corregidor de esta villa, y escribanía del número del Sr. D. Casimiro An tonio Gómez, del consejo de S. M., su secretario, se siguen autos por parte de Don Joscf de Vil ogas, vecino y d A comercio de la ciudad de la Coruña, como herede ro de su he mino D. Sebastian de Villegas, sobre la pertenencia de dos vales rea les de 300 pe^o…</t>
  </si>
  <si>
    <t>Án, Cosme Giménez de</t>
  </si>
  <si>
    <t>Cosme Giménez de Án</t>
  </si>
  <si>
    <t>…ficio oratorio, estilo, ornato y concinidad. Declararon algunos preceptos de la llamada arte poéti ca de Horacio, que habían decorado en verso latino y castellano. Per con clusión D. Cosme Giménez de Án til Ion dio gracias al concurso en una can ción lírica. Muchos de la segunda clase apenas cuentan r4 meses dé enseñan za metódica, y cuatro el qpe mas de la primera en- la tierna edad- de nueve á doce años. Primera clase.. D. Josef Serrano ,. D. Bernardino P'…</t>
  </si>
  <si>
    <t>An, Francisco</t>
  </si>
  <si>
    <t>Francisco An</t>
  </si>
  <si>
    <t>Gaceta de Madrid n.º 112</t>
  </si>
  <si>
    <t>…iable de estampas, y los libros todos del primer siglo de la imprenta ; y habiendo ocupado las sillas que bajo de un do sel les estaban preparadas, el bibliotecario mayor interino D. Francisco An tonio González tuvo la honra de pronunciar el discurso siguiente: „Señor: La Real Biblioteca, fundada por la generosidad de! Rey D. Fe lipe v de Borbon , aumentada por D. Fernando vi , enriquecida singular mente por D. Carlos in , y distinguida con varios pri…</t>
  </si>
  <si>
    <t>An, Ignacio</t>
  </si>
  <si>
    <t>Ignacio An</t>
  </si>
  <si>
    <t>…la noche del 18 de Marzo de 18(4, bajo la calidad ordinaria de que si dejasen pasar este término no serán oídos: al efecto podrán acudir por la escribanía de cámara del cargo del Sr. D. Ignacio An tonio Martínez. Por providencia de 17 del corriente, dida por el Sr. D.Ramón Satúe, del Con sejo de S. M , aLalde en su Real casa y corte, á quien está cometida la egecucion de una Real facultad, se ha mandado sacar ¿ pública subasta por término de 30 días un…</t>
  </si>
  <si>
    <t>An, Josef</t>
  </si>
  <si>
    <t>Josef An</t>
  </si>
  <si>
    <t>…vida en su santa custodia dilatados años.” El día 25 de Agosto último tuvo la honra de felicitar á S. M. á nombre de Iflí vil'la de Hüelma, y de besar su Real mano, el presbítero D. Josef An tonio ArJio, prior cura párroco de ella, acompañado del Excmo. Sr. duque de Montemar, conde de Garciez ; con cuyo motivo dicho párroco arengo á S. M. en los términos siguientes: ,,Señor: La villa de Huelma, en el reino de Jaén, me ha conferido el lisonjero y…</t>
  </si>
  <si>
    <t>…oticia de sus habitaciones, para que en el término de 15 dias, que por tercero se les señala, y el último perentorio, se presenten ante dicho señor juez y escribanía del número de D. Josef An tonio Canosa á decir y exponer en razón de sus créditos lo que hallaren por conve niente; con apercibimiento que pasado dicho término se nombrará de oficio un de fensor con quien se entiendan las diligencias sucesivas. Nota. La obra Nuevo método de destilar e…</t>
  </si>
  <si>
    <t>An, Juan</t>
  </si>
  <si>
    <t>Juan An</t>
  </si>
  <si>
    <t>…s Príncipes de la mas excelsa casa del universo.’* El día 23 de Diciembre tuvieren la honra de besar la mano á S. M. á nombre del gobernador y ayuntamiento de la villa de Infantes D. Juan An tonio Cañas, regidor de la misma, y maestrante de Ronda, y el Dr. D. Fernando Velez, capellán de honor.de S. M. ; los cuales pusieron en sus Rea les manos la representación siguí ente • ,,Señor: Vuestro gobernador político y militar de la villa y partido de I…</t>
  </si>
  <si>
    <t>…abido 22 del corriente á las 11, en punto de su mañana en la audiencia del Sr. D. Andrés Oüer, del consejo, d« S. M., alcalde en su Real casa y corte, y escribanía de pro\incia de D. Juan An tonio Ditz Noriega, donde se admitirán las mejoras que se lucieren. Quien quisiere hac^r postura ¿ dos casas sitas erl esta Corte , la una en la calle de! Limón, seña!ada con el núm. 5, manz. 546, que tiene de sitio 2632 y § pies, tasada en 88045 rs. vn.í y4…</t>
  </si>
  <si>
    <t>…cámara D. Miguel Calvo García, se ha mandado anunciar al público por medio de los periódicos para su in teligencia. Disertación sobre el origen, nombre y población de Madrid: por D. Juan An tonio Pellicer. rrr Discurso sobre varias antigüedades de Madrid, en que se refieren y examinan algunas memorias sagradas y profanas de esta ilustre villa de Madrid: por el mismo Pellicer. = Carta en castellano con posdata poliglota, en Ja cual el mismo Pelli…</t>
  </si>
  <si>
    <t>An, Manuel</t>
  </si>
  <si>
    <t>Manuel An</t>
  </si>
  <si>
    <t>…ieron el buen resultado que se había prometido. El teniente coronel D. Eugenio de Villasana, comandante de Teloloapan, dió parte de haber enviado en auxilio del cura de Ixcareopan D. Manuel An tonio Vidal, que se hallaba acometido de los rebeldes, una partida de 6o caballos al cargo del capitán I). Manuel Gómez ; y este último á su regreso le participo, con fecha 12 de Setiembre, que habiendo llegado á Ixcareopan sin dar alcance á los rebeldes , in…</t>
  </si>
  <si>
    <t>Ana</t>
  </si>
  <si>
    <t>…Real mano y fe licitar á S. M. por su augusto enlace los Sres. el Dr. D. Matías Samaniego y Alvarez, canónigo penitenciario de la insigne iglesia colegiaf de la ciudad de Toro, y D. Ana res Sánchez de Arcilla , racionero de la misma , como comi sionados de ella, de los cuales el primero dijo entre otras cosas lo siguiente: ,,Señor: Los individuos de este cabildo, constantemente fieles á la causa de V. M. en la época de desolación y turbulenc…</t>
  </si>
  <si>
    <t>Ana, Josef Sama</t>
  </si>
  <si>
    <t>Josef Sama Ana</t>
  </si>
  <si>
    <t>…de navio D. Antonio Van-IIalen, y al dé fragata D. Josef Quesada. Pensiones de 4® reales sobre el Real erario. Al contra-maestre de construcción graduado de ayudante de Ingenieros D. Josef Sama Ana, y á los médicos-cirujanos de la armada D. Francisco Vallecillo y D. Lorenzo Bandini. A !a viuda é hijos menores del piloto de la clase de segundos de la arma da D. J uan Delfiti el sueldo por entero que este gozaba por vía de pensión; y á la viuda é hijos me…</t>
  </si>
  <si>
    <t>Ana, María</t>
  </si>
  <si>
    <t>María Ana</t>
  </si>
  <si>
    <t>Gaceta de Madrid n.º 114</t>
  </si>
  <si>
    <t>…el 15 del corriente á matricularse en los referidos Rea les colegios. El 4 de Julio del presente año falleció en e*ta corte á los 76 años y cin co meses de su edad la Exorna. Sra. Doña María Ana, Princesa de Salín Salm, Duquesa viuda del Infantado. Nació) en Anholdt, ciudad de Alema nia , de los Sermos. Sres. Príncipes reinantes de Salm Salm , del Sacro Ro mano Imperio , Duques de Hoogstraten, Condes de Dhaum y Kirbourg Scc., gefes de una familia, cu…</t>
  </si>
  <si>
    <t>Ánchiálo, Evaristo</t>
  </si>
  <si>
    <t>Evaristo Ánchiálo</t>
  </si>
  <si>
    <t>…ular aprecio del ayuntamiento y demas personas que asi lóTmanÍfestaron: y en la clase de rudimentos y sin taxis acreditaron tina instrucción sobresaliente D. ( Raimundo Colmenero, D. Evaristo Ánchiálo , D. Francisco Rojo yD; Francisco Llórente: en vis ita de eito: el 'alcalde Jmayor y los' señores D. Josef Clavero y D. Éstéban de h Peña, comisarios ¿ y demas individuos de áyuñtamiento, deseandó premiarel mérito de estos discípulos f y excitar Su zelo y apj…</t>
  </si>
  <si>
    <t>And</t>
  </si>
  <si>
    <t>Gaceta de Madrid n.º 9</t>
  </si>
  <si>
    <t>72</t>
  </si>
  <si>
    <t>…s, y de Novillo, calle de Barrionuevo. Filosofía moral para la juventud española, con un discurso de la aplicación de la filosofía á ios asuntos de la religión: escrita por el Dr. D. And es Piquer, médico de cámara que fue del Sr. D. Carlos ni: tercera edición: dos tomos en 4.0 encua dernados en un volúmen de 700 páginas: su precio 28 rs. en pasta. Se hallará en la librería de Baylo, calle de las Carretas. EN LA IMPRENTA REAL.</t>
  </si>
  <si>
    <t>Gaceta de Madrid n.º 143</t>
  </si>
  <si>
    <t>1264</t>
  </si>
  <si>
    <t>…nz. 220, sita en la ca lle de Sta. Catalina de Sena de esta corte, que comprende 9140 pies de area, tasada en 45 3890 rs., que se vende para hacer pago á acreedores, acuda ante el Sr. Don And res Qller, del Consejo de S. M., alcalde de casa y corte, por la escribanía de provincia de D. Juan Antonio Díaz Noriega, que despacha D. Pedro Josef de Ibabe, lo haga hasta el dia 17 de Diciembre próximo venidero, en el que se ha de celebrar su remate á las…</t>
  </si>
  <si>
    <t>Andrade, Navarro de</t>
  </si>
  <si>
    <t>Navarro de Andrade</t>
  </si>
  <si>
    <t>…Mr. de Purtscher, presidente del tribunal de Apelaciones del Tirol. £1 cabildo empezará á egercer sus funciones el día 9 de Noviembre próximo. Antes de ayer llegó aquí de París el caballero Navarro de Andrade, en cargado de Negocios de Portugal cerca de nuestra corte. ALEMANIA. Francfort 9 de Julio, Con motivo de haber salido para Cassel Mr. Haenlein, ministro de Prusia cerca de la dieta, se han suscirado nuevas dudas en orden al día en que se comenzarán las sesio…</t>
  </si>
  <si>
    <t>Andrea</t>
  </si>
  <si>
    <t>Gaceta de Madrid n.º 134</t>
  </si>
  <si>
    <t>…Sr. Infante *D. Cárlos V á quien felicitó con igual motivo. A R T I C U i O DE OFICIO. Circular del Consejo Supremo de la Guerra, Habiendo; acudido al Consejo Supremo de la Guerra Doña Andrea del •Rio, madre viuda de D. Josef y D. Dionisio Valiñas, Subtenientes que fue ron del Regimiento Infantería de Aragón , y murieron en la batalla de Alba de Tormes, solicitando que este Supremo Tribunal designase terminantemení-te la pensión que la corresponde…</t>
  </si>
  <si>
    <t>Andrés</t>
  </si>
  <si>
    <t>…siones, si la ocurrencia de los negocios lo exigiere. Los accionistas que tuvieren 25 ó mas acciones propias deberán hacerlo constaren la secreta ría del citado Banco del cargo de D. Andrés de la Cuesta, exhibiendo las mismas acciones, ó entregando testimonio suficiente que acredite su pertenencia, y los números que comprendan, y si son adquiridas por endosos á quien están llenas, «desde el lunes n del presente mes de Marzo, en que comienzan los…</t>
  </si>
  <si>
    <t>…calzada de esra corte los linos. Sre&lt;. D. Mariano Rodríguez je O'.ruedo, obispo de Puerto-Rico, y I&gt;. Fr. Josef Higinio Durar Mar ti, obb-o de Panamá, siendo consagra nte el limo. Sr. D. Andrés fist :han . &lt; bbpo Jo Ce;i ta , v eiecto de Jaén; asistentes los limos. Sres. D. Luis Grcg'irio López del Castrillo, obispo de Lorima , y auxiliar de esta corte, y D ArJ-os cJ An tres García Palomares, obispo de Albarracin ; y padrinos del primeo ei Excmo. Sr…</t>
  </si>
  <si>
    <t>Gaceta de Madrid n.º 144</t>
  </si>
  <si>
    <t>…es ó patriotas que hubieren muerto en defensa de la justa causa de la nación, ha cabido en suerte del primer extractó de la de este dia á Doña María Antonia Mur, hija del patriota D. Andrés, muer to en el campo del honor. La extracción siguiente se egecutará el dia 23 de Diciembre. ARTICULO DB OFICIO. Circular de la Tesorería general de S. M. El Sr. Secretario de Estado y del Despacho de Hacienda con fecha 30 del mes próximo pasado me dice lo qu…</t>
  </si>
  <si>
    <t>Andriani, Severo</t>
  </si>
  <si>
    <t>Severo Andriani</t>
  </si>
  <si>
    <t>…nigo de Cartagena, y director que ha sido de la Mise ricordia dé Murcia ; D Dionisio Pizarro, dignidad de arcediano de Saldaña, canónigo de León, y director interino del hospicio; D. Severo Andriani, maestrescuela de la catedral de Huesca, y director de la casa de misericordia; á los oficiales de la secretada del Despacho de Hacienda D. Francisco Icabaleerá, D. Josef Goicoechea, D. Justo Josef Banqueri, D. Luis López Ballesteros y D. Manuel Corte*; D. Jo…</t>
  </si>
  <si>
    <t>Andrisain, Juan</t>
  </si>
  <si>
    <t>Juan Andrisain</t>
  </si>
  <si>
    <t>…uación de quintos á los meritorios D. Josef Suarez Albanell y D. Alejandro de la Calle. DEPARTAMENTO DE CARTAGENA. Promovidos d sus inmediatas clases. A oficial segundo el tercero D. Juan Andrisain; á oficial tercero el cuar to D. Josef Santiago Santaeiia; á oficiales cuartos los quintos D. Fulgencio García Saez y D. Martin Rodon y Simón, y á oficiales quintos los meritorios D. Joaquín García y D. Serapio Carreras.</t>
  </si>
  <si>
    <t>Angarea, Antonio</t>
  </si>
  <si>
    <t>Antonio Angarea</t>
  </si>
  <si>
    <t>1130</t>
  </si>
  <si>
    <t>…agata D. Juan Navarrete. A la graduación de tenientes de Fragata d los que lo están de alféreces de Navio D. Agustín Berlinguero, D. Juan Martínez León, D. Francisco de la Torre y D. Antonio Angarea. Para la graduación de alféreces de Navio d los que lo son en propiedad de Fragata D. Miguel Moreno y D. Pedro Juan Barceló. A la graduación de aférez de Fragata al primer piloto prdetico D. Antonio Armengual. OFICIALES DE MAR. A la graduación de tenientes de…</t>
  </si>
  <si>
    <t>Angel</t>
  </si>
  <si>
    <t>…ase.. D. Josef Serrano ,. D. Bernardino P'erez y D&gt; Manuel de las Heras. Segunda clase. D. Salustiano de Olozaga, D. Cosme Giménez de Anti1100,0. Cosme Cordon, O. Cayetano Barosa, D. Angel de las Heras, Don Manuel Vega , D. Roque Alonso, Di Felipe Saiuz Robles, D. Valentín. Alonso y D. Manuel Serrano-</t>
  </si>
  <si>
    <t>Anglas, Boissy de</t>
  </si>
  <si>
    <t>Boissy de Anglas</t>
  </si>
  <si>
    <t>Gaceta de Madrid n.º 49</t>
  </si>
  <si>
    <t>…Silvestre de Sacy, Gossellín, Daunau, Derales, Dupont de Nemours, el barón Reirihard, Guinguené, el príncipe deTalley'rand , el conde -Garan de Coulon , ei caballero Visconti, él conde Boissy de Anglas, Millin , el barón Degerando, Brial, Petit- Radel, Barbie-Dubocage, el conde de Lanjuinais y Gausin,,; Gail, Clávier, • Arnaui*.y-Duval, Bernardi, Boissonnade , el conde de Laborde, Walkenaer, Vanderbourg, Quatremere *( Etienne), Raoul-Rochette , Lefronne, Mo…</t>
  </si>
  <si>
    <t>Angu.o, Juan Fermín Fernandez de</t>
  </si>
  <si>
    <t>Juan Fermín Fernandez de Angu.o</t>
  </si>
  <si>
    <t>…érmino de 20 dias, contador desde pl d de este mes , concurra por si ó por medio de procurador con poder bastante,á deducir la acción que ¡e competa en el expediente promovido por D. Juan Fermín Fernandez de Angu.o, vecino de ia ciudadjde Oviedo, y resi dente al presente en esta corte, sobre p.igo de n;.rs., el que se _M¿uej&gt;or la audien cia "dcrSí. TX~Xoscf Salvador Lppez del Pan, del Consejo de S. M. , alcalde de su</t>
  </si>
  <si>
    <t>Angulo, Alonso de Adan y</t>
  </si>
  <si>
    <t>Alonso de Adan y Angulo</t>
  </si>
  <si>
    <t>…feliz enlace con la Serma. Sra. Infanta Dona María Francisca de Asís, j El mismo dia 9 tuvo la honra de felicitar á S. M. por su augusto enlace^ á nombre de la villa de Alcaudete, D. Alonso de Adan y Angulo , caba llero de la Reai y distinguida orden española de Carlos iri, caballerizo da campo honorario de S. M., socio de número de la Real sociedad de’Jaén, y Vecino de la misma villa; quien después de manifestar á S. M. los sentimien tos mas puros de amor y fid…</t>
  </si>
  <si>
    <t>Angulo, Angel Govantes Fernandez de</t>
  </si>
  <si>
    <t>Angel Govantes Fernandez de Angulo</t>
  </si>
  <si>
    <t>86</t>
  </si>
  <si>
    <t>…Granada, con la an tigüedad que le corresponda: para la fiscalía de la audiencia de Canarias i D. Gerónimo Zemborain: para la plaza de alcaide mayor de la audiencia de Asturias á D. Angel Govantes Fernandez de Angulo: para la última plaza de oidor de la audiencia de Galicia á D. Manuel Losada Cadórniga: para la última plaza de alcalde dei crimen de Granada á D. Josef Ruiz Castro y Caballero: para la última plaza de alcalde del crimen de Galicia á D. Mi guel Antonio Vigil…</t>
  </si>
  <si>
    <t>Angulo, Ventura Bustos y</t>
  </si>
  <si>
    <t>Ventura Bustos y Angulo</t>
  </si>
  <si>
    <t>…a bañarse, precaviendo en los casos comunes los excesos sin consulta; nuevo medio para criar á los niños hermosos, sanos y robustos, y en ellos á la sociedad: primera edición, por D. Ventura Bustos y Angulo, cirujano y dentista que fue en esta corte: pue de ir en carta. 5e hallará á 3 rs. en la librería de Sojo, calle de las Carretas, y en Ja misma el Conservador de la dentadura y de los niños en ia dentición-, del mismo autor, y en casa del cirujano dentista en…</t>
  </si>
  <si>
    <t>Anjona, Josef Manuel de</t>
  </si>
  <si>
    <t>Josef Manuel de Anjona</t>
  </si>
  <si>
    <t>…cará 5 loa tutos el curso que corresponda, practicando las notificaciones y demas que ocurra tu los estrados del Consejo en su ausencia y reincidía. Eti virtud de providencia del Sr. D. Josef Manuel de Anjona, del Consejo dp S. M., su alcalde de casa y corte,, su fecha 19 de Octubre próximo pasado, refren dada del escribano 4e provincia y comisiones de la misma I3&gt;. Manuel López de RÍyas, se cita, llama y emplaza á todos los legatarios é interesados en las mandas…</t>
  </si>
  <si>
    <t>Antbnio</t>
  </si>
  <si>
    <t>ode lá Crcz v D. Antbnio. JBecernI.j-y . el escribano del mismo pueblo Don -Juan Sierros De; orden dei [consejo se cita , llama y .-emplaza &amp; todos estos y demas que tengan interes en el asunto ó sus herederos y sucesores para que dentro de 15 dias, que se contarán desde, la fecha de…</t>
  </si>
  <si>
    <t>Ante</t>
  </si>
  <si>
    <t>…nte, y de cuya bondad recibieron una singular prueba. El dia 26 de Junio último tuvieron la honra de felicitar al Rey nuestro Señor , á nombre de la ciudad de Tudela en Xa varra , D. Ante rio Frarcisco de Lecumberri y Azcue, mayordomo de seman a de S. M , y D. A¿berro Sagastíbelza , brigadier de los Reales egcrcitos; de los cíales el primero dijo: „Señor: La M. N. y M. L. ciudad de Tudela, cabeza de su merindad en vuestro fidelísimo reino de N…</t>
  </si>
  <si>
    <t>Anti, Cosme Giménez de</t>
  </si>
  <si>
    <t>Cosme Giménez de Anti</t>
  </si>
  <si>
    <t>…de la primera en- la tierna edad- de nueve á doce años. Primera clase.. D. Josef Serrano ,. D. Bernardino P'erez y D&gt; Manuel de las Heras. Segunda clase. D. Salustiano de Olozaga, D. Cosme Giménez de Anti1100,0. Cosme Cordon, O. Cayetano Barosa, D. Angel de las Heras, Don Manuel Vega , D. Roque Alonso, Di Felipe Saiuz Robles, D. Valentín. Alonso y D. Manuel Serrano-</t>
  </si>
  <si>
    <t>Antiilon, Isidoro de</t>
  </si>
  <si>
    <t>Isidoro de Antiilon</t>
  </si>
  <si>
    <t>…coa el objeto de que sirva también de estímulo á los artistas para promover la industria nacional. Elementos de geografía astronómica, natural y política de España y Portugal, po^ D. Isidoro de Antiilon: segunda edición, corregida y aumentada. Estos elemen tos se publicaron por primera vez en el año de 1808, los que merecieron la apro bación del público conocedor de la importancia que debía tener una recopilación concisa y escogida de todo lo mas importante…</t>
  </si>
  <si>
    <t>Antillon, Isidoro de</t>
  </si>
  <si>
    <t>Isidoro de Antillon</t>
  </si>
  <si>
    <t>…uno de los tres que se hallen en este mismo caso de la cátedra de economía política, la obra de Juan Bautista Say. 5.0 Y las lecciones de geografía escri tas de orden de S. M. por D. Isidoro de Antillon, á tres de la de geografía. de nobles artes, i,° El discípulo que modele con mas perfección y delicadeza el grupo ó modelo que se designe al intento, obtendrá una meda lla de oro, valor de 160 rs: vn. 2.‘j Otra igual al que presente en un pliego de papel de m…</t>
  </si>
  <si>
    <t>Anto</t>
  </si>
  <si>
    <t>Gaceta de Madrid n.º 15</t>
  </si>
  <si>
    <t>…y corte de Madrid, se servirá avisarlo en ella á D. Josef Ortiz de Herboso, procurador de los Reales conse jos y agente general de los Cinco gremios mayores de ella, y en Bilbao á D. Anto nio de Aldape y Albíz, vecino y de su comercio. Diario del alma en presencia de su Dios*, le dedica al Ret nuestro Señor Don Fernando vri el Rmo. P. Fr. Ramón Manrique, profeso del Real monasterio de S. Lorenzo del Escorial, predicador de S. M., teólogo consu…</t>
  </si>
  <si>
    <t>…ídem de Reales Zapadores, el grado de capitán: á D. Francisco Saín z, subteniente del regimiento de la Victoria, y D. Manuel Ramos, idem del de Barbastro, el grado de teniente: al brigadier D. Anto nio Cano, comandante general de una división del egército, D. León de Or tega, teniente coronel del regimiento infantería del Rey, D. Anselmo de Bierna, asesor general y auditor de guerra de la capitanía general del NuevoReino de Granada, y D. JosefMaría Ramí…</t>
  </si>
  <si>
    <t>…su juzgado privilegiado se cita, Harina y emplaíi i todas y cualesquiera personas que se contemplen con de recho í los bienes quedados con motivo del fallecimiento abintestato de D. Anto nio Hernández, soldado que fue de la cuarta compañía, primer batallón del regímiento de infantería de Reales Guardias Españolas, y ordenanza perpetuo de la te sorería mayor de S. M., acaecido en el hospital General de esta corte el dia 15 de Junio último, par…</t>
  </si>
  <si>
    <t>…ribas 20. D. Juan Nobreda 20. D; Manuel Saudin Calderón 8. D. Fernando Gómez 10. Doña Margarita Martin 20. D. Santos Avoin Coronel en efectos y dinero 360. D. Manuel Cisneros 200. D. Anto nio Echenique 140. D. Josef Perez 40. D. Fructuoso Tejedor 30. D. Josef Lozano 30. D. Victorio Valtierra 30. D. Lorenzo de Seras 30. El coman dante de las armas 138. El contador y subalternos 60. El tesorero de ren ta' 23. ES administrador de rentas 23. D. Pe…</t>
  </si>
  <si>
    <t>…llon óo. Doña María de Castro 60- Juan de Cam pos Ruiz 40. D. Francisco Bejar 40. Josef Beímar 40. Sebastian Moreno 40. Juan Espinosa Tellez 50* Doña Isabel Gerónima Zamorano 100. D. Anto nio Ortiz Calvento 50. D. Pedro Josef Zamorano 160. Pedro Alfonso Clavijo i®. Doña Ana Sánchez 1®. Juan Caballero y su hijo 60. Doña Marina Rita Zamorano 150. D. Benito Molina 100-----La villa de Cañete las Tor res 5366. £1 convento de carmelitas calzados de…</t>
  </si>
  <si>
    <t>Anto, Estéban</t>
  </si>
  <si>
    <t>Estéban Anto</t>
  </si>
  <si>
    <t>…bre; Juana Bautista Bonilla, enferma y blanca; Doña Clemencia Almengual. Trinidad'y Enero 18 de 1816. = Ambrosio de Mendoza. En virtud de providencia de 21 del corriente del limo. Sr. D. Estéban Anto nio de Orellana, del consejo y cámara de S. M. en el Real y supremo de la Guer ra, y asesor general de los cuerpos y tropas de casa Real y su juzgado privilegiado, se ha mandado citar, llamar y emplazar, como por el presente se cita, llama y emplaza, á todos…</t>
  </si>
  <si>
    <t>Anto, Josef</t>
  </si>
  <si>
    <t>Josef Anto</t>
  </si>
  <si>
    <t>…de las escuelas existentes en esta ciudad en cinco tardes consecutivas, y adjudicados los premios á los mas sobresa lientes por los jueces nombrados entre los socios, el director D. Josef Anto nio Morales , alcalde mayor de esta isla , procedió al repartimiento de pre mios en la tarde de ayer en la sala capitular á presencia de la diputación del muy ilustre ayuntamiento, presidida por su corregidor, de la mayor parte de los socios,y de un concurso…</t>
  </si>
  <si>
    <t>…io López de Salazar, que se admitirá. En junta celebrada ante el Sr. D. Joaquín Almazan, del Consejo de S. M., te niente corregidor de esta villa de Madrid, y escribano del número D. Josef Anto nio Canosa, en 28 de Julio último per los acreedores á la dimisión y cesión que en 8 de Junio hizo de estos á su favor la Excma. Sra. condesa viuda de Torrubia de las dos terceras partes del producto de una casa sita calle del Arenal, núm. 2, manz. 393 , cuyo…</t>
  </si>
  <si>
    <t>Anto, Juan</t>
  </si>
  <si>
    <t>Juan Anto</t>
  </si>
  <si>
    <t>…in mas citarles ni emplazarles. En virtud de providencia del Sr. D. Joaquín de Almazan, del consejo de S. M., teniente de corregidor de esta villa, por la escribanía del número de D. Juan Anto nio de Urraza, y para pago de acreedores, se saca á pública subasta una casa sita en esta misma villa y su calle de S. Marcos, esquina á la de S. Antón, uúm. i.°, man* zana 310, la cual tiene de sitio 2450 pies, y está tasada en 96940 rs. Quien qui siere hace…</t>
  </si>
  <si>
    <t>Anto, Pedro</t>
  </si>
  <si>
    <t>Pedro Anto</t>
  </si>
  <si>
    <t>…a Pezuela al Excmo. Sr. marques de la Concordia. Tengo el honor y satisfacción de incluir á V. E. la adjunta copia del par te que me ha remitido el comandante general de avanzadas D. Pedro Anto nio de Oiañeta. Detalla los rebultados del ataque que dio á la de los enemi gos el 17 del próximo pasado en el punto de Salo , seis leguas distante del pueblo de Tupiza , sorprendiéndolas á beneficio de una marcha ve loz. La acción ha sido feliz por la muy re…</t>
  </si>
  <si>
    <t>Anto, Ramón</t>
  </si>
  <si>
    <t>Ramón Anto</t>
  </si>
  <si>
    <t>…onio Josef Melgarejo , vecino de la villa de S. Cle mente ; D. Lorenzo Delgado, presbítero y comisario del Sto. Oficio de Se villa; D. Josef María Pau y Cánovas, vecino de Huesca; D. Ramón Anto nio Pico,.contador de la provincia de la Mancha; D. Josef de Alburruza, coronel de los Reales egérciros; D. Manuel Hernández , comisario ordenador, y regidor de la ciudad de S. Juan de Puerto-Rico; barón de Ortiz, digni dad de la catedral de Barcelona ; D. Me…</t>
  </si>
  <si>
    <t>Antoñaaa, Bernardo Diaz de</t>
  </si>
  <si>
    <t>Bernardo Diaz de Antoñaaa</t>
  </si>
  <si>
    <t>…esta publicación, en el juzgado del Sr. D. Joaquín Almazan, del Consejo de S. M. teniente corregidor de esta villa, y por la escribanía del número vacante que actualmente despacha D. Bernardo Diaz de Antoñaaa; apercibidos que de lo contrario les parará el perjuicio.que haya lugar. En virtud de providencia del 31 del pasado del limo. Sr. D. Estéban Antonio de Orellana, del Consejo y Cámara de S. M. en el Real y Supremo de la Guerra,y asesor general de todos los cue…</t>
  </si>
  <si>
    <t>Antonia, María</t>
  </si>
  <si>
    <t>María Antonia</t>
  </si>
  <si>
    <t>Gaceta de Madrid n.º 10</t>
  </si>
  <si>
    <t>…la es cribanía de D. Cayetano Rodiiguez Moran, con motivo de la muerte ahintestato de D. Antonio de la Torre, notario mayor que fue del tribunal eclesiástico de esta plaza, entre Doña María Antonia de la Torre, hermana del finado, que solicitaba se le declarase su heredera, y D. Josef Ignacio Lazcano, de este comercio, nombrado albacea en cierta cédula que fue encontrada entre ios papeles del difunto, se pro veyó en 14 de Koviembre de! año próximo pasad…</t>
  </si>
  <si>
    <t>Antonio</t>
  </si>
  <si>
    <t>…sgo de patriotismo. En los autos seguidos en el juzgado de lo civil de la ciudad de Cádiz por la es cribanía de D. Cayetano Rodiiguez Moran, con motivo de la muerte ahintestato de D. Antonio de la Torre, notario mayor que fue del tribunal eclesiástico de esta plaza, entre Doña María Antonia de la Torre, hermana del finado, que solicitaba se le declarase su heredera, y D. Josef Ignacio Lazcano, de este comercio, nombrado albacea en cierta cédula q…</t>
  </si>
  <si>
    <t>…s; pero a fin de poner la empresa en un sistema de or den cual conviene á mi servicio y á la utilidad pública, nombro por direc tor facultativo de todas las obras de esta ai mismo D. Antonio. Prat. Sus fa cultades y las del director económico, que ha de serlo el superintendente co mo primer gefe de la empresa, serán respectivamente en materia de obras las mismas que mi augusto Padre prefijó en Real cédr la de i. de Mayo de 1805 á los dos director…</t>
  </si>
  <si>
    <t>Gaceta de Madrid n.º 23</t>
  </si>
  <si>
    <t>…culo 4.0 de mi citado Real decreto establecí que el Almiran te general de España é Indias, cuya dignidad tenia anteriormente conferida á mi muy. caro y amado Tio el Sermo. Infante D. Antonio, habla de ser el Gefe superior bajo mis órdenes de todos ios cuerpos y establecimientos de la Armada naval; pero como tan vasto encargo, y el trabajo que de él ven dría á resultarle si lo hubiese de desempeñar por sí mismo, causaría al Infan te grave molestia…</t>
  </si>
  <si>
    <t>…a. Sra. Infanta de Portugal .Doña María Isabel Francisca. Reunido en el cuarto del Sermo. ‘Sr. InfanteiDt Cárlos, presidido por S. A*R., é incor porado en él el Sermo. Sri Infante D. Antonio, ^asó de ceremonia y formai00 ai de S. M., quien á poco tiempo sé'presento á recibir este homenage de fidelidad, de amor y de respeto. El; Sermo. SrvInfante D.¡Cirios aproximán dose entonces á S,. M., le arengór» expresando los sentimientos del Consejo con aq…</t>
  </si>
  <si>
    <t>Gaceta de Madrid n.º 27 (extraordinaria)</t>
  </si>
  <si>
    <t>…a de cámara dé S. M. ¿subsecretario de cá mara. Debajo de la firma de S. M. püsierdo^Iafc suyas, por su orden en una y otra escritura los Sernáqs. Sres. Infantes Di Cárlos María y D. Antonio, llevándoles á sus’sillas la mesa, y sirviéndoles él tintero los mismos que Ips habían llevado y servido á S. M. En seguida el señor ministro plénipotenciario, sentado en uno de los taburetes que hábia Certa'dé la; mesa dé la iequfiérda del dpsé|, fir mó en s…</t>
  </si>
  <si>
    <t>…, t8, 20, 22 , 25 y 26 de Junio próximo pasado hubo egercicios públicos de historia natural farmacéutica, en los que D. Josef Ma ría Hernández , D. Manuel Saldiña, D. Pedro Navas, D. Antonio de la Barrera, O Pedro Mezquia y D. Francisco Guzman, discípulos de este Real colegio de Farmacia de S. Fernando, manifestaron su grande aplicación</t>
  </si>
  <si>
    <t>…lacer ; lo que nos produce la satisfacción de conocer que hasta ahora sien tan bien y aprovechan i S. M. N o menos favorable aparece el uso de la misma agua al Sermo. Sr. Infan te D. Antonio, á quien del mismo modo aprovecha y sienta muy bien hasta el dia. El lunes h .bo en este pueblo corrida de toros de muerte, á que asis tieron S. M y A. en la casa de D. Joaquín Paez Jaramillo, en que se hallan alojidos el Exorno. Sr. D. Pedro Cevallos y la pr…</t>
  </si>
  <si>
    <t>…do muy bien, igualmente que al Sermo. Sr. Infante D. Antonio. El es tado actual de la salud de S. M. y A es el mas satisfactorio. Continuación de las felicitaciones hechas á S. M. D. Antonio de la Cuesta , cura párroco de Ontanillas. La diputación de la villa de Montalvillo. El cura párroco del lugar de Torronte. El ayuntamiento y clero de la villa de Villalba del Rey. La villa de Cañaveras y su párroco. El beneficiado de la parroquia de Pareja.…</t>
  </si>
  <si>
    <t>Gaceta de Madrid n.º 97</t>
  </si>
  <si>
    <t>…r. Eos comisionados de la villa de Salmerón. Cuenca jo de Julio• El día 29 á las cinco de la mañana salieron de Sacedon el Ret nuestro Señor y su augusto Tio el Sermo. Sr- Infante D. Antonio para la ciudad de Huete. Xas justicias y párrocos de los pueblos del tránsito, y aun de otros</t>
  </si>
  <si>
    <t>…1 Contrebia , ciudad de los celtíberos , que los ro manos llamaron después Tiñería. Se verificó tan precioso hallazgo en ocasión de estar S. M. y su augusto Tio ei Sermo. Infante D. Antonio tomando los ba ños llamados de Sacedon, que en jo anticuo pertenecían á dicha ciudad. liste busto, cuyo peso es de una arroba y 20 libras, y que sin duda re presenta á algún emperador de los romanos, cuyas efigies se fijaban en los caminos miiiiares, ó á Bibi…</t>
  </si>
  <si>
    <t>…ara cuando á fin de año se celebre el correspondiente examen. Guadal ajara jo de Agosto. Luego que esta ciudad tuvo noticia de que S. M. (que Dios guarde) y el Sermo. Sr. I ifante D. Antonio, su amado lio, se dignaban honrar la vi lla de Sacedon con su augusta presencia , determinó pasasen con la ceremo nia acostumbrada cuatro diputados de su ayuntamiento al principio de su término para felicitar á S M. y A., y rendirles los debidos homenages que…</t>
  </si>
  <si>
    <t>…ada acaecida en' 16 de Agosto próximo pasado en esta corte de O: Ventura de la Cueva y Arias, de estado soltero, natural qué fue de la ciudad de Molina dé Aragón, hijo legítimo de D. Antonio de la Cueva y Doña María Antonia Arias de Perea, veciñós que fueron de la misma, á fin de que dentro de 30 días perentorios, que por primero,*• segundo y tercer término se les concede, contados desdé el.referido día ,-concurran ¿ ame dicho señor juez, y por l…</t>
  </si>
  <si>
    <t>…a de Bar co, carrera de S. Gerónimo, á 20 rs. en pasta, y en Valencia en la de Domingo. Retrato de la Reina nuestra Señora Doña María Isabel de Braganza, dibu jado :y. grabado por D. Antonio .Vázquez, profesor de grabado en ésta corte. Esta obra, que tiene la circunstancia de estar trabajada de puntos por el estilo del céle bre ingles Bartolozzi, tan conocido por la dulzura de sus obras, ha merecido la Real aprobación de SS. MM. y AA., y está ded…</t>
  </si>
  <si>
    <t>Antonio, Carlos y IX</t>
  </si>
  <si>
    <t>Carlos y IX Antonio</t>
  </si>
  <si>
    <t>…e hallará venal en la librería de Calleja, calle de las Carretas, á 40 rs. en rústica. Oda, que con o:asion de haberse dignado S. M., acompañado de los Serenísi mos Src¿. Infantes D. Carlos y IX Antonio, visitar y examinar detenidamente su Real biblioteca y monetario en la tarde del día 4 del corriente, compuso su biblio tecario D. Cárlos JBosch y Mata para recitarla delante de S. M. y AA., y no se pu do hacer por la cortedad del tiempo. Se hallará en la lib…</t>
  </si>
  <si>
    <t>Antonio, Fiancisco</t>
  </si>
  <si>
    <t>Fiancisco Antonio</t>
  </si>
  <si>
    <t>702</t>
  </si>
  <si>
    <t>…rvicio, deí mérito que contraen los maes— tros, y del aprovechamiento de los discípulos, y que asi se haga público por ]a gacua de esta corte para satisfacción de los interesados. D. Fiancisco Antonio de la Torre, tesorero de las fabricas de artillería de ln C&gt;n\ada, y familiar del santo oficio de la Inquisición, luego que tuvo noticia del decreto de í&gt;. VI., por el que se digno restablecer en su egercicio este tribunal, determino, en manifestación del júb…</t>
  </si>
  <si>
    <t>Antonio, Francisco</t>
  </si>
  <si>
    <t>Francisco Antonio</t>
  </si>
  <si>
    <t>…y Garay ; y para la del Valle de Ay ala á D. Vicente Diaz de O.arte. Por resolución á consulta de! supremo Cornejo de Hacienda , y á so lici tud del teniente coronel de infanteiía D. Francisco Antonio \ aiü lomar y del Lie. I). Gaspar García Aramburu , síndicos procurador ger.rsl y p.ersonero de la villa de Castro dei Rio en el reino de Córdoba , se ha dignado S. M. conceder á dicha villa la facultad de que con sujtcion al pago de los correspondientes dere…</t>
  </si>
  <si>
    <t>Antonio, Juan</t>
  </si>
  <si>
    <t>Juan Antonio</t>
  </si>
  <si>
    <t>216</t>
  </si>
  <si>
    <t>…e S. Felipe. . Catecismo de la doctrina cristiana por el P. Gerónimo Ripaida, de la compa rtía de Jesús; añadido con 1,30 preguntas con sus, correspondientes respuestas por el Dr. D. Juan Antonio de la Riva, canónigo ele Cartagena: dedicado al Rby nues tro Señor D. Fernando vii, y reimpreso con superior permiso. También los hay en 8.® en papel fino pára el usó de las casas particulares, por haberlos pedido va rios sugetos. Se hallará en las librerías…</t>
  </si>
  <si>
    <t>1171</t>
  </si>
  <si>
    <t>…guel de Abaurre, el concurso de S. Agustín de la villa de Carabajales, el convento de S. Agustín calzados de la ciudad de Valladolid, D. Francisco Dávila , Doria Isa bel Formento, D. Juan Antonio de la Rumbe, el convento de S. Quirce , órclcn de S. Bernardo de la ciudad de Valladolid, el convento de mínimos'de la villa de Mancera de abajo , las memorias de Alonso Vallejo y Doña Ana de Castro, el con vento de nuestra Señora de Belen de la ciudad de Val…</t>
  </si>
  <si>
    <t>…úmero., fecha 6. del corriente, se ha señalado el dían del mismo, á las nueve en punto de su mañana„ en la posada de S. S. ,tpara nueva junta general de acreedores á los bienes de D. Juan Antonio y D. Patricio Ribera; en inteligencia de que á los que no concurran les parará el perjuicio que haya lugar. En 17 de Octubre del año pasado se pusieron en la casa de correos de la ciudad de Segovia-, con sobre al señor fiscal del crimen de la Real chanc'iilería de Valladolid, uno…</t>
  </si>
  <si>
    <t>Antonio, Juüan</t>
  </si>
  <si>
    <t>Juüan Antonio</t>
  </si>
  <si>
    <t>…egu.ro, á fin de que en lo sucesivo sean útiles á sí mismos y á su patn&gt;. , \ \ ■/, V.. Habiendor-fatictttbre,avisado al ayuntamiento de esta ciudad el c^tedfábco de lati,’ «lidad D. Juüan Antonio 5íuñez, qúe,^emaidispuestos sus discípulos para'ser presentados á .exámenes públicos r se señalaron. los ¿jas V y. io del cor-</t>
  </si>
  <si>
    <t>Antonio, Pvdro</t>
  </si>
  <si>
    <t>Pvdro Antonio</t>
  </si>
  <si>
    <t>…ombate sobre toda «día. Reblando de placer y satisfacción el ilustre ayuntamiento hizo una corta gratificación á los niños, y el cura párroco á los maestros. Sace don 21 de Julio. D. Pvdro Antonio deTorralba, cura párroco de la villa de Javalera, fe licitó ayer á S. M , á nombre de sus feligreses, en los términos siguientes: ^ Señor: La villa de Javalera jairas dudó un momento en la fidelidad í V M., ni en sacrificar sus personas y bienes en defensa de…</t>
  </si>
  <si>
    <t>Antonio-Macazaga</t>
  </si>
  <si>
    <t>1246</t>
  </si>
  <si>
    <t>…ición, se procedió á la insinuada aplicación de premios, que se verificó en el modo siguiente: El primero, de dos onzas de oro, á D. Mariano Diaz ; el segundo , de una onza id., á D. Antonio-Macazaga; y el tercero, de media onza, á D. Matías Hidalgo por sus conoci dos progresos en dibujo y grabado. Igualmente para premiar da aplicación y conducta observada en dicho Barrio, conceptuó dicho D. Josef era digno del premio de un doblon de oro, que perGÍbió com…</t>
  </si>
  <si>
    <t>Antonío.zrCuaderno, Nicolás</t>
  </si>
  <si>
    <t>Nicolás Antonío.zrCuaderno</t>
  </si>
  <si>
    <t>…uadernos y retratos que contienen son los siguien tes : cuaderno i.°: D. Antonio Leiva, Ambrosio Morales, el P. Juan de Mariana, Fr. Lope Félix de Vega Carpió, D. Antonio Solis, y D. Nicolás Antonío.zrCuaderno 2.0: el cardenal Gil Albornoz, Gonzalo Fernandez de Córdoba , el gran du que de Alba, Arias Montano, D. Francisco Quevedo y Villegas, y D. Juan de Ferreras. —Cuaderno 3.0: Hernán Cortés, Garcilaso de la Vega, D. Alonso de Ercilla, D. Pedro Calderón de la Barc…</t>
  </si>
  <si>
    <t>AntonioMurrieta, Josef</t>
  </si>
  <si>
    <t>Josef AntonioMurrieta</t>
  </si>
  <si>
    <t>…dente de la junta de nuevas Condecoraciones militares. Habiendo llegado á Cádiz, procedente dePortovelo y la Havana , la fra gata particular S. Juan Bautista, su capitán y maestre D. Josef AntonioMurrieta, y en ella algunos intereses pertenecientes á D. Luis de Sandoval ó sus herederos , de la Rioja, sin designación de lugar , que remite D. Bernardo Jo sef de Arce, vecino y del comercio de Panamá, á consignación de D. Joa quín María Ferrer, residente en Madrid…</t>
  </si>
  <si>
    <t>Antóriio, Jiian</t>
  </si>
  <si>
    <t>Jiian Antóriio</t>
  </si>
  <si>
    <t>…rentorios, que por primero,*• segundo y tercer término se les concede, contados desdé el.referido día ,-concurran ¿ ame dicho señor juez, y por la escribanía del número que égerce D. Jiian Antóriio.. de Urraza, por sí ó por medio de procurador con poder bastante á decir y exponerJ lo que tengan por conveniente; con apercibimiento de que pasados se declarará la pertenencia de la indicada herencia á favor del pariente ó parientes que.acrediten , ser mas i…</t>
  </si>
  <si>
    <t>Antort</t>
  </si>
  <si>
    <t>Gaceta de Madrid n.º 109</t>
  </si>
  <si>
    <t>959</t>
  </si>
  <si>
    <t>…z d- Huerta, y D. Gaspar de Guzman y Pimentel.rz Cuader no 16: Fr. Juan de Jesús Ma ría, D. Martin Bautista de Lanuza,ei conde de Lemo&gt;.,el Mtro. Vicente Espinel, D. Jorge Juan, y D. Antort o de Uiloa. —Cua derno 17: D Pablo- de Sant* Marta, el P. Diego Lainez, Fr. Gerommo Graban de la M«drc de Dios, D. Joicf del Campillo, el cardenal D. Francisco de Mcndo-</t>
  </si>
  <si>
    <t>Antqnio, Du</t>
  </si>
  <si>
    <t>Du Antqnio</t>
  </si>
  <si>
    <t>1335</t>
  </si>
  <si>
    <t>…corporación ásu amado Soberano, y que de ningún modo seria mas grato manitestario áf su benigno corazón que con el desempeño de los objetos propios de su instituto.-En seguida ;el secretario Du Antqnio dé Jesús* Vargas hizo un breveresúmen de; las ¿deliberaciones? y objetos que habían ocupado la aten ción del cuerpo en todo el año; yJiábiendo leído el programa que canténiai los premios referidos, se verificó su adjudicación á presencia de todo el con curso.…</t>
  </si>
  <si>
    <t>Anunzarri, Juan Antonio</t>
  </si>
  <si>
    <t>Juan Antonio Anunzarri</t>
  </si>
  <si>
    <t>Gaceta de Madrid n.º 53</t>
  </si>
  <si>
    <t>420</t>
  </si>
  <si>
    <t>420 y de partidarios D. Josef Borbon, D. Manuel López Cobo y D. Diego Rol dan : tanto estos como los ayudantes de ambos D. Juan Antonio Anunzarri, del primero, y D. Francisco Villavaso, del segundo.* el recomendable capi tán de egército D. Juan Ortuño, ayudante de órdenes mío; el teniente de partidarios D. Ignacio de la Riva; el subteniente de cazadores D. Josef María Valdés, y el de igual clase del se…</t>
  </si>
  <si>
    <t>Anza, Josef de</t>
  </si>
  <si>
    <t>Josef de Anza</t>
  </si>
  <si>
    <t>…ces á las artes y agricultura; ¡subo público examen en los dias 11 y 12 del presente en ti salón principal, presidido el acto por la Real junta, puesto á su cabeza el ¡¡ tendente D. Josef de Anza, zeloso protector de estableci mientos útiles, y «co.npanado Jet Fxcmo. Sr. capitán general, á cuyo ta lento é inclinaciones nunca paia por alto la menor proporción de adelantar para la común prosperidad; empezó á las diez de la mañana hasta la una de la tard…</t>
  </si>
  <si>
    <t>Ao.e, Antonio Genua</t>
  </si>
  <si>
    <t>Antonio Genua Ao.e</t>
  </si>
  <si>
    <t>Gaceta de Madrid n.º 81</t>
  </si>
  <si>
    <t>68</t>
  </si>
  <si>
    <t>…que si lo tiere á bien lo ele ve al «oh rano de S. M., r&lt; comtndando á la comida ración de V. E. el mé rito que vn esta acción han contraído ti teniente coronel D. Jo*&gt;ef Moles y D. Antonio Genua Ao.e, capitán y alférez de dragones de la Union, El Rey nuestro Señor se ha servido aceptar los donativos que se expresan tn las dos notas siguientes, mandando se den gracias en su Real nombre á los interesados, y se publiquen tan apreciadles piuebas de lealtad en…</t>
  </si>
  <si>
    <t>Apari, Tomas</t>
  </si>
  <si>
    <t>Tomas Apari</t>
  </si>
  <si>
    <t>…lla, y condecorado con la cruz del segundo egército. El Emo. y Excmo. Sr. cardenal Cebrian, patriarca de las Indias; el Excmo. Sr. inquisidor general de estos reinos , y los Sres. D. Tomas Apari^ ció Santin, colector general de Espolios; D. Manuel Martínez del Campo, del supremo Consejo de la Inquisición, sumiller de cortina de S. M., y audi tor de Rota en la corte de Ronva ; D. Gabriel de Hevia y Noriega , del mismo Consejo de la Inquisición, y D. C…</t>
  </si>
  <si>
    <t>Apodaca, Domingo</t>
  </si>
  <si>
    <t>Domingo Apodaca</t>
  </si>
  <si>
    <t>…graduado D. Nicolás Cardoso. A la graduación de subtenientes dd primer regimiento Real de Marina d los sargentos primeros D. Cárl os Valero, D. Josef de Cárdenas, D. Josef Usero, D. Domingo Apodaca, D. Benito Molina, D. Ramón López y D. Manuel Perea. En el tercer regimiento A D. Andrés Rodríguez. EN EL CUERPO DE PILOTOS. DEPARTAMENTO DE CADIZ. A tenientes de Navio los primeros pilotos graduados de tenientes de Fragata D. Juan Dieguez Miguez y D. Andrés…</t>
  </si>
  <si>
    <t>Apodaca, Juan Ruiz de</t>
  </si>
  <si>
    <t>Juan Ruiz de Apodaca</t>
  </si>
  <si>
    <t>322 y efectos del armamento del buque Insurgente. Dios guarde á V. E. muchos años. Trinidad y Enero 18 de 1816. = Excmo. Sr. = Ambrosio Mendoza, ss Excmo. Sr. D. Juan Ruiz de Apodaca.” Lista de los prisioneros que trae D. Esteban de Moya, capitán de la go leta corsario Ana de los apresados en la goleta la Popa (alias) el General Bermudez, procedente de Cartagena de Indias. A saber: ca pitan. D. Matías Padrón, ayudante del mayor general de…</t>
  </si>
  <si>
    <t>Apódaca, Juan Ruiz de</t>
  </si>
  <si>
    <t>Juan Ruiz de Apódaca</t>
  </si>
  <si>
    <t>…de la escuela náutica del pueblo de Regla, en la isla de Cuba, que promovieron varios de sus vecinos apoyados del zelo por el bien del Real servicio , y conocimientos del teniente general D. Juan Ruiz de Apódaca, comandante general de marina del apostadero de la Havana, cuales han sido haberse examinado cinco alumnos en aritmética, otros tantos de geometría , y seis en navegación, manifestando todos en sus respectivas clases mucha apli cación y mas que regular aprove…</t>
  </si>
  <si>
    <t>Aquilón, JLuis</t>
  </si>
  <si>
    <t>JLuis Aquilón</t>
  </si>
  <si>
    <t>…colegio de farmacia de S. Fernando de esta corte se celebra ron egcrcicios literario-» en los dias i, 8, 16 y 19 de Junio último por los alumnos del mismo D. Benito Gines Sánchez, D. JLuis Aquilón, D. Pedro N avas y D. Josef Badajoz, bajo ía dirección del primer catedrático , gefe lo cal del establecimiento, D# Antonio de la Cruz. Recayeron lias .disertaciones sobre la^ diferentes especies de ruibarbo dél comercio, las gomo-resinas, gálbano , amoniaco,…</t>
  </si>
  <si>
    <t>Ar, Francisco de</t>
  </si>
  <si>
    <t>Francisco de Ar</t>
  </si>
  <si>
    <t>…por mesadas, la cual se liará colativa conforme á la tasa del obispado si el pro visto quiere ordenarse. Los que quieran presentarse al exameu y concurso público comparecerán ante D. Francisco de Ar^c Palacio, secretario de dicho cabildo, den tro del término de 43 dias, contados desde el 30 de Junio; adviniéndose que el concurso quedará abieito hasta su efectiva provisión, al que se admitirán también casados, y que serán preferidos los que puedan desempe…</t>
  </si>
  <si>
    <t>Ar, Josef Antonio</t>
  </si>
  <si>
    <t>Josef Antonio Ar</t>
  </si>
  <si>
    <t>9^5 fanteD. Carlos, le cumplimentó igualmente el referido D. Josef Antonio Ar dió, dirigiéndole la palabra del modo sicuieive: ,,Sermo. Sr.: La villa de Huelma , en la provincia de Jaén , que tanto amor y fidelidad ha profesado siempre á la augusta familia de sus Reyes , se ha com placido extraordinariamente al saber el matrimonio conc…</t>
  </si>
  <si>
    <t>Aragón, Marcelino</t>
  </si>
  <si>
    <t>Marcelino Aragón</t>
  </si>
  <si>
    <t>…mplimiento esta disposición, cuando tuve parte de haber sido arrollada y prisionera la avanzada de mi retaguardia, después de haber muerto á su co mandante el capitán de cazadores D. Marcelino Aragón y su subalterno el teniente D. Juan Josef Caracholi, por lo que adopté la resolución de bus carlo , ordenando al comandante Reboredo se inclinase sobre su izquierda para proteger la marcha del batallón de cazadores, mientras que yo con el de partidarios me di…</t>
  </si>
  <si>
    <t>Aragón, María de</t>
  </si>
  <si>
    <t>María de Aragón</t>
  </si>
  <si>
    <t>…Dalp, á instancia de estos, y del defensor de los herederos alísenles, se ha maridado sacar á pública subasta por té mino de 30 dias una casa sita en la calle del Rclox, barrio de Doña María de Aragón, señalada con el núm. 11 de la manz. 554, como perteneciente á la misma testamentaría, la cual se tasó por el arquitecto D. Alfonso Rodríguez en 20 de Abril del año pasado de 1811 en la cantidad de 158957 rs. de vn. Lo que se anuncia al púbiieo por si al guna…</t>
  </si>
  <si>
    <t>…ca, hija de D. Alonso iii, Rey de Portugal: Doña Blanca, hija del Infante D. Pedro: Doña Dulce, hija de los P^eyes D. Alonso y Doña Teresa: Doña Leonor, hija de D. Fernando el iv: Doña María de Aragón, hija de D. Fernando v de Aragón: Doña Elvira , hija de los Reyes de Navarra: Doña Leonor de Castilla, nieta de D. Pedro el Jus ticiero: Doña Ana de Austria, hija de D. Juan de Austria: Doña Isabtl de Molina, hija del Sr. de Molina. ARTICULO DE OFICIO. Circul…</t>
  </si>
  <si>
    <t>…cedentes de réditos por varios títulos de establecimientos públicos, mandando al mismo tiempo se publique en la gaceta este rasgo de generosidad en favor del estado. El colegio de Doña María de Aragón abre sus estudios el dia 18 del cor riente, con Real privilegio de poder incorporar sus cursos de filosofía, in cluso él de filosofía moral, en cualquiera de las universidades del Reino. Se dará principio con un discurso inaugural, que á las nueve de la mañan…</t>
  </si>
  <si>
    <t>Aran, Manuel López</t>
  </si>
  <si>
    <t>Manuel López Aran</t>
  </si>
  <si>
    <t>Gaceta de Madrid n.º 154</t>
  </si>
  <si>
    <t>1349</t>
  </si>
  <si>
    <t>…M. en Ja forma establecida los -Excmos. Sres. marques de Campo-Sagrado , D. Josef Luis de Souza , marques de Vilíafranca , D. Gaspar de Vigodet, D. Francis co de Copons y Navia , D. Manuel López Aran jo y D. Josef Vázquez de Figueraa , caballeros, novicios grandes cruces de la orden. Sucesivamente se cantó una: misa solemne de Concepción , en que celebró de pontifical el Ex celentísimo Si*, cardenal de Santa María de Scala D- Luis de Borbon , en calidad d…</t>
  </si>
  <si>
    <t>Arana, Rafael Ruiz de</t>
  </si>
  <si>
    <t>Rafael Ruiz de Arana</t>
  </si>
  <si>
    <t>…D, Bernardo Temes, D. Antonio Barata y D. Diego de la Torre, di rectores del Crédito público; D. Pió Eüzalde, ídem de Reales provisiones; D. Carlos Rusconi , cónsul en Venecia, y D. Rafael Ruiz de Arana, ministro del tribunal de Cruzada. Idem de Provincia Á D. Mariano Vallejo, superintendente y director de las Reales fábricas de Guadalajara; D. Pascual Román, contador de Juros, y D. Francisco Mel garejo y D. Antonio Alonso , tesoreros de egército y Real haci…</t>
  </si>
  <si>
    <t>…f Antonio Larraz , oficiab mayor primero de la secretaría del Despacho de Hacienda ; á D. Máximo Rodenas, oficial-mayor segundo de la misma secretaría, y al intendente de egército D. Rafael Ruiz de Arana, Bandas de la Real orden dé Damas Nobles de la Reina Marta Luisa A las Sermas. Sras. Infantas de Portugal Doña María de la Asunción, Doña Ana de Jesús María, y á S. A. R. la Princésa viuda del Príncipe del Brasil Doña María Francisca Benedicta; como 'también…</t>
  </si>
  <si>
    <t>Araniegui, Agustín</t>
  </si>
  <si>
    <t>Agustín Araniegui</t>
  </si>
  <si>
    <t>esta D. Agustín Araniegui con una orden que me ha entregado del señor comandante de la qtnnra división D. Sebastian de la Calzada, que dice asi* ,,Quedó enterado de todo lo que V. me dice en su oficio del tp del que rige. Inmediatamente marchará V. con teda su fuerza reunida sobre Pam…</t>
  </si>
  <si>
    <t>Aranjo, Manuel López de</t>
  </si>
  <si>
    <t>Manuel López de Aranjo</t>
  </si>
  <si>
    <t>…ico por su grande opinión de santidad. El dia to de Junio próximo pasado tuvieron la honra de presentarse á cumplimentar á S. M. en nombre de la villa del Ferrol los Excmos. Sres. Don Manuel López de Aranjo, del consejo de Estado, y secretario de Estado y del despacho de Hacienda , D. Antonio Correa, teniente general de los Reales egórcitos y gentilhombre de cámara con egercicio, y el Sr. D. Jacobo M aria de Parga, ministro del supremo consejo de Hacienda y comi…</t>
  </si>
  <si>
    <t>Araoz, Miguel</t>
  </si>
  <si>
    <t>Miguel Araoz</t>
  </si>
  <si>
    <t>…de To ledo D. Isidoro Sainz de Alfaro, el brigadier D. Josef Cevallos, y D. Josef Matías de Landaburu, secretario de legación en Berlin. Cruz de Caballeros. El capitán de Fragata D. Miguel Araoz, el capitán del regimiento de Gra nada D. Fernando Gaver, el sargento mayor del regimiento de Badajoz Don Joaquín Gayón, el teniente coronel D. Luis Clouet, ei subteniente de dra gones retirado D. Josef Mariano Zavala, D. Juan Josef Echezuria, vecino de Carac…</t>
  </si>
  <si>
    <t>Araujo, Manuel López</t>
  </si>
  <si>
    <t>Manuel López Araujo</t>
  </si>
  <si>
    <t>Gaceta de Madrid n.º 13 (extraordinaria)</t>
  </si>
  <si>
    <t>…y del Despacho de Hacienda D.Jofcefi barra, he venido en exonerarle de la Secretaría dé sil cargo, concediéndole plaza efectiva en mtConsejo de Estado; y he nombrado en su lugar á D. Manuel López Araujo, Di rector de la Renta de la Real Lotería i y de mi Consejo de Hacienda. Tendreislo entendido, y dispondréis lo necesario á su cumplimiento. = Rubricado de la Réal máno.= En Pa lacio á 27 de Enero de 1816. = A D. Pedro Ce valles. 4.* Habiendo venido en exoner…</t>
  </si>
  <si>
    <t>…egecute puntualmente, qua asi es mi vovoluntad. Tendreislo entendido, y lo comunicareis á quien corresponda. = Señalado de la Real mano. = En Palacio á 19 de Febrero de 1816. = A Don Manuel López Araujo. Con fecha de 2/ de Febrero se ha servido S. M. expedir la Real órden siguiente: ,, El Sr. D. Cárlos iv, á consulta de la cámara, hecha eti 14 de Abril dé 1804 sobre instancia del R. obispo de Málaga1, en que exponía los perjuicios que experimentan las iglesi…</t>
  </si>
  <si>
    <t>669</t>
  </si>
  <si>
    <t>…SPAÑA. \ Madrid 26 de Junio, El dia S del corriente tuvieron la honra de besar la Real mano de S. M. y felicitarle por su contratado enlace á nombre de la ciudad de Vigo el Excmo. Sr. D. Manuel López Araujo, secretario de Estado y del despacho universal de Hacienda, y el Sr. D. Francisco Xavier Vázquez Varela, mi nistro del mismo consejo; y el primero dijo: „ Señor: La M. N. F. L. y V. ciudad de Vigo, en el vuestro reino de Galicia, honras que el Gobierno consti…</t>
  </si>
  <si>
    <t>Araüjo, Manuel López</t>
  </si>
  <si>
    <t>Manuel López Araüjo</t>
  </si>
  <si>
    <t>Gaceta de Madrid n.º 161</t>
  </si>
  <si>
    <t>1420</t>
  </si>
  <si>
    <t>…fante Doil Cárlos con igual motivo. ARTICULO DE OFICIO. JEl Rey nuestro Señor se ha servido expedir los decretos siguientes: r.° ,,Condescendiendo con las reiteradas instancias de D. Manuel López Araüjo, dirigidas á que le exonere del despacho de la Secretaría de Estado de Ha cienda que tenia puesto á su cuidado, he venido en ello, y en nombrar pata que le sirva interinamente á mi consejero honorario de Estado D. Martin Ga« ray. Tendreisrlo entendido , y dis…</t>
  </si>
  <si>
    <t>Araujo, Manuel López de</t>
  </si>
  <si>
    <t>Manuel López de Araujo</t>
  </si>
  <si>
    <t>^99 miento, comunicándolo á quien corresponda. := Rubricado. = En Palacio á de Junio de 1816. = A D. Manuel López de Araujo.” Por la vía reservada de Marina se comunicó en 28 de Mayo último á la de Hacienda , con traslado al Secretario del supremo Consejo de Almirantaz go para su circulación en la Armada, la Real orden que sigue: „Excmo. Sr.: En Real orden de 5 de Diciembre último…</t>
  </si>
  <si>
    <t>Arcayo, Gaspar María Soler y</t>
  </si>
  <si>
    <t>Gaspar María Soler y Arcayo</t>
  </si>
  <si>
    <t>…Espino, conde de Calatrava, marques de Casa-boca , y marques de Corpas. Mayordomos de semana Al barón de Carondelet, al conde de Casa-Rojas, á D. Antonio de Agüe ra y Mollinedo , D. Gaspar María Soler y Arcayo, y D. Josef Bruno Mag dalena. Ayudas de cdmara A D. Nicolás Arguelles , D. Domingo Izquierdo y Morales, D. Francis co Hernández y Nogues y D. Joaquín Montujar y Larrea. NOTA. Las gracias que se han expedido por la secretaría del Despacho de Guerra se publicar…</t>
  </si>
  <si>
    <t>Arcayós, Francisco Ramiro y</t>
  </si>
  <si>
    <t>Francisco Ramiro y Arcayós</t>
  </si>
  <si>
    <t>…r.D. Fermín María Uria Nafarrondo, caballero de la Real y distinguida orden española de Cárlos m, que vive bajada de Sta Cruz, núm. 4, cuarto 2.0 ... Cuartel de S. Gerónimo. Al Sr.D. Francisco Ramiro y Arcayós,inqui-; sidor honorario y visitador eclesiástico de Madrid, que vive calle del Lobo, casas de S. Ignacio, cuarto principal. Cuartel del Barquillo. El Sr. visitador eclesiástico de Madrid, y no ha biéndole actualmente, se encargó al.expresado Sr. Uria Nafarron…</t>
  </si>
  <si>
    <t>Arce, Antonio de</t>
  </si>
  <si>
    <t>Antonio de Arce</t>
  </si>
  <si>
    <t>711</t>
  </si>
  <si>
    <t>…mano que Cervera mira como su ya la felicidad de sus Principes.” El dia 21 del pasado tuvieron la honra de presentarse á S. M. como diputados de la ciudad de Plasencia el teñí nte general D. Antonio de Arce y D. Juan Martin Sevillano , contador mayor de reinos, de los cuales el pri mero dijo: ,,Señor: La ciudad de Plasencia, que en todos tiempos ha manifestado la mas acendrada lealtad á sus legítimos Soberanos, ha dado en la gloriosa lucha que acabamos de sostener con admiración…</t>
  </si>
  <si>
    <t>Arce, Antonio Gómez</t>
  </si>
  <si>
    <t>Antonio Gómez Arce</t>
  </si>
  <si>
    <t>…valo. Nosotros hemos perdido it muertos y 13 heridos, de los cuales tres son de gravedad. Todos los oficiales llenaron su deber, y es pecialmente el alférez de la segunda compañía D. Antonio Gómez Arce, qne nabiendo perdido su caballo tue destinado á mandar una mitad de la infante ría, en donde permaneció con la mayor firmeza é intrepidez. El sargento segundo Juan Fernandez, los cabos primeros Alonso Chamorro y Fernando</t>
  </si>
  <si>
    <t>Arceo, Manuel López</t>
  </si>
  <si>
    <t>Manuel López Arceo</t>
  </si>
  <si>
    <t>…han restablecido la antigua cátedra * de latinidad , con la dotación de 430 ducados anuales , qué serán bien pagados.1 Los aspirantes á dicha cátedra dirigi rán sus memoriales al Sr. D. Manuel López Arceo, cura párroco en ella; previnien do que el concurso está prefijado para el dia i.° del próximo Marzo. El que obten ga dicha cátedra de latinidad acordará con los señores comisionados sobre la paga de los forasteros concurrentes’á ella. - En Ja ciudad de Guada…</t>
  </si>
  <si>
    <t>Arcos, Joaquín de</t>
  </si>
  <si>
    <t>Joaquín de Arcos</t>
  </si>
  <si>
    <t>44</t>
  </si>
  <si>
    <t>…á S. M. el comisionado por la muy noble ciudad de Ciudad-Real el brigadier de los Reales egércitos y ayu da nte general de detall del Real cuerpo de Guardias de la Persona del Rey D. Joaquín de Arcos del modo siguiente: „Señor: El ilustre ayuntamiento y vecinos de la muy noble 6 invencible ciudad de Ciudad-Real, capital de la provincia de la Mancha, mi patria, me han autorizado y diputado para cumplimentar á V. M. (como lo egecuto) por su feliz enlace con…</t>
  </si>
  <si>
    <t>Arcos, Juan de</t>
  </si>
  <si>
    <t>Juan de Arcos</t>
  </si>
  <si>
    <t>…n distinguido por su gallardía y actividad, son los alféreces de na vio D. Manuel Mieres y D. Ramón Londoño, los de fragata D. Estéban Croquer, D. Antonio Tiscar, D. Joaquín Mozo, D. Juan de Arcos, Don Antonio Sotelo, D. Manuel Zaragoza y D. Felipe Roldan, y los guardias marinas D. Antonio Urzais y D. Juan Mesías. No me detendré en explicar la clase de méritos que han contraído , ni la recompensa que merecen sino me tomaré la libertad de recordar á V.…</t>
  </si>
  <si>
    <t>…la antigüedad á este de la promoción de 29 de Mayo del año pasado de 1815 , D.-E legarlo, de los Cuetos, D. Josef Quesada , D. Esteban Croquer, D. Antonio Tiscar, D. Joaquín Mozo, D. Juan de Arcos , D. Antonio Sotelo , D. Manuel Zaragoza , D. Felipe Roldan , Don Antonio Urzais y D. Juan Mesías: el de alféreces de fragata á los guardias marinas D. Juan Mozo, D. Segundo Díaz Herrera, D. Victoriano López Llanos, D. Josef Salcedo, D. Francisco Osorio , D.…</t>
  </si>
  <si>
    <t>Ardevol, Jayme Guardia y</t>
  </si>
  <si>
    <t>Jayme Guardia y Ardevol</t>
  </si>
  <si>
    <t>…memoria á la posteri dad, y será honrada siempre por todos los buenos. Por providencia del consejo supremo de Hacienda en sala de Justicia de 5 del corriente, se cita y emplaza á D. Jayme Guardia y Ardevol, vecino de Barcelona, á ~D Melchc su hermano sus herederos" o* sucesores, ó cualquiera otra persona ó personas que se crean con derecho á la torre llamada del Estable de Juan Botella ó Dembotell, en el término despoblado del lugar de Almacellas, sobre cuya pe…</t>
  </si>
  <si>
    <t>Arellano, Juan Rodríguez de</t>
  </si>
  <si>
    <t>Juan Rodríguez de Arellano</t>
  </si>
  <si>
    <t>…lílescas, calle ancha de Majaderitos, á 3° rs. el cuaderno. * La persona 6 personas a quienes interesare una egecutoria de hidalguía expedida en Vaíi.idolid año de 1570 a favor de D. Juan Rodríguez de Arellano, vecino do Torrecilla de la Orden, jurisdicción de Medina del Campo, acudirán al R. P. abad del monasterio de S. Millan de la Cogolla, en la provincia de la Rioja, en cuyo poder para dicha egecutoria. En la riba de Namülaná de la mar, en las montañas de Santa…</t>
  </si>
  <si>
    <t>Arenas, Josef Antonio</t>
  </si>
  <si>
    <t>Josef Antonio Arenas</t>
  </si>
  <si>
    <t>…compuesta de su corregidor el Lie. Don Fermín Diez, de los regidores perpetuos D. Félix Martínez de Saavedra y D, Alonso Pedro Maldonado y Treviño , y del síndico personeroel Lie. Don Josef Antonio Arenas, los cuales expusieron á S. M. y A. R. los grandes y extraordinarios servicios que había hecho aquella provincia por defender los derechos de S. M. y sostener el juramento de fidelidad que le habían presta do; y protestando que los animaban en el dia los mism…</t>
  </si>
  <si>
    <t>Argel, Juan Orduña y</t>
  </si>
  <si>
    <t>Juan Orduña y Argel</t>
  </si>
  <si>
    <t>…amañan á D. Gerónimo Ti jerina: par¿ la del Real sitio y villa del Fscoral, juez privativo de aquellos Reales bosques, de los de la abadía de Parrace*, Que jigar y S. Saturnino, á D. Juan Orduña y Argel: para la de Zafra a D JosefPonce de León y Navarrete: para la de la Mora en Castilla á D. Félix Fernandez Avilés; para la de Posadas á D. Pascual de Haro: para la dt Peñaliel á D. Josef Branchat: para la de Alama de Murcia á D. J jan de Dios Ruiz y Ruiz: para…</t>
  </si>
  <si>
    <t>Argensola, Bartolomé Leonardo de</t>
  </si>
  <si>
    <t>Bartolomé Leonardo de Argensola</t>
  </si>
  <si>
    <t>…6.°: D. Alonso Tostado, Luis Vives, D. Diego Hurtado de Mendoza, D. Gerónimo de Zurita, D. Diego de Saavedra Fajardo, y D. Alvaro Navia Osorio.—Cuaderno 7.0: D. Luis de Requesens, D. Bartolomé Leonardo de Argensola, D. Francisco Valles, D. Juan de Ribera, D. Juan de Palaíox y Mendoza, y el Mt ro. Fr. Luis Ponce de León. (iV continuará.') Por providencia de los Sres. del Real y supremo Consejo de Castilla, y su sala de Provincia, se cita, llama y emplaza á D. Pedro Gómez…</t>
  </si>
  <si>
    <t>Arger, Francisco</t>
  </si>
  <si>
    <t>Francisco Arger</t>
  </si>
  <si>
    <t>…or la escribanía del número al car go de D. Cristóbal' de Vicuña, se cita, llama y emplaza a D. RaLel Ignacio Fantoni, D. Eusebio Domingo de Urquíio, D. J &lt; se f Vidal y Garri ga, D. Francisco Arger é hi,ps, D. Agustín Alecrín, D. Domingo Pérez é hijo, D. Micuel Alvarez de Pazos^D. Carlos Buzzoni, D. Josef Ventura Al» ¡, D Fidel M» rago y D. Jai me Ordeig, tenedores de un vale Real de 6c o pesos, creación de i.° de Setiembre, nám. 2927 , para que en el t…</t>
  </si>
  <si>
    <t>Arguelles, Nicolás</t>
  </si>
  <si>
    <t>Nicolás Arguelles</t>
  </si>
  <si>
    <t>…mos de semana Al barón de Carondelet, al conde de Casa-Rojas, á D. Antonio de Agüe ra y Mollinedo , D. Gaspar María Soler y Arcayo, y D. Josef Bruno Mag dalena. Ayudas de cdmara A D. Nicolás Arguelles , D. Domingo Izquierdo y Morales, D. Francis co Hernández y Nogues y D. Joaquín Montujar y Larrea. NOTA. Las gracias que se han expedido por la secretaría del Despacho de Guerra se publicarán en otra gaceta. EN LA IMPRENTA REAL.</t>
  </si>
  <si>
    <t>Arguello, Félix</t>
  </si>
  <si>
    <t>Félix Arguello</t>
  </si>
  <si>
    <t>…agonero 20. D. Francisco Villegas 2. D Josef Pavat 23. El R. P. general de Gerónimos 46 La co munidad del Carmen calzado 40. La de padres Preinostratenses 80. D. Ra món Moreda 23. D. Félix Arguello 40. D. Sebastian Hernández 70. D Jo sef Broche ro 8. D. Josef Uaabal 69. D. Francisco Crespo 20. Agustín Bar tolomé 13. D. Eustbio Arrabal 20. Fernando Gómez 20. D. Vicente Telio 4. D. Manuel Cisneros 23. D. Valentín.Ximenez 20. D. Carlos Milre40. D. Esteban…</t>
  </si>
  <si>
    <t>Arias, Antonio Sandalio de</t>
  </si>
  <si>
    <t>Antonio Sandalio de Arias</t>
  </si>
  <si>
    <t>Gaceta de Madrid n.º 159</t>
  </si>
  <si>
    <t>…ue se principió el curso acompañado de los Sermos. Sres. Infantes D. Cárlos y D. Antonio , animó con su presencia á los discípulos, y los estimuló con pre mios á la aplicación. El profesor D. Antonio Sandalio de Arias, deseoso de corresponder á la confianza del Monarca, y animado por los Sermos. Sres. Infantes hasta el punto de asistir personalmente, ya á los ejercicios teóricos que se tenían en la cátedra, yyaá Jas operaciones prácticas, donde mezclán dose con los discípu…</t>
  </si>
  <si>
    <t>Arias, Cosme</t>
  </si>
  <si>
    <t>Cosme Arias</t>
  </si>
  <si>
    <t>…a director D. Cayetano Fernandez Villamil. Faeron exami nad en aritmérica D. Josef Perez, D. Juan Pablo Rodríguez, D. Josef María Loureiro, D Florencio Pereira, D. Benito Pereira, D. Cosme Arias, D. Juan RoJriuuez , I). Josef Abad, D. Manuel Vicario, D. Josef Vicente Veigi, D Josef Alonso, D. Juan Vega, D. Manuel Rodríguez Almeiras j D. Cayetano Cruz. En geometría D. Josef Pujadas, D. Fermín Galceran, D Josef Sada, D. Ignacio Palacios, D. Tomas Diago…</t>
  </si>
  <si>
    <t>…irector D. Cayetano Fernandez Villamil. Fueron examinados en aritmédea D. Josef Perez, D. Juan Pablo Rodríguez, D. Josel María JLcureiro, D. Florencio Pereira, D, Benito Pereira , D. Cosme Arias, D. Juan Rodrí guez, D. Josef Abad, D. Manuel Vicario, D. Josef Vicente Veiga , D. Jo-</t>
  </si>
  <si>
    <t>Arias, Francisco</t>
  </si>
  <si>
    <t>Francisco Arias</t>
  </si>
  <si>
    <t>…nque fatales, no eran extrañas á una joven de su edad, le indicase lo cierto, y que deseaba saber en su propio beneficio, vino á decir se llamaba Doña María Fernandez, era hija de Don Francisco Arias, vecino y administrador de rentas mayores en Oporto, reino de Portugal. Que por no acceder á Ja voluntad de su padre en or den á colocarla en matrimonio contra la suya, la habían entrado violen tamente en un convento de religiosas de la ciudad de Santiago, de…</t>
  </si>
  <si>
    <t>Arias, Juan Pardo y Manuel</t>
  </si>
  <si>
    <t>Juan Pardo y Manuel Arias</t>
  </si>
  <si>
    <t>…, uno de los agraciados, á virtud de una Real orden,y 10075 rs. suplidos por el mismo para integrar á los arte sanos. Importa todo i8o©rs. ' . ■' :j DATA. Cuarteles. _ Maravillas. D. Juan Pardo y Manuel Arias, maestros de coches; Simón Rivas y Felipe_ Corral, maestros carpinteros; Francisco Biraló,maestro de coches; Cárlos Blanco , pintor: en 25 de Mayo percibió cada individuo la suma de 937 rs. y 17 mrs.: en 4 de Octubre percibieron 468 rs. y. 25 mrs. á cuenta de…</t>
  </si>
  <si>
    <t>Arias, Sanda.lio de</t>
  </si>
  <si>
    <t>Sanda.lio de Arias</t>
  </si>
  <si>
    <t>1402</t>
  </si>
  <si>
    <t>…económica Matriten se con fecha de 16 de Noviembre,por medio del Excmo. Sr. D. Josef Fizar» ro, la Real orden siguiente: „ Enterado el Rey nuestro Señor de la exposición hecha por D. Sanda.lio de Arias en to de Octubre último* en que solicita se mande á todos los ayuntamientos del reino que se suscriban por un egemplar de las lecciones de agricultura publicadas por el mismo, y teniendo presente lo que en ra zón de la mencionada solicitud informa en 4 del co…</t>
  </si>
  <si>
    <t>Arias, Tomas de</t>
  </si>
  <si>
    <t>Tomas de Arias</t>
  </si>
  <si>
    <t>Gaceta de Madrid n.º 21</t>
  </si>
  <si>
    <t>…de carácter, docto y caritativo, cual lo requiere la Real ordenanza. Su nombramiento previene que lo haga su juez protector, quien usando de sus facultades nombró sin dilación al Sr. D. Tomas de Arias, del consejo de, S. M. y juez auditor de la Rota de la Nunciatura eclesiástica, en quien se reunen todas estas cualidades. Diá principio á tan religioso acto el domingo 28 del mes anterior , habién dose en la víspera anunciado por las campanas de la casa. El…</t>
  </si>
  <si>
    <t>Arigunaga, Manuel</t>
  </si>
  <si>
    <t>Manuel Arigunaga</t>
  </si>
  <si>
    <t>…donde puedan ser traslada dos á la Península con la propia segundad; encargando particularmente la responsabilidad de la ejecución, si se encontrasen en elbergantin, á su Capi tán D. Manuel Arigunaga, y al propietario del mismo buque, embarcado en él, D. Juan Pecarrere.” Lo traslado á V. S. I. de igual Real orden para su inteligencia , y que se comuniquen las correspondientes á su cumplimien to." Comunico á V. S. esta Real resolución para inteligencia de…</t>
  </si>
  <si>
    <t>Arilla, Antonio</t>
  </si>
  <si>
    <t>Antonio Arilla</t>
  </si>
  <si>
    <t>…an mirado siempre con el. mayor zelo y esmero la educación públicade terminaron que se .presentasen.;á examen público los alumnos de la es cuela de latinidad á cargo deí-preceptor D. Antonio Arilla; y habiendo se ñalado para que se verificase este acto el dia 14 del pasado, se presentaron estos en las casas consistoriales, en donde, previo convite, habían concurrido los individuos del muy ilustre cabildo de la-iglesia colegial, los M. RR. pre lados de l…</t>
  </si>
  <si>
    <t>Arineridariz, Josef de</t>
  </si>
  <si>
    <t>Josef de Arineridariz</t>
  </si>
  <si>
    <t>…ña María Isabel de Braganza el Lie. D. Antonio Castejon y Hernández, regidor perpetuo de L. M. N. y L. ciudad de Plasencia, alcalde mayor de la villa de Navalcarnero , y el se ñor D. Josef de Arineridariz, brigadier de los Reales egércitos, exento del Real cuerpo de Guardias de la Persona del Bey, y caballero de la Real y militar orden de S. Hermenegildo , en representación del ayuntamiento de dicha ví!Ia; de los cuales el primero dijo á S. M : ,,Señor: La Rea…</t>
  </si>
  <si>
    <t>Arjcna, Josef Manuel de</t>
  </si>
  <si>
    <t>Josef Manuel de Arjcna</t>
  </si>
  <si>
    <t>…olo por vía de seguridad; apercibidos de que pasado dicho término sin mas citarles ni emplazarles se procederá á lo que haya lu gar, y les parará en perjuicio. Por providencia del Sr. D. Josef Manuel de Arjcna, del consejo de S. M., su alcalde de casa y corte , refrendada del escribano de provincia y comisiones D. Manuel López de Rivas, á instancia de D. Rafael Perez Romo, vecino de la ciudad de Burgos, como testamentario de D. Juan González Merlo, vecino que fue d…</t>
  </si>
  <si>
    <t>Arjona, Josef Manuel de</t>
  </si>
  <si>
    <t>Josef Manuel de Arjona</t>
  </si>
  <si>
    <t>Gaceta de Madrid n.º 85</t>
  </si>
  <si>
    <t>…dos, retasada en 33843 rs. vn., y rematada en 25200 rs. en etc-u :ncí.íiuo, libre de toda carga y gravamen. Quien quisiere hacer mejora acuda ante el señor alcalde de casi y corte D. Josef Manuel de Arjona , por la escri banía de pro-inda de D. Manuel López de Rivas, dentro del precitado término de seis día,, curtidos desde 5 del presente mes de Julio; en la inteligencia que para el último remite s&lt;: ha señalado el dia 13 del mismo presente mes en la audiencia…</t>
  </si>
  <si>
    <t>…carga, con inclusión de los derechos que se devenguen por razón de alcabala y derechos judiciales. Quien quisiere hacer me jora acuda al juzgado del tenor alcalde de casa y corte D. Josef Manuel de Arjona. y escribanía de piovincia de D. Manuel López de Rivas; en la inteligencia de que para su último remate se ha señalado el día 3 de Agosto próximo á las 11 en punto de la mañana en dichos juzgado y escribanía. Poesías líricas de D. J. B. de Arriaz»: dos tomos…</t>
  </si>
  <si>
    <t>…moneda metálica, li bres de torio gravamen y de derechos de alcabala, inclusos los judiciales. Quien qui siere hacer mis puja o mejora acuda ante el señor alcalde de casa y corte D. Josef Manuel de Arjona, y escribanía de provincia de D. Manuel López de Rivas; en la inteligencia de que se ha señalado para su remate el dia 5 de Setiembre próximo á las 1 1 en punto de hi mañana en la audiencia de dicho señor alcalde y citada escri banía de provincia. Instrucción…</t>
  </si>
  <si>
    <t>960</t>
  </si>
  <si>
    <t>…elipe Gil de Tabeada. Se vende cada cuaderno con un epítome de la vida de los sujetos retratados á 50 ra., y cada estampa suelta á 8, (i&gt; continuará.) Hn virtud de providencia del Sr. D. Josef Manuel de Arjona, del Consejo de S. Al-« si^.alcalde de casa y corte, refrendada del escribano de provincia D. Manuel López de Rivas, se ha mandado sacar á pública subasta una casa sita en el lugar de Carabanchel de abajo, y su calle que JMuman Empedrada, comprensiva de 4983Í…</t>
  </si>
  <si>
    <t>…bración desde el martes de la primera sé* mana del próximo mes de Noviembre, y que se haga saber al público para que le conste y pueda concurrir á él. En virtud de providencia del Sr. D. Josef Manuel de Arjona, del Consejo de S. M., su alcalde de Casa y Corte, refrendada de D. Manuel López de Rivas, escri bano de provincia y comisiones, se ha mandado volver á sacar al pregón por 15 dias ?nas una casa sita en el lugar de Carabanchel de abajo, y su calle llamada Em p…</t>
  </si>
  <si>
    <t>Arjona, Manuel María de</t>
  </si>
  <si>
    <t>Manuel María de Arjona</t>
  </si>
  <si>
    <t>623</t>
  </si>
  <si>
    <t>…para todas sus juntas) estaban adornadas con el mejor gusto, y una festiva másica militar hacia su debido efecto en tan alegre dia. Empezó ia sebón por un discurso que leyó el Dr D. Manuel María de Arjona, canónigo penitenciario de la santa iglesia, presidente de la academia general, y director segundo de la sociedad,en el cual, después de tributar el justo elo gio á las virtudes cristianas y políticas de S Fernando, daba en nombre de ía patria gracias á la Pr…</t>
  </si>
  <si>
    <t>Armengol, Francisco</t>
  </si>
  <si>
    <t>Francisco Armengol</t>
  </si>
  <si>
    <t>…los discípulos de las escuelas públicas de la clase de retórica, cu número de 6o, se presentaron al publico bajo la dirección de su maestro el P. Lorenzo de S. Blas, y después que D. Francisco Armengol pidió la aren .ion al público en una canción, D Juan Bautista Tiesto pronunció una' oración latina, después de la cual, á semejanza de los del colegio Andresia no, tradujeron en los parages que se les señalaron por los concurrentes en Us obras de los autores…</t>
  </si>
  <si>
    <t>Armengual, Antonio</t>
  </si>
  <si>
    <t>Antonio Armengual</t>
  </si>
  <si>
    <t>…graduación de alféreces de Navio d los que lo son en propiedad de Fragata D. Miguel Moreno y D. Pedro Juan Barceló. A la graduación de aférez de Fragata al primer piloto prdetico D. Antonio Armengual. OFICIALES DE MAR. A la graduación de tenientes de Fragata los graduados de alféreces de Navio D. Pablo Marge, D. Guillermo Riera y D. Juan de los Reyes. A la graduación de alféreces de Navio d los graduados de Fragata D. Manuel Bienvenga y D. Juan del Villar…</t>
  </si>
  <si>
    <t>Armijo</t>
  </si>
  <si>
    <t>mismo pueblo, ó sorprendiendo al convoy en su marcha f que se mandó sus pender; proporcionando las cosas de modo que ei cabecilla se encontrase si tuado entre las fuerzas del coronel Armijo por la parte de allá de Mexcala, y las de Concha y Villasana que le perseguían., En efecto las medidas y los cálculos fueron oportunos y acertados, y el infatigable teniente coronel Concha, después de uha marcha de 6o á 70 le guas, se incorporó con Villasana,…</t>
  </si>
  <si>
    <t>Armijo, Manuel Agustin Xarillo y</t>
  </si>
  <si>
    <t>Manuel Agustin Xarillo y Armijo</t>
  </si>
  <si>
    <t>…de Zaragoza por su heroica resistencia contra la ínjus ta invasión de los franceses, escrito á invitación de la junta central, y’remitido á su secretario en 27 de Mayo de 1809 por D. Manuel Agustin Xarillo y Armijo, cu ra párroco de la diócesis de Badajoz*. ‘El autor escribió este papel para coadyuvar al importante objeto que se tenia en aquel tiempo; y ahora lo publica, según lo pre» sentó á la junta, con el justo deseo de que por todos los medios se sepan y trans mita…</t>
  </si>
  <si>
    <t>Arnau, Luis</t>
  </si>
  <si>
    <t>Luis Arnau</t>
  </si>
  <si>
    <t>…s cosas se pro cura inculcaren estas escuelas; y por fia, después de haber distribuido varias, planas de todas clases de letra», se dió fina este egercicio con una canción, en que D. Luis Arnau dio ¡as gracias al publico. Ultimamente el d a quinto los discípulos de la segunda clase de escribir, ins truidos por su maestro el P J &gt;sef del Nombre de María, se presentaron tam bién á dar un testimonio público de su instrucción ; y después que en nom bre…</t>
  </si>
  <si>
    <t>Arnér, Pedro Antonio</t>
  </si>
  <si>
    <t>Pedro Antonio Arnér</t>
  </si>
  <si>
    <t>…dada por la escribanía del número de D. Cristóbal de Vicuña, se cita, llama y emplaza á D. Mariano Lanals, D. Be nito Capó y Paigsener, D. Pedro Antonio Canabes, apoderado del Dr. D. Pedro Antonio Arnér, de D. Bartolomé Amér y D. Pedro Francisco Morro, y á D. Bar tolomé Valentín Sorteja, tenedores de seis vales Reales de 300 pesos, creación de i.® de Setiembre, señalados con los números 57459» 57610» 58548, 58960, 59024 y 68233, á fin de que en el término de…</t>
  </si>
  <si>
    <t>Arquello, Ramón</t>
  </si>
  <si>
    <t>Ramón Arquello</t>
  </si>
  <si>
    <t>…: el cura de San Salvador Pala del Rey uno: el de S. Marcelo uno: el de Renueva uno: el de Sta. Ana uno: el tesorero del cabildo dos: D. Pascual Suarez uno: D. Lidro Benitoa uno: D. Ramón Arquello dos : D. Pedro Gastaniaga uno: D. Juan Bros dos: D. Manuel Chicarro ocho reales: D. Benito Hermosino dos pares de zapatos: D. Ignacio Lorenzana dos. D. Manuel Mercadillo uno: D. Ma nuel Rodríguez uno: D. Manuel Yolis dos: D. Bernardino 1 erremos uno: D. Valen…</t>
  </si>
  <si>
    <t>Arrabal, Eustbio</t>
  </si>
  <si>
    <t>Eustbio Arrabal</t>
  </si>
  <si>
    <t>…Preinostratenses 80. D. Ra món Moreda 23. D. Félix Arguello 40. D. Sebastian Hernández 70. D Jo sef Broche ro 8. D. Josef Uaabal 69. D. Francisco Crespo 20. Agustín Bar tolomé 13. D. Eustbio Arrabal 20. Fernando Gómez 20. D. Vicente Telio 4. D. Manuel Cisneros 23. D. Valentín.Ximenez 20. D. Carlos Milre40. D. Esteban Gómez 20. D» Felipe Eneri y Seda 40. D. Gregorio Fernan dez 46. D. Fernando Larrondo 92. D. Martin Ocaf.a 20. D. Blas María 20. D. Pedro Pa…</t>
  </si>
  <si>
    <t>Arrabal, Luis de</t>
  </si>
  <si>
    <t>Luis de Arrabal</t>
  </si>
  <si>
    <t>1027</t>
  </si>
  <si>
    <t>…miento, presidente por enfermedad del corregidor, D. Martin Diez Murga, presbítero, cura de la parroquial de Santiago Apóstol, D. Grego rio Nieto, diputado de abastos mas antiguo, D. Luis de Arrabal, prior síndico general por ambos estados, y D. Pablo Aviles, su secretario, con otros concurrentes distinguidos que asistieron al acto, presentó los discípu los D. Luis Mateos, D. Ildefonso y D. Ramón de Rovina, D. Segundo y D. Manuel Herrero para ser examina…</t>
  </si>
  <si>
    <t>Arriaz, J. B. de</t>
  </si>
  <si>
    <t>J. B. de Arriaz</t>
  </si>
  <si>
    <t>…Rivas; en la inteligencia de que para su último remate se ha señalado el día 3 de Agosto próximo á las 11 en punto de la mañana en dichos juzgado y escribanía. Poesías líricas de D. J. B. de Arriaz»: dos tomos en 8.° con portadas y viñetas del mejor birrii y gusto. Se venden á 40 rs. en pasta en la imprenta Real. Elogio postumo del Excmo. Sr. D. Josef de Espinosa, director del depósito de hidrografía, po; el teniente de fragata D. Ramón Tamayo. El autor…</t>
  </si>
  <si>
    <t>Arriaza, Juan Bautista de</t>
  </si>
  <si>
    <t>Juan Bautista de Arriaza</t>
  </si>
  <si>
    <t>…abilidad y demas prendas esclarecidas que adornan á la Reina nuestra Señora y á su augusta Hermana. Asi es que este heroico pueblo no se sacia (1) Todas estas inscripciones son de D. Juan Bautista de Arriaza, oficial de la primera secretaría de Estado, que también hizo las que sirvieron para la entrada del Rey nuestro Señor, y en cuya casa se leía ademas la siguiente: /,• • POR EXCELSA Y POR BELLA DOBLE IMPERIO, ISABEL, TE DIO TU ESTRELLA: EN TU AIRE SOBERANO CON…</t>
  </si>
  <si>
    <t>Arribas, Gaspar</t>
  </si>
  <si>
    <t>Gaspar Arribas</t>
  </si>
  <si>
    <t>…Sr. obispo 500. El ca bildo eclesiástico 4:00. Intendencia, contaduría y oficinas 1473. IX Pedro Espina 9 '‘O. D Sebastian Hernández 120. D. Felipe Barra 100. D. Manuel García 80. D. Gaspar Arribas 20. D. Juan Nobreda 20. D; Manuel Saudin Calderón 8. D. Fernando Gómez 10. Doña Margarita Martin 20. D. Santos Avoin Coronel en efectos y dinero 360. D. Manuel Cisneros 200. D. Anto nio Echenique 140. D. Josef Perez 40. D. Fructuoso Tejedor 30. D. Josef Lozan…</t>
  </si>
  <si>
    <t>…Martin Uria 20. D. Ju?to Sarrandeg ;i 24. El capellán mayor de Sta. Ana 12. D. Francisco Illera so. Don Ildefonso Castejon 24. D. l omas Landias 20. D. Vicente Evaristo Blasco 20. D. Gaspar Arribas 24. D. Damian González de Salazar 160. El beneficiado de S. Vicente 4^0. Pedro Seguir 6. D. Joaquín Zagonero 20. D. Francisco Villegas 2. D Josef Pavat 23. El R. P. general de Gerónimos 46 La co munidad del Carmen calzado 40. La de padres Preinostratenses 80.…</t>
  </si>
  <si>
    <t>Arribas, Juan de</t>
  </si>
  <si>
    <t>Juan de Arribas</t>
  </si>
  <si>
    <t>Gaceta de Madrid n.º 14</t>
  </si>
  <si>
    <t>…08, números 87858, 107518 y 126837, que aparecen en su último endoso, el i.° á favor de D. Pedro Martínez de Ron por D.'GabrieJ Leonely en Madrid i 10 de Agbsto.de 1810»; el 2.0 á D. Juan de Arribas por Don Pascual Suarez, íambieái en Madrid, á 2,0 de Enero del propio año, y el, 3.0 al te* piertte de caballería D., Cipriano de Velasco por D. Saturio Angel de Velasco, asi mismo en Madrid,á 7 de jyiarzo de 1814. Y no habiendo sido habidos dichos sugetos pa…</t>
  </si>
  <si>
    <t>Arríens</t>
  </si>
  <si>
    <t>S. M. hizo concurrir á di al teniente Arríens, portador de la noticia de la glo riosa victoria de Argel, y le condecoro con la orden de Guiikimo. Idem 2 1. El 19 del corriente hicieron su entrada pública en Amsterdam SS. AA. el Príncipe y la Princesa de Orange. Amsterdam 23 de Setiembre. S. M. pasó ayer…</t>
  </si>
  <si>
    <t>Arrio.no</t>
  </si>
  <si>
    <t>…Real Calcografía, s.ti en ;&lt;* i cinta v en.tro rvp.1» iinp:..[;i Rea . F. ft.itr.r.is en .n.irtü'.i Je hmto’'. r que Riman un cuaderno del viage de Constan!inopia , dibujadas por D. Arrio.no</t>
  </si>
  <si>
    <t>Arritola, Martin Montero de</t>
  </si>
  <si>
    <t>Martin Montero de Arritola</t>
  </si>
  <si>
    <t>…den del capitán D. Miguel Barragan pasó á la hacienda de S. Vicente para dar auxilio á la fuerza que había alii, y que en ella supo el suceso desgra ciado que causó la prisión del capitán D. Martin Montero de Arritola en el pueblo de Coroneo. Con fecha 26 de Octubre desde la hacienda de Teperitlan dice el tenien te coronel D. Matías Aguirre, que habiendo dado orden ai alférez D. Esté-</t>
  </si>
  <si>
    <t>Arróspide, Eusebio</t>
  </si>
  <si>
    <t>Eusebio Arróspide</t>
  </si>
  <si>
    <t>…, D. Ignacio Palacios, D. Tomas Diago, y los citados D Josef Perez y D. Juan Pablo Rodríguez. En trigonometría plana D. Manuel Ban dujo, O. Cándido Pulleiro, D. Joaquín Hernández, D. Eusebio Arróspide, D. Ramón González ,D. Domingo Balay y D. Vicente M itis.En trigonome tría esférica D. Francisco Galceran, D. Lino Pacheco, D. Marcelino Deus, y los citados Hernández, Arróspide, Bandujo , Pulleiro, González y Balay, feu cosmografía dichos Bajujo, Deus y Pull…</t>
  </si>
  <si>
    <t>…. Ignacio Palacios , D. Tomas Díago, y los citados D. Josef Perez y Don Juan Pablo Rodríguez. En trigonometría plana D. Manuel Bandujo, Don Cándido Pulleiro, D. Joaquín Hernández, D. Eusebio Arróspide, D. Ra món González, D. Domingo Valay y D. Vicente Matis. En trigonometría esférica D. Francisco Gaiceran, D. Lino Pacheco, D. Marcelino Deus, y los citados Hernández, Arróspide, Bandujo, Pulleiro, González y Va lay. En cosmografía dichos Bandujo,Deus y Pulle…</t>
  </si>
  <si>
    <t>Arroyo, Ignacio Marcos</t>
  </si>
  <si>
    <t>Ignacio Marcos Arroyo</t>
  </si>
  <si>
    <t>…alagon, contiguas á dicha dehesa. Quien qui siese instruirse del precio y demas acudirá á X&gt;. Ramón Antonio Sierra, que vive en la calle de las Huertas, esquina á la del Lobo, ó á D. Ignacio Marcos Arroyo, agente general por S. M. del Crédito público, que vive en la calle del Olivar, es quina á la de la Cabeza, números 18 y 19, cuarto segundo. Por providencia de los Señores del Reai y supremo Consejo de Castilla de 15 del corriente se manda publicar por 15 dia…</t>
  </si>
  <si>
    <t>Arroyo, Manuel Martínez</t>
  </si>
  <si>
    <t>Manuel Martínez Arroyo</t>
  </si>
  <si>
    <t>; Letras de cambio. Dos dadas en Murcia á favor del señor conde de Selvaflorida, y endosadas á D. Manuel Martínez Arroyo: dos dadas en Sevilla, la primera á favor del. Sr. D. Miguel de Tovia, endosada al Sr. D. Manuel María Adriaensens, y después á los,señores Gargollo» hermanos : la segunda Á favor del Sr. D. Pedro Orduña, y endosada para los de la primera: seis dadas en Cádiz…</t>
  </si>
  <si>
    <t>Arroyo, Santiago</t>
  </si>
  <si>
    <t>Santiago Arroyo</t>
  </si>
  <si>
    <t>…he: su dotación 63 rs. y casa, y en los mismos términos que el de medicina. Los memo.iales se dirigirán por Taiavera á los apoderados de los ayuntamientos D. Alfonso, de la Peña y D. Santiago Arroyo. El acreditado escritor de libros de coro D. Francisco Pastrana, que á últimos del siglo próximo escribió en esta corte para las iglesias de S. Isidro el Real, par roquias de S. Justo, S. Sebastian y Sta. Cruz, y conventos de la Merced calzada y S. Bernardina…</t>
  </si>
  <si>
    <t>Arteaga, Josef de</t>
  </si>
  <si>
    <t>Josef de Arteaga</t>
  </si>
  <si>
    <t>H7ó de Miranda , grande de España de primera clase , mayordomo mayor de S.M, &amp;c.; D. Josef de Arteaga, capitán general de Castilla la Nueva, gen tilhombre de Cámara con egercicio &amp;c., y D. Casimiro de Loizaga, diputadoí'en corte; el primero de ios cuales arengó á SS. MM. diciendo entre otras cosas lo siguiente: «V ,,La constante lealtad y amor á sus Soberanos…</t>
  </si>
  <si>
    <t>Arteaga, Josef Je</t>
  </si>
  <si>
    <t>Josef Je Arteaga</t>
  </si>
  <si>
    <t>…el Moreda., del comercio de esta-corte * cuando da expedición de la Real orden de 23 ^4 Ma yo anterior: 30® rs. librados;contra el mismo Moreda en 2 de Octubre de 815 por el Excmo Sr. D. Josef Je Arteaga, presidente de la comisión de causas de estado: 5 o® rs. librados en los mismos términos que la anterior partida, con fecha de 9 de Diciembre último: una letra de 10835 rs*. &gt; giradi de Cádiz á favor de! Excmo. Sr. Duque presidente del consejo contra la casa…</t>
  </si>
  <si>
    <t>Arteaga, Jpsef</t>
  </si>
  <si>
    <t>Jpsef Arteaga</t>
  </si>
  <si>
    <t>…e la Real y distinguida de C^rlps iii,. Los gentfeshonibres de cámara de S. M. ccn egercrcio Ruque de Hjjar , caballero gFan cruz de . la Real y distinguida or den de Cárlos iii ; D. Jpsef Arteaga, Capitán general de Castilla la Nueva, cabañero gran cruz de Ja misma orden; marques de Montealegre , conde de Oñate, caballero gran cruz dé la referida orden ; marques del Rafa! ; ,conde’de Trastamara , caballero gran cjuz de la, Real y distinguid^, orden es…</t>
  </si>
  <si>
    <t>Ascorbeta, Mariano de</t>
  </si>
  <si>
    <t>Mariano de Ascorbeta</t>
  </si>
  <si>
    <t>…otro. ‘ J i “ Por la audiencia del Sr. D. Jcaqu*n de Al mazan y Nimeno, del conse jo de S. M., teniente corregidor de esta villa, se cita, llama y emplaza ¡á D. Atraído Peire y á D. Mariano de Ascorbeta, vecinos y del comerció dé la ciudad de Zara goza, sus hijos, herederos y demás personas que pretendan tener derecho á 29 va les Reales de 60o pesos y 14 dé góo, todos de lá creaciorrde Mayó de 1808 , que se hallan detenidos en la oficina de renovación i inst…</t>
  </si>
  <si>
    <t>Asenjo, Francisco Xavier Vales</t>
  </si>
  <si>
    <t>Francisco Xavier Vales Asenjo</t>
  </si>
  <si>
    <t>…comercio; un tomo en 4.0: segunda impresión añadi da. Se vende en la librería de Barco López, calle de la Cruz, y de Rodríguez, ca lle de las Carretas. El Dos de Maych por el Dr. D. Francisco Xavier Vales Asenjo, canónigo de la Real iglesia de S. Isidro de Madrid: impreso por acuerdo del Excmo. ayunta^ miento de esta heroica villa. Se vende á beneficio de las niñas huérfanas de aquel dia en la librería de Coronel, gradas de S. Felipe. Fábulas de Fedro, traducidas al…</t>
  </si>
  <si>
    <t>Asensio, Francisco</t>
  </si>
  <si>
    <t>Francisco Asensio</t>
  </si>
  <si>
    <t>580</t>
  </si>
  <si>
    <t>…na que supiere de su paradero se servirá comunicarlo en Madrid i D. Miguel López del Postigo , del contercio; en Logroño á D. Marcial Martínez , y en Burgos á Don Tomas de Medina. D. Francisco Asensio, oficial que fue de la Real biblioteca de S. M., en la avanzada edad de 64 años grabó en el diámetro de un real de plata la cronología de ios Reyes de España, y otras varias noticias que comprenden %66§ letras: igual* mente otra cronología de las Reinas catól…</t>
  </si>
  <si>
    <t>Asensio, Josef</t>
  </si>
  <si>
    <t>Josef Asensio</t>
  </si>
  <si>
    <t>…, cuarto segundo, calle del Olivar, esquina á la del Olmo. Varia comensuracion de Juan de Arfe y Villafañe: nueva edición, corregida, aumentada y mejorada con 96 láminas finas por D. Josef Asensio, grabador de cá mara de S. M. Está dividida en 8 libros ó cuadernos, á saber, el de geometría con 8 estampas; el de gnomónica con 4; el de arquitectura con 7; medidas del cuerpo humano con 32 ; de cuadrúpedos con 18; de aves con 15; de platería con 8, y el de…</t>
  </si>
  <si>
    <t>…ález, calle de la Luna-; en Burgos en la de Revilip j en Vito ria en la de Pajares,-y en Haro en la de Rodríguez. Colección de muestras de letra bastarda , escritas y grabadas por D. Josef Asensio , grabador de cámara de S. M. La primera muestra enseña la distancia que deben guardar las letras entre sí; los brazos de la pluma ; el semicírculo de la esfera para dar a la letra e! grado de caído que se quiera; corte de la pluma, y postura del bra zo y man…</t>
  </si>
  <si>
    <t>Asensío, Josef</t>
  </si>
  <si>
    <t>Josef Asensío</t>
  </si>
  <si>
    <t>…10, cuarto segundo. Colección de muestras de letra bartarda española, escritas por el P. Juan Bautis ta Cortés de S. Josef Calasanz, sacerdote de las Escuelas Pías, y grabadas por Don Josef Asensío. Esta nueva colección está escrita con el mejor gusto, v en todo ar reglada á las lecciones de calografía compuestas para uso de los discípulos de las Es cuelas Pías, en las que con la mayor brevedad y solidez se establecen las reglas mas precisas para escrib…</t>
  </si>
  <si>
    <t>Asensio, Pascual</t>
  </si>
  <si>
    <t>Pascual Asensio</t>
  </si>
  <si>
    <t>…armas Reales, é inscritos por el exergo con el lema siguiente: Ferdinandus vii N. N. STUDIOSO IN GIMNASIO REGII MATRITENSIS HORTI ANNO MDCCCXV. VICTORI. D. Sebastian Eugenio Vela, D. Pascual Asensio y D. Angel Calderón recibieron los tres primeros premios de botánica general, que constaba cada uno del Icones plantarum de Cavanilles, de la Monadelfia del mismo au tor ,y las traducciones de la parte práctica y Filosofía botánica de Linneo he chas por Palau. El segundo premio…</t>
  </si>
  <si>
    <t>Asia, María Francisca de</t>
  </si>
  <si>
    <t>María Francisca de Asia</t>
  </si>
  <si>
    <t>…ado de Asturias, que reconoce en la digna perrona de V. A. el primer apoyo del trono, tiene 1a honra de felicitarie por su contratado enlace con la Serma. Sra. Infanta de Portugal Doña María Francisca de Asia, lisonjeándose que V- A. tendrá á bien tomar tajo su alta protección á aquellos fieles habitantes, y nosotros ,á quienes cab* la for tuna de expresar á V. A. los deseos del principado » acompañándole en ellos, asi lo esperamos ” En el dia 8 del corriente tuvi…</t>
  </si>
  <si>
    <t>Asiain, Justo</t>
  </si>
  <si>
    <t>Justo Asiain</t>
  </si>
  <si>
    <t>…do concurso de varias personas de la primera representación, se dio principio al acto con un dis curso que pronunció D. Julián Izquierdo y Chacón, de edad de seis años. En seguida D. Justo Asiain, de edad de ocho , expuso en otro discurso las materias sobre las cuales habían de ser-examinados: estas eran la dóctriíia cristiana por Ripaldá, Fleuri y otros autores, los principios de ortología, calografía , aritmética , gramática castellana, ortografía y…</t>
  </si>
  <si>
    <t>Asís, Francisca de</t>
  </si>
  <si>
    <t>Francisca de Asís</t>
  </si>
  <si>
    <t>…a felicidad." E! dia 10 pasaron los mismos señores al cuarto del Sermo. Sr. Infante D. Carlos Marta á felicitarle igualmente por su enlace con ia Serma. Señora Infanta de Portugal Doña Francisca de Asís. w.1 El propio día 8 tuvieron la honra de felicitar á SS. MM. por su au gusto enlace j á nombre del señorío de Vizcaya^ ios Exentos. Sres. conde</t>
  </si>
  <si>
    <t>Asís, María Francisca de</t>
  </si>
  <si>
    <t>María Francisca de Asís</t>
  </si>
  <si>
    <t>…de unirme Yo también eñ matrimonió con su Hija segunda y mi Sobrina la Infanta Doña María Isabel .francisca, y que el Infante í). Cirios hiciese lo mismo con lá tercera lá infanta Doña María Francisca de Asís: y convenidos de común y gustosa acuerdó, hemos dado nuéstros pierios poderes para ajustar y concluir las "capitulaciones f contratos riiatrióioni-aíes respectivos: lo que se ha verificado con la mejor inteligencia y armonía de ambas partes contratantes; y co…</t>
  </si>
  <si>
    <t>…locándose en seguida el cuerpo diplomático, y ocupando sus res pectivos puestos los gefes de palacio, la camarera mayor y damas de la Reina, la camarera y damas de la Sra. Infanta Doña María Francisca de Asís, y las Sras. de tocador, que son las mugeres de los gefes de palacio, á las que de orden de S. M. h¿bia convidado el sumiller de corps, y á la derecha del solio y detras de estas se colo caron los mayordomos de S. M. , y á la izquierda los oficiales mayores y…</t>
  </si>
  <si>
    <t>…concertado matrimonio con la Serma. Sra. Infanta Doña María Isabel Francisca, y en seguida lo hicieron al Sr. Infante D. Carlos por su ajustado casamiento con la Serma*Sra.Infanta Doña María Francisca de Asís ; y asi S. M. como S. A. quedaron muy complacidos de esta demostración de amor y de respeto. El dia 25 del corriente tuvieron la honra de presentarse á S. M. y A. á nombre de la Real maestranza de caballería de Granada su teniente de Her mano mayor el Sermo.…</t>
  </si>
  <si>
    <t>…de Granada, que merece el honor de tener á V. A. por su Hermano mayor, nos ha autorizado para que congratulemos á_V. A. por su concertado matrimonio con su Sobrina la Serma. Sra. Doña María Francisca de Asís, de cuja alma verdaderamen te grande, religión y eminentes virtudes, unidas á las de V. A., se promete la nación española los resultados mas felices. Estos son los votos que la maestranza de Granada tributa con el mayor amor y respeto á V. A." En 4 de Noviemb…</t>
  </si>
  <si>
    <t>352</t>
  </si>
  <si>
    <t>…or su antiquísimo origen, por su fidelidad y por sus heroicos servicios, llego hoy ante V. A. á felicitarle en su nombre por el dichoso enlace que va á contraer con lá Serma. Sra. Doña María Francisca de Asís, hija de la augusta Hermana de V. A. Los nobles sen timientos que con tal motivo animan á los habitantes de aquel pueblo, se trasladan hoy á mis labios para expresar á V. A. su júbilo por este feliz acontecimiento. Ven en V. A. un compañero fiel de nuestro mu…</t>
  </si>
  <si>
    <t>…el Francisca ; y habien do merecido con la autorización de S. M. igual distinción al Sermo. Sr. In fante D. Carlos para que contraiga el suyo respectivo con laSerma. Sra. In fanta Doña María Francisca de Asís, remitiendo á S. E. los correspon dientes poderes, para que á su tenor desempeñe tan elevado carácter, autoT rizándole igualmente para el recibimiento de dichas Sjermas. Sras. Infantas, en caso de que por alguna enfermedad ú otro impedimento ¡nd.puéda desem p…</t>
  </si>
  <si>
    <t>368</t>
  </si>
  <si>
    <t>…smo objeto de la- feliz y pronta WvégaCión de S. A. R. la Sra. Princesa del Brasil, y de sus augus tas hijas: las Sermas. Sras. Infantas de Portugal Doña María Isabel Fran cisca y Doña María Francisca de Asís, á la que fueron convidados f»or</t>
  </si>
  <si>
    <t>…imonio con la Serení sima Sra.,Infanta Doña María Isabel Francisca, y en seguida lo hicie ron al Sermo. Sr. Infante D. Carlos por su ajustado casamiento con la Sentía. Sra. Infama Doña María Francisca de Asís; y asi S M. como S. A. quedaron muy complacidos de esta demostración de amor y de respeto. ARTICULO DE OFICIO. Artículo comunicado por la primera secretaría de Estado. Por carta de oficio dirigida al Excmo. Sr. D. Pedro Cevallos por el en cargado de Negocios…</t>
  </si>
  <si>
    <t>…sus leales sentimientos.” . Pasaron después á cumplir igual comisión con el Sermo, $r. Infante Do$ Carlos por su contratado matrimonio con la Serma. Sra. Infanta del. mismó reino Doña María Francisca de Asís; y el mismo señor comisionado dijo: „Sermo. Sr.: Deseando la M. N. y M. L. ciudad de Lorca acreditar á V. A. su acendrado amor y respeto, nos ha distinguido con el honroso encargo de felicitar á V. A. por su ajustado enlace con la Serma. Sra. Infanta de Por t…</t>
  </si>
  <si>
    <t>…se presenta, Sermo. Sr., derramando complacencias y satisfac ción para tributar á V. A. miles enhorabuenas con motivo del afortunado enlace con la Serma. Sra. Infanta de Portugal Doña María Francisca de Asís, de cuyo apetecido matrimonio no duda la villa de Benaojan ni sus ve cinos, ni todo español,"haber conseguido cuanto podían apetecer, pues mi ran muy de cerca la prosperidad de tan vasta monarquía; y esta villa y sus leales vecinos elevan sus súplicas |ai Tod…</t>
  </si>
  <si>
    <t>ría Isabel Francisca y Doña María Francisca de Asís, al paso del viage para Cádiz con este objeto , por un efecto de su decidida inclinación á las artes, y sabiendo que las célebres minas y fábricas de fundición de plo mo, municiones y demas géneros plomizos de Linares se hallaban poco dis tantes de la carrete…</t>
  </si>
  <si>
    <t>…e llos mismos sentimientos de respeto y veneración que la inspiró un suceso tan venturoso, y á felicitar á V. A. por su concertado matrimonio con !a Serma Sra. Infanta de Portugal Doña María Francisca de Asís. Dígnese V. A. recibir esta nueva prueba de amor de los gerundenses, asegurándole que «-i los futuros acontecimientos corresponden á su* buenos deseos y rueños al Todopoderoso % la satisfacción y la felicidad de V. A. y de la Serenísima Sra. Infanta serán per…</t>
  </si>
  <si>
    <t>…infancia la nación española , se halla mejor que otro en ti caso de gra duar cual seria su placer al saber que V. A. había resuelro unirse en matri monio á Ja Serma. Sra. Infanta Doña María Francisca de Asís, Princesa llena de las mas altas y distinguidas cualidades. Tal enlace promete á ios es pañoles la perpetuidad y acrecentamiento de la casa ilustre de sus Pricipes (en cuyoamor tanto se distinguen), y que las apreciables virtudes de V. A. hallaran dignos suce…</t>
  </si>
  <si>
    <t>…ho ayudante mayor en los tér minos que siguen : „Serino. Sr.: La ciudad de Velez-Málaga se apresura á felicitar á V. A. por su futuro enlace con la Serma. Sra. Infanta de Portugal Doña María Francisca de Asís: sus naturales se congratulan llenos de gozo por tan fe— 11/. suceso, viendo afianzado en este matrimonio la felicidad del reino, y el esplendor y grandeza de vuestra augusta casa. ARTICULO DE OFICIO. Por Real resolución, á consulta de la Cámara , se ha servi…</t>
  </si>
  <si>
    <t>Asís, Maria Francisca de</t>
  </si>
  <si>
    <t>Maria Francisca de Asís</t>
  </si>
  <si>
    <t>934</t>
  </si>
  <si>
    <t>…V. A. R. por su alcalde y protector perpetuo, le reitera por nosotros el homenage de su respeto, y felicita á V. A. por su contratado enlace con la Serma. Sra. Infanta de Portugal Doña Maria Francisca de Asís, cu yas virtudes desea qtie formando el mejor ornamento de su sexo, hagan feliz á V. A. R. por años dilatados, y que Dios omnipotente bendiga tan feliz unión, para que sea tan próspera y dichosa como V. A. R. merece, y la hermandad desea." El dia 19 del actua…</t>
  </si>
  <si>
    <t>…n traspasado los mares por el valor de sus hi jos, tiene hoy el honor de postrarse á los pies de V. A. y felicitarle por el contratado enlace con la Serma. Sra Infanta de Portugal Doña María Francisca de Asís, cuyas virtudes y altas circunstancias no pueden descri birse en tan pequeño elogio. Sea, Señor, V. A. tan feliz con tan digna es posa como desean Trugillo y sus comisionados, quienes á nadie ceden en amar á su Rey , y por consiguiente á V. A., cuya protecció…</t>
  </si>
  <si>
    <t>…de placer al observar la grande parre que toma en la pros peridad de los españoles: los contratos matrimoniales que V. A. tiene con certados con la Serma. Sra. Infanta de Portugal Doña María Francisca de Asís forman un antemural en oue se miran estrelladas la irrcli. ion , ki maledicencia, y todo cuanto pueda turbar la paz v el crfen : reconocida Baena a beneficios tan distinguidos, se congratula y ruega a! Dios de ¡os egercitos por me se cumplan las benéficas ide…</t>
  </si>
  <si>
    <t>…E OFICIO. Habiendo resuelto S M. que se vista la corte de gala por tres días con el plausible motivo del feliz arribo al puerto de Cádiz de la Reina nuestra Se ñora y Sra. Infanta Doña María Francisca de Asís, y de sus augustos desposorios, según se anunció en la gaceta anterior; se previene para noticia del púb.ico que en el primero de dichos dias, que es mañana, habrá besa manos general á la hora acostumbrada; en el segundo corte, y en el tercero besamauos de lo…</t>
  </si>
  <si>
    <t>…gistral. = Silvestre Martínez , ca nónigo.” ARTICULO DE OFICIO. El Rey nuestro Señor ha tenido la satisfacción de saber que S. M. la Rf.ina nuestra Señora y la Serma. Sra. Infanta Doña María Francisca de Asís continuaban sin novedad en su importante salud El dia 7 por la maña na se dignó S. M . recibir á besár su Real mano y la de su augusta Hermana á varias corporaciones , al estado mayor de la plaza de Cádiz , á la oficiali-</t>
  </si>
  <si>
    <t>Gaceta de Madrid n.º 115</t>
  </si>
  <si>
    <t>…onor. La extracción siguiente se egecutará el dia 14 de Octubre. ARTICULO D B OFICIO. 3. M. ha sabido con la mayor satisfacción que la Reina nuestra Señorav la Serma. Sra. Infanta Doña María Francisca de Asís continuaban sin no vedad en su importante salud. El dia 9 del corriente, después del paseo, en que recibieron b. M. y A. las mas expresivas aclamaciones, se dignaron admi tir á besar su Real mano á las señoras de distincion^e Cádiz, y después asis tieron al t…</t>
  </si>
  <si>
    <t>…or el órgano del decano y dos comisionados de su ayuntamiento, tiene en este dia el alto honor de ti licitar á V. A. por el ajus tado enlace con la Serma. Sra. Infanta de Portugal Doña María Francisca de Asís , cuya posteridad esperan hará la fe.icidad de V. A. y gloria de la nación. Dígnese V. A. recibir los incesantes votos de sus habitantes, que ja mas olvidarán la dulce satisfacción de haber disfrutado de la augusta presen cia de V. A. á su regreso á España.”…</t>
  </si>
  <si>
    <t>Gaceta de Madrid n.º 119</t>
  </si>
  <si>
    <t>1047</t>
  </si>
  <si>
    <t>…y del trono de la augusta casa española de Borbon, nos ha comisionado para que á su nombre felicitemos á V. A. S. por el acordado enlace con la Serenísima Sra. Infanta de Portugal Doña María Francisca de Asís. „ Desea aquella ciudad que el Altísimo bendiga este enlace, para que sus frutos sean la alegría de V. A. S., y hagan la felicidad de la nación.” S. A. S. oyó con agrado esta felicitación. El día 12 del corriente tuvo el honor de felicitar á S. M. el presbíte…</t>
  </si>
  <si>
    <t>…Falencia 14 de Setiembre. Apenas en n del corriente se supo en esta dudad la plausible noticia de la feliz llegada á Cádiz de la Reina nuestra Señora y de la Serma. Sra. In fanta Doña Maria Francisca de Asís, cuando el coronel D. Josef Agus tín de Llano, el coronel graduado teniente coronel mayor D. Gregorio de Cacares y oficialidad del regimiento de Pavía, cuarto de dragones, acuar telado en esta ciudad, llenos de gratitud al Todopoderoso por tan singular benefi…</t>
  </si>
  <si>
    <t>…„Sermo. Sr.: Él. Real consulado deja antigua ciudad de Burgos me dis pensa el honor de felicitar á V. A. R. el venturoso ya efectuado enlace con la Serma. Sra. Infanta de Portugal Doña María Francisca de Asís, Esta antiquísima corporación desea á V. A. R. y su dignísima Esposa todas las felicidades de esta vida , y en la eterna la .bienaventuranza , á cuyo lin diri gen y dirigirán siempre sus votos al Autor de todo lo criado.” S. M. y A. han admitido con su natura…</t>
  </si>
  <si>
    <t>Gaceta de Madrid n.º 122</t>
  </si>
  <si>
    <t>…arribo á Cádiz de la Reina nuestra Señora Doña María. Isabel Francisca; y el dia 17 lo hicieron al Sermo. Sr. Infante D. Carlos María Isidro por el suyo con la Serma. Sra. Infanta Doña María Francisca de Asís; y asi S. M.</t>
  </si>
  <si>
    <t>…e Ayala vió en la gaceta del martes 10 del corriente anunciada la anhelada y deseada noticia del feliz arribo dé S. M. la Reina nuestra Señora y de S. A. R. la Serma. Sra. Infanta Doña María Francisca de Asís al puerro de Cá diz, lleno de aquel acendrado anv r que profesa al Rey nuestro Señor y á toda su Real familia, reunió inmediatamente el ilustre ayuntamiento de esta</t>
  </si>
  <si>
    <t>…los augustos des posorios del Rey nuestro Señor con la. Reina nuestra Señora Doña Isabf.l Marta Francisca, y del Sermo. Sr. Infante D. Carlos María Isidro con S. A. S. la Infanta Doña María Francisca de Asís. Efectivamente se cantó el le Deum en el expresado dia 22 , hubo misa solemne con su Ma gestad patente y sermón alusivo al asunto, que predicó el cura párroco de esta villa D. Julián Sanz Palanco. La asistencia á esta solemnísima función de ambos cabildos ecl…</t>
  </si>
  <si>
    <t>…s Señores Reyes de Portugal D. Juan Sexto y Doña Carlota Joaquina de Borbon , Infanta de España: de S. A. el Sermo. Sr. Infante D. Carlos María Isidro, y de la Serma. Sra. Infanta Doña María Francisca de Asís, her mana de la Reina nuestra Señora; D. Pedro Alvarez de Toledo, conde de Miranda , grande de España de primera clase, caballero gran cruz de la Real y distinguida orden española de Carlos m, y de la militar de Santiago, teniente general de los Reales egérci…</t>
  </si>
  <si>
    <t>Ásis, María Francisca De</t>
  </si>
  <si>
    <t>María Francisca De Ásis</t>
  </si>
  <si>
    <t>…que rido distinguir con particulares favores la feliz época de su augusto enlace con la Reina nuestra Señora, y el dé S. A. R. el Sr. Infante D. Carlos con la Serma. Sra. Infanta Doña María Francisca De Ásis , dignándose dis pensar con tan plausible y glorioso motivo las gracias expresadas en las si guientes notas: POR LA SECRETARIA DE ESTADO. Collares del Toison de Oro A los Excmos. Sres. duque del Infantado, conde de Miranda, marques de Mondejar, conde de Torre…</t>
  </si>
  <si>
    <t>…elicidad ; pe ro hoy que advierten y admiran su dichoso y deseado enlace con Doña Ma ría Isabel, hija de los ilustres Reyes de Portugal, y el del Sermo. Sr. In fante D. Carlos con Doña María Francisca de Asís, se glorían al consi derar satisfechos ya sus votos, y llenos completamente sus deseos. ¡ Quiéra el cielo que el cetro español se perpetúe en los sucesores de los Barbones y Braganzas, para que triunfe en esta península la religión santa, y para que prosperen…</t>
  </si>
  <si>
    <t>1152</t>
  </si>
  <si>
    <t>…haciendo presente que era inexplicable el jíibilo de todos los individuos de la Hermandad al ver que su Gefe y Señor había contraído tan acertado enlace con la Serma. Sra. Infanta Doña María Francisca de Asís. Asimismo felicitaron dichos comisionados en el propio dia á S. M. y A.</t>
  </si>
  <si>
    <t>…o en algunos periódicos. ESPAÑA. Madrid 28 de Octubre. El dia 23 del mes próximo pasado, habiendo llegado S. M. la Reina nuestra Señora y su augusta Hermana la Serma. Sra. Infanta Doña María Francisca de Asís á la villa de Sta. Cruz de Múdela, después que recibieron las diputaciones del ayuntamiento y clero dé aquella villa, que les cumpli mentaron por su feliz arribo y contratados enlaces, se dignaron también S. M. y A. R. admitir á su presencia una diputación de…</t>
  </si>
  <si>
    <t>1201</t>
  </si>
  <si>
    <t>…ncia la parte que toma en las glorias de su Monarca y de la nación, Madrid 30 de Octubre. Habiendo salido S. M. la Reina nuestra Señora y su augusta Hermana la Serma. Sra. Infanta Doña María Francisca de Asís de la villa de San ta Cruz de Múdela el dia 24 de Setiembre último , en su tránsito hasta la vi lla de Ocañá, adonde llegaron S. M. y A. R. el dia 26, se dignaron admi tir, ademas de las diputaciones de los ayuntamientos y cleros de los pue blos en donde hici…</t>
  </si>
  <si>
    <t>1203</t>
  </si>
  <si>
    <t>…isfactorios que habíart sido al cabildo los interesantes desposorios celebrados con las Sermas. Sras. Infantas de Portugal Doña María Isabel Francisca, la Reina nuestra Señora , y Doña María Francisca de Asís, por cuyas felicidades dirigía continuas^ fervorosas súplicas ai cielo; y a cuyos sentimientos: y expresiones contestaron S. M. y A. con su acos tumbrada benignidad y favor. La Real sociedad económica de Amigos del País de esta corte celebró el domingo 8 de S…</t>
  </si>
  <si>
    <t>Gaceta de Madrid n.º 137</t>
  </si>
  <si>
    <t>1210</t>
  </si>
  <si>
    <t>…ía, y felicitar á S. M. y A. por los respectivos augustos desposorios celebrados con las Sermas. Sras.Infantas de Portugal Doña María Isabel Francisca , la Reina nuestra Señora, y Doña María Francisca de Asís, á que nuestro augusto Sobera no y Sermo. Sr. Infante correspondieron con las expresiones de esti mación y gratitud propias de su bondadoso corazón. El dia 12 del mismo tuvieron la honra de presentarse á S. M. la Reina nuostra Señora y besar su Real mano, con…</t>
  </si>
  <si>
    <t>…, en que se despidió de S. M. ESPAÑA. Madrid 1.° de Noviembre. Ademas de las felicitaciones hechas á S. M. la Re tu a. nuestra Señora y á su augusta Hermana la Serma. Sra. Infanta Doña María Francisca de Asís durante su viage de Cádiz á esta corte, de que se ha dado noticia , se dignaron también S. M. y A. R. oír las que tuvieron la honra de pro nunciar las siguientes diputaciones: una de la ciudad de Ubeda , repre^ sentada por D. Francisco de Paula Aguijar y Nava…</t>
  </si>
  <si>
    <t>…natural bondad los nobles sentimientos de fidelidad y amor de su ciudad de la Coruña, dando las gracias á la dipu tación. En seguida pasó esta at cuarto de la Serma. Sra. Infanta Doña María Francisca de Asís, á quien felicitó con igual motivo. ARTICULO DE OFICIO; El Rey nuestro Señor se ha dignado expedir el Real decreto siguiente: Con fecha de 21 de abril del año pasado de 1792 tuvo á bien mi augusto Padre el Sr. D. Carlos iv expedir el decreto siguiente; „Para…</t>
  </si>
  <si>
    <t>…nadores. Epitalamio del Rey nuestro Señor D. Fernando vit y d^su augusto Hermano el Sr. Infante D. Carlos con las Sermas. Sras. Infantas de Portugal Doña Isabel Ma ría Francisca y Doña María Francisca de Asís. Calebrábale un ¡anciano pastor de 73 años entre las cumbres de los Pirineos en el día 4 de Setiembre de 1810. Se vende á 2 rs. en la librería de Sojo, calle de las Carretas: puede ir en carta. Estampa en cuartilla, que representa el retrato de la Reina nuest…</t>
  </si>
  <si>
    <t>…de Octubre. El Real cuerpo de maestranza de caballería de esta ciudad , con el plausible motivo de haber hecho tránsito por ella la Reina nuestra Señora y Serenísima Sra. Infanta Doña María Francisca de Asís, dispuso una función propia de su instituto; y habiéndose dignado S. M. asistir á ella, se verificó la tarde del domingo 15 del pasado, reuniéndose un inmenso pueblo en la plaza de dicha Real maestranza, donde con el acompañamiento de una numerosa or questa y…</t>
  </si>
  <si>
    <t>…eguida los mismos Señores tuvieron la honra de felicitar al Serenísi mo Sr. Infante D. Cárlos María á nom.bre de la misma por su feliz enlace con la Sema. Sra. Infanta de Portugal Doña María Francisca de Asís» Real lotería moderna. En el sorteo de la Real lotería moderna celebrado el día 14 del corriente salieron sorteados con los premios mayores los números siguientes: Números. Premios. Administraciones. 27508......................... ioooo pesos....... En Burgos…</t>
  </si>
  <si>
    <t>…asi solo diré que la situación- topográfica que ocupa Carmena la ha facilitado demostrar su gozo viendo al tránsito dentro de su recinro á su au gusta Soberana y á Ia-Sra. Infanta Doña María Francisca de Asís, para cuyo regalo, comodidad y obsequio no ha perdonado tanga ni diligencia. La ciudad de Carmona , Señor, se dará por completamente satisfecha de todo sí V. M. se da por bien servido de sus esfuerzos en acreditar mas y mas su lealtad.” Dichos Excmos.. Sres.…</t>
  </si>
  <si>
    <t>Asís, María Francisca di</t>
  </si>
  <si>
    <t>María Francisca di Asís</t>
  </si>
  <si>
    <t>…tener á V. A. por su Hermano mayor, Alcalde perpetuo y Protec tor, nos ha autorizado para que le congratulemos por su concertado matri monio con su augusta Sobrina la Serma. Sra. Doña María Francisca di Asís. Los nobles sentimientos que con este motivo animan á sus individuos, se trasladan hoy á mis labios para expresar á V. A. su júbilo por este feliz acontecimiento, prometiéndose que asi como V. A. fue el mayor consuelo de su augusto Hermano, nuestro adorado Mo…</t>
  </si>
  <si>
    <t>Asjs, María Francisca de</t>
  </si>
  <si>
    <t>María Francisca de Asjs</t>
  </si>
  <si>
    <t>…útiles, y dispuestos siempre á recibirlas con entusiasmo. Madrid 2j de Octubre. El dia 19 del mes próximo pasado hallándose S. M. la Reina nuestra Señora y la Serma. Sra, Infanta Doña María Francisca de Asjs en la ciudad de Córdoba , se dignó admitir á su presencia, ademas de las diputa ciones de que se dió cuenta, una de Montemayor, villa de aquel reino, cu yos individuos tuvieron la honra de besar la mano á S. M. y A. R. , y feli citarlas por su feliz arribo y…</t>
  </si>
  <si>
    <t>Asls, María Francisca de</t>
  </si>
  <si>
    <t>María Francisca de Asls</t>
  </si>
  <si>
    <t>…e desde su niñez, las había inspirado su padre. ; Madrid j de Octubre* El dia 4 del corriente se vistió la corte de gala sin unifórme en celebridad de los dias de la Ser mal. Sra. Doña María Francisca de Asls , y concurrie ron á cumplimentar á S. A. R. los embajadores y ministros exrrangeroslos grandes de España, los diputados de los reinos, los títulos, los ministros de ios consejos, los generales y gefes militares, y otras varias personas á quie^ Bes se dignó ad…</t>
  </si>
  <si>
    <t>Asquet, María</t>
  </si>
  <si>
    <t>María Asquet</t>
  </si>
  <si>
    <t>…ar, como por el presente se cita, llama y emplaza, á todos y cualesquiera personas que se conceptúen con derecho á los bie nes quedados con motivo del fallecimiento abintestato de Doña María Asquet, viu da del furriel mayor que fue de Reales guardias españolas D. Juan Ramón, acae cido en esta corte el dia 28 de Diciembre de 1814, asi por lo respectivo á los pertenecientes á la primera, como á los de su marido, para que en ei preciso y perentorio término…</t>
  </si>
  <si>
    <t>Asso, Ignacio de</t>
  </si>
  <si>
    <t>Ignacio de Asso</t>
  </si>
  <si>
    <t>…, sacado y comprobado con el egemplar de la misma obra que existe en la Real biblioteca de esta corte y con otros manuscristos: publícanlo con notas históricas y legales los Dres. D. Ignacio de Asso y del Rio y Don Miguel de Manuel y Rodríguez: un tomo en folio: su precio 22 rs. á la rústica y 30 en pasta. Se hallará en la librería de Bailo calle de las Carretas. EN LA IMPRENTA REAL.</t>
  </si>
  <si>
    <t>Asts, María Francisca de</t>
  </si>
  <si>
    <t>María Francisca de Asts</t>
  </si>
  <si>
    <t>1120</t>
  </si>
  <si>
    <t>…abras que explicasen los afec tos y emociones que hoy experimenta la ciudad de Murcia con el feliz y acer tado enlace que ha contraído V■ A. con la Serma. Sra. Infanta de Portugal Doña María Francisca de Asts, vería en ellas que el placer, el regocijo y la alegría han contrarestado las penas, sacrificios y sangre que han derramado aquellos vecinos en los seis años de su injusto cautiverio. La mano del Señor, queconsintió se viera la augusta Persona de V. A. circun…</t>
  </si>
  <si>
    <t>Atiza, Rafael Martínez de</t>
  </si>
  <si>
    <t>Rafael Martínez de Atiza</t>
  </si>
  <si>
    <t>…a Juliana Paula Marraci, sobre que se la reintegre de sus bienes dótales existente?, ponga inmediatamente en su posesión y libre administración , cesando desda i c egóen su manejo D. Rafael Martínez de Atiza, administrador judicial de ios miónos;, pues si asi lo hiciesen se les- administrará justicia cn io que la tuvieren, y en- otra manera dicho término pasado sin haber comparecido, vn nueva citai.y empla zamiento, se. procederá en dichos autos como se halle por…</t>
  </si>
  <si>
    <t>Atocha, Josef de</t>
  </si>
  <si>
    <t>Josef de Atocha</t>
  </si>
  <si>
    <t>…e V. A. con el mismo amor y respeto que lo hizo cuando V. A. pasó por ella." El dia 21 del presente los comisionados por la ciudad deTrugillo el mar ques de Camarena y del Reino y D. Josef de Atocha, abogado de los Rea les Consejos, tuvieron la honra de presentarse á S. M. y A., y felicitarles</t>
  </si>
  <si>
    <t>Augereau</t>
  </si>
  <si>
    <t>…arques de la Riviere, embajador. Wurtetnberg, el conde de Trog tf, en viado extraordinario y ministro plenipotenciario. Francfort, el coode Reinhard, ministro plenipotenciario. El mariscal Augereau, par de Francia» murió el n de este mes en su casa de campo de Laossaye. Los últimos periódicos americanos dicen que los generales Grouchy jr Lefevre-Dessnoucctes residen actualmente en Filadelfia. ESPAÑA. Madrid *8 de Junio. El día 15 del presente i las cinc…</t>
  </si>
  <si>
    <t>Aula, Francisco</t>
  </si>
  <si>
    <t>Francisco Aula</t>
  </si>
  <si>
    <t>1044</t>
  </si>
  <si>
    <t>…pronunció un discurso sobre la utilidad del estudio de la. lengua latina, que agradó sobremanera por la materia y pureza del lengpage , y por la acción y serenidad del recitante. D. Francisco Aula pregunto en seguida las reglas de la sintaxis, después de lo que procedieron á la ver sión de los autores latinos del siglo de oro, en cuyo egercicio recitaron y ex plicaron varios trozos de geografía antigua y moderna ; lo cual fue tamo mas de admirar, cuant…</t>
  </si>
  <si>
    <t>Auñon, Rafael</t>
  </si>
  <si>
    <t>Rafael Auñon</t>
  </si>
  <si>
    <t>…mayor desembarazo, y contestaron perfectamente á las preguntas de ortografía cas tellana. Y después de un combate de 96 preguntas de doctrina cristiana , en que resultó victorioso D. Rafael Auñon, D. Pedro Sainz para cerrar la fun ción dio en una canción las gracias al auditorio, que quedó justamente com placido de la instrucción de los niños y del esmero de sus maestros. Tamarite jo de Agosto. Los PP. de las Escuelas Pias de esta villa celebraron el…</t>
  </si>
  <si>
    <t>Austria, Ana de</t>
  </si>
  <si>
    <t>Ana de Austria</t>
  </si>
  <si>
    <t>…de D. Fernando el iv: Doña María de Aragón, hija de D. Fernando v de Aragón: Doña Elvira , hija de los Reyes de Navarra: Doña Leonor de Castilla, nieta de D. Pedro el Jus ticiero: Doña Ana de Austria, hija de D. Juan de Austria: Doña Isabtl de Molina, hija del Sr. de Molina. ARTICULO DE OFICIO. Circular del Ministerio de Guerra. El Sr. Secretario de Estado y del Despacho de Hacienda con fecha de 20 de este mes me dice lo siguiente: „Fl Rey nuestro Señor p…</t>
  </si>
  <si>
    <t>Austria, Juan de</t>
  </si>
  <si>
    <t>Juan de Austria</t>
  </si>
  <si>
    <t>…, Garcilaso de la Vega, D. Alonso de Ercilla, D. Pedro Calderón de la Barca, Miguel de Cervantes Saavedre, y D. Jo&gt;sef Patino.— Cuaderno 4.0: D. Antonio Agustín, D. Sancho Dávila, D. Juan de Austria, D. Alvaro de Bazan, Antonio de Nebrija, y D. Pedro Menendez Avilés.zzCuaderno 5 °: D. Juan de Austria, Fr. Luis de Granada, Martin de Alpizcueta, Pedro Chacón, D. Bernardino de Rebolledo, y D. Luis de Góngora.= Cuaderno 6.°: D. Alonso Tostado, Luis Vives, D.…</t>
  </si>
  <si>
    <t>…ría de Aragón, hija de D. Fernando v de Aragón: Doña Elvira , hija de los Reyes de Navarra: Doña Leonor de Castilla, nieta de D. Pedro el Jus ticiero: Doña Ana de Austria, hija de D. Juan de Austria: Doña Isabtl de Molina, hija del Sr. de Molina. ARTICULO DE OFICIO. Circular del Ministerio de Guerra. El Sr. Secretario de Estado y del Despacho de Hacienda con fecha de 20 de este mes me dice lo siguiente: „Fl Rey nuestro Señor por decreto rubricado de su R…</t>
  </si>
  <si>
    <t>Auto</t>
  </si>
  <si>
    <t>981</t>
  </si>
  <si>
    <t>…descubrieron y propagaron las luces que en ella se «ocultaban: el Católico Monarca de las España*; tuvo la dignación de visi tarla con los Sermos Sres. Infantes D. C. ríos M :a y D. Auto. k&gt; de B&lt; r— «bon , fomentó sus prrgresos, la restauró; el beueí'cn, el pisooso v deseado «Fernando vii la elevó á la cumbre de ía períi ecb r y dei espLndcr.” S. M. en Seguida dispensó á todos los Khlu k en óos y urp tacos la gra cia de que besaren su Real m…</t>
  </si>
  <si>
    <t>Aux, Lope Diez de</t>
  </si>
  <si>
    <t>Lope Diez de Aux</t>
  </si>
  <si>
    <t>…entonces n© ha habido mas noticia. F,1 que la tenga de su existencia ó fallecimiento se servirá comunicarla en Salamanca á D. Francisco Mateo, del comercio de ella, y en Madrid á D. Lope Diez de Aux, que vive en la calle de la Espada, num. 13 , cuarto tercero. Baños de lio, caseros y de mar: excelencias del baño y reglas para bañarse, precaviendo en los casos comunes los excesos sin consulta; nuevo medio para criar á los niños hermosos, sanos y robustos,…</t>
  </si>
  <si>
    <t>Avila, Gerónimo Romero de</t>
  </si>
  <si>
    <t>Gerónimo Romero de Avila</t>
  </si>
  <si>
    <t>…al señor conde deClónard, y en Aridújár ai teniente de caballería* D. Luis de Vago Piedrola. Arte de canto llano y órgano, ó prontuario músico dividido en cuatro partes: su autor D. Gerónimo Romero de Avila, racionero y maestro de melodía de Ja santa iglesia de Toledo. Se hallará en la imprenta de Dávila, calle de Barricnuev*, y "en la librería efe Sójo, calle de las Carretas. Lecciones de mundo y de crianza, entresacadas de las cartas que mi lord GhristerfTeld…</t>
  </si>
  <si>
    <t>Avila, Máximo de</t>
  </si>
  <si>
    <t>Máximo de Avila</t>
  </si>
  <si>
    <t>…Hermano el Serrao. Sr. Infante D. Carlos Mana con las excelsas Infantas de Portugal. El dicho ayuntamiento compuesto de los regidores D. Pablo López, el capitán D. Dionisio Amelo, D. Máximo de Avila y D. Rafael Bautista Ca ntara , y los diputados D Manuel Ahugetas, D. Vicente Cárdenas, D. Joscí Rodriguez y D. Francisco Fernandez Calvillo , y el sindico persenero Don Bernardo González, con su procurador síndico el Lie. 1). Fraru en Joscfde Torre, pasó tn cuerpo al templo , que e…</t>
  </si>
  <si>
    <t>Aviles, Félix Fernandez</t>
  </si>
  <si>
    <t>Félix Fernandez Aviles</t>
  </si>
  <si>
    <t>…. para el corregimiento de letras de la ciudad de Avila al auditor de guerra D, Mariano Ruiz Lorenzo: para el de Tordesillas á D. Joaquín Martínez Campaya: para el de Montejaque á D. Félix Fernandez Aviles: para el de Villamartin á D. Nicolás Díaz Molin; y para el de Rueda del Almirante á D. Dámaso Megía Girón. También se ha servido el Rey nombrar para la vara de alcalde mayor de la ciudad de Berlanga á D. Josef Fernandez Viliami!: para la de k Guardia, en el R…</t>
  </si>
  <si>
    <t>Avilés, Félix Fernandez</t>
  </si>
  <si>
    <t>Félix Fernandez Avilés</t>
  </si>
  <si>
    <t>…bosques, de los de la abadía de Parrace*, Que jigar y S. Saturnino, á D. Juan Orduña y Argel: para la de Zafra a D JosefPonce de León y Navarrete: para la de la Mora en Castilla á D. Félix Fernandez Avilés; para la de Posadas á D. Pascual de Haro: para la dt Peñaliel á D. Josef Branchat: para la de Alama de Murcia á D. J jan de Dios Ruiz y Ruiz: para la de Fernan-Caballero, Fuente del Fre 1 o y Malagon á D. Josef Francisco Florez Viilamil: para la de la debela…</t>
  </si>
  <si>
    <t>Aviles, Pabio</t>
  </si>
  <si>
    <t>Pabio Aviles</t>
  </si>
  <si>
    <t>…92. D. Martin Ocaf.a 20. D. Blas María 20. D. Pedro Pacheco 20. D. Fernando Prieto 24. D. Juan Ballesteros 20. Don Ruperto Molinero 16. D Josef Brochero 40. D Manuel Palomares 30. Don Pabio Aviles 23 D. Joaquín Delgado 69. D. Sebastian Zahonero 60. D. Pe dro Espina 11 5. D. Manuel García 46. D. Francisco Meneses 4. D. Manuel Castellano 22. D. Antonio Salceda 10. D. Félix Mcdinilla 6. D. Manuel Parra 69. D. Juan Martin Parra 4. D. Francisco Carrasco 2.…</t>
  </si>
  <si>
    <t>Aviles, Pablo</t>
  </si>
  <si>
    <t>Pablo Aviles</t>
  </si>
  <si>
    <t>…z Murga, presbítero, cura de la parroquial de Santiago Apóstol, D. Grego rio Nieto, diputado de abastos mas antiguo, D. Luis de Arrabal, prior síndico general por ambos estados, y D. Pablo Aviles, su secretario, con otros concurrentes distinguidos que asistieron al acto, presentó los discípu los D. Luis Mateos, D. Ildefonso y D. Ramón de Rovina, D. Segundo y D. Manuel Herrero para ser examinados: se dio principio por una elegante oración, que pronunci…</t>
  </si>
  <si>
    <t>Avilés.zzCuaderno, Pedro Menendez</t>
  </si>
  <si>
    <t>Pedro Menendez Avilés.zzCuaderno</t>
  </si>
  <si>
    <t>…n de la Barca, Miguel de Cervantes Saavedre, y D. Jo&gt;sef Patino.— Cuaderno 4.0: D. Antonio Agustín, D. Sancho Dávila, D. Juan de Austria, D. Alvaro de Bazan, Antonio de Nebrija, y D. Pedro Menendez Avilés.zzCuaderno 5 °: D. Juan de Austria, Fr. Luis de Granada, Martin de Alpizcueta, Pedro Chacón, D. Bernardino de Rebolledo, y D. Luis de Góngora.= Cuaderno 6.°: D. Alonso Tostado, Luis Vives, D. Diego Hurtado de Mendoza, D. Gerónimo de Zurita, D. Diego de Saavedra Fajardo,…</t>
  </si>
  <si>
    <t>Ayala, Joaquín María López de</t>
  </si>
  <si>
    <t>Joaquín María López de Ayala</t>
  </si>
  <si>
    <t>…gobierno del Comercio de este principado, les ha agraciado regalándoles algunas obras. Villaróbledo, provincia de Cuenca, 23 de Setiembre. Luego que el alcalde mayor de esta viila D. Joaquín María López de Ayala vió en la gaceta del martes 10 del corriente anunciada la anhelada y deseada noticia del feliz arribo dé S. M. la Reina nuestra Señora y de S. A. R. la Serma. Sra. Infanta Doña María Francisca de Asís al puerro de Cá diz, lleno de aquel acendrado anv r que pr…</t>
  </si>
  <si>
    <t>Ayala, Josef Miguel de</t>
  </si>
  <si>
    <t>Josef Miguel de Ayala</t>
  </si>
  <si>
    <t>…blo y su vicario, quienes lo asistieron desde tres horas antes de su muerte. A las cuatro de la propia tarde se le dio sepultura en la parroquia de es te pueblo por su cura el Br. D. Josef Miguel de Ayala , como consta del ofi cio que acompaño á V. E., junto con la respuesta que me dio de otrt) pre ventivo que le libré á mi llegada, que fue á las ir del día'. Dios guarde á V. E. muchos años. San Cristóbal 32 de Diciembre</t>
  </si>
  <si>
    <t>AyaLa, Pedro Manuel de</t>
  </si>
  <si>
    <t>Pedro Manuel de AyaLa</t>
  </si>
  <si>
    <t>…e ios dueños propietarios de las tierras. Contribuyeron á hacer mas solemne, tierna é interesante esta función los sólidos y elocuentes discursos pronunciados por el vice-director D. Pedro Manuel de AyaLa, y el censor el R. P. Fr. Casto Navajas, inspirando amor y gratitud á la Real benté— cencía de nuestro Soberaro y á las tareas de la sociedad, y el poema que con el mismo objeto dijo el socio de mérito D. Ramón Acevcdo ; con lo cual, y la lectura de los traba…</t>
  </si>
  <si>
    <t>Ayestarán, Juan Ignacio de</t>
  </si>
  <si>
    <t>Juan Ignacio de Ayestarán</t>
  </si>
  <si>
    <t>…cretario* Escribano de Cámara mas anti guo y de Gobierno del mi Consejo, se le dé la misma fe y crédito que á su original. Dada en Palacio á 21 de Junio de 1816. = YO El REY. = Yo Don Juan Ignacio de Ayestarán, Secretario del Rey nuestro Señor, lo hice escri bir por su mandado. = D. Gonzalo Josef de Vilchcs. = D. Manuel de Tor res. =:D. Tadeo Gómez. ssD. Josef Montemtyor. = D. Felipe de Sobrado. 2 Registrada., Aquilino Escudero.2Teniente de Canciller mayor» Aquilin…</t>
  </si>
  <si>
    <t>…á su augusta Esposa. El mismo dia 8 tuvo igual honor la diputación de la provincia de Gui púzcoa compuesta de los Excmos. Sres. duque de Granada , vizconde de Zolina, y los Sres. D. Juan Ignacio de Ayestarán y D. Ramón María de Moya, quienes manifestaron en un elegante discurso la suma fidelidad de aquella muy noble y muy leal provincia á su augusto Soberano, acreditada en los grandes esfuerzos que hizo contra el usurpador, á quien no proclamó ni juró en ninguna época; heroísmo q…</t>
  </si>
  <si>
    <t>Ayuso, Juan Mateo</t>
  </si>
  <si>
    <t>Juan Mateo Ayuso</t>
  </si>
  <si>
    <t>…0 vecinos. Los pretendientes dirigirán sus memoriales al ayuntamiento hasta el dia 10 de Noviembre próximo, en que se proveerá la plaza. Se desea saber el paradero ó existencia de D. Juan Mateo Ayuso, quien en el año de 1808 se hallaba de subteniente del regimiento de infantería de Ñapóles, y en el que continuó hasta la batalla de Rposeco, que por la desorganización de aquel cuerpo pasó á la ciudad de Salamanca, su patria, y fue destinado en clase de ayu…</t>
  </si>
  <si>
    <t>Aza.or, Juan de</t>
  </si>
  <si>
    <t>Juan de Aza.or</t>
  </si>
  <si>
    <t>846</t>
  </si>
  <si>
    <t>…o por la explicación de los- tratados de osteolo gía y mioLogia bajo la dirección de los beneméritos y zelosos profesores Don Antonio Dámaso Torrecilla, catedrático de anatomía, y D. Juan de Aza.or la, maestro disector en los Reales hospitales, á cuya vigilancia y esmero pueden atribuirse en gran parte los grandes adelantamientos, de que aca ban de dar el testimonio mas autentico los alumnos practicantes en los exá menes públicos, que por combion y á no…</t>
  </si>
  <si>
    <t>Azaituno, Pedro</t>
  </si>
  <si>
    <t>Pedro Azaituno</t>
  </si>
  <si>
    <t>…zano 30. D. Victorio Valtierra 30. D. Lorenzo de Seras 30. El coman dante de las armas 138. El contador y subalternos 60. El tesorero de ren ta' 23. ES administrador de rentas 23. D. Pedro Azaituno 30. El corregidor interino 24. 1). ‘Ensebio Hernández 70. D. Vicente Crespo 20. D. Gregorio N ieto 20. D. Lorenzo Mu-te 2 3. El contador del crédito público 48. El deán de aquella santa iglesia 40 El arcediano de Avila 5 . El doctoral 23. El maestrescuela 40.…</t>
  </si>
  <si>
    <t>Azaña, Esréban</t>
  </si>
  <si>
    <t>Esréban Azaña</t>
  </si>
  <si>
    <t>Gaceta de Madrid n.º 149</t>
  </si>
  <si>
    <t>…de una diputación compues ta de su corregidor D. Joaquín de Zengotita Vengoa, del regidor de la mis ma D. Josef Antonio Raj'on, del procurador síndico general D. Pedro Pinazo y de D. Esréban Azaña, secretario de su ayuntamiento, tuvo la honra de felicitar á S. M. el 27 del pasado por su efectuado matrimonio; y el refe rido corregidor dijo lo siguiente: „Señor: La ciudad de Alcalá de Henares, representada en esta diputa ción que su ayuntamiento envía en…</t>
  </si>
  <si>
    <t>Azara, Eusebio de Bardnxí y</t>
  </si>
  <si>
    <t>Eusebio de Bardnxí y Azara</t>
  </si>
  <si>
    <t>I I 2J Honores del Consejo de 'Estado A D. Eusebio de Bardnxí y Azara, á D. Josef García de León y Pizar ro, y á D. Pascual Valle jo. Honores de grande de España para si} sus hijos y sucesores Al marques de la Ramilla, vecino y regidor de la ciudad de Ubeda. ORDEN AMERICANA DE ISABEL LA CATOLICA. Grandes Cruces. Al Teniente gen…</t>
  </si>
  <si>
    <t>Azcona, Manuel Fernandez</t>
  </si>
  <si>
    <t>Manuel Fernandez Azcona</t>
  </si>
  <si>
    <t>…Contreras: para la de Montemayor á D. Andrés Gómez Plata: para la de Higares á D. Manuel Gre gorio Velasco: para la de Salvatierra á D. Josef Antonio Ramo: para la de Fuensalida á D. Manuel Fernandez Azcona; para la de Doña Mencía á Don Alfonso Josef de Frías: para la deTorija á D. Telesforo Valero: para la de Aguilar de Campó á D. Victoriano Escribano: para la de Budia á D. Vi cente Perez Sánchez: para la de Cañete de las Torres á D. Indalecio Coro nel: para la…</t>
  </si>
  <si>
    <t>Aznarez, Josef</t>
  </si>
  <si>
    <t>Josef Aznarez</t>
  </si>
  <si>
    <t>…asó en seguida á felicitar cori igual motivo al Se renísimo Sr. Infante I&gt;. Carlos. D. Lorenzo Xfmenez, brigadier de los Reales egércitos, capitán de Rea les Guardias Españolas, y D. Josef Aznarez, fiscal del juzgado privilegiado de las tropas dé Casa Real, se presentaron en la tarde del 19 del pasado en audiencia de S. M. á felicitarle por Su efectuado enlace; con cuyo plausible motivo dijo el segundo lo siguiente: „Señor: La ciudad de Jaca felicita á…</t>
  </si>
  <si>
    <t>Azopardo, Joaquín</t>
  </si>
  <si>
    <t>Joaquín Azopardo</t>
  </si>
  <si>
    <t>240</t>
  </si>
  <si>
    <t>…ederos (en caso de ser aquel fallecido) para que comparezcan á dicha au diencia y escribanía á usar de su derecho, y deducir las acciones que les competan en el pleito seguido por D. Joaquín Azopardo, vecino y del comercio de la ciudad de Cádiz, Julián de la Peña, de esta vecindad, y otros sobre reclamación de dos va les Reales de 300 pesos de la creación de Mayo de 808, núms. 452919 y42920i; y pasado dicho término sin haberlo egecutado se determinará el…</t>
  </si>
  <si>
    <t>Azorbe, Evaristo</t>
  </si>
  <si>
    <t>Evaristo Azorbe</t>
  </si>
  <si>
    <t>…io está en una poterna, que tiene boca de mucha capacidad abierta hacia el norte, en el costado saliente de un baluarte , por donde sa lieron los cascos al foso y camino cubierto. D. Evaristo Azorbe, de este comercio , ha traído de París un alambique portátil , montado sobre cuatro ruedas , que destila iCD cántaras navarras de vino en 24 horas. Con ia sencilla operación de mover la manecilla de un cua-</t>
  </si>
  <si>
    <t>B, Fermín Martin de</t>
  </si>
  <si>
    <t>Fermín Martin de B</t>
  </si>
  <si>
    <t>…resoluciones expe didas por los diferentes ministerios y consejos desde 4 de Mayo de 1814 hasta fin de Diciembre del mismo año: tomo i.°, dispuesto en virtud de orden de S. M. por D. Fermín Martin de B.ilmaseda. Muy esencial parecía la publicación de esta obra, que tiene por objeto principal la utilidad pública, y es en sí mas apreciable cuando con facilidad se hallan en ella los decretos y demas resoluciones que cada uno pue da necesitar: el editor, para ll…</t>
  </si>
  <si>
    <t>B, Juan</t>
  </si>
  <si>
    <t>Juan B</t>
  </si>
  <si>
    <t>1004</t>
  </si>
  <si>
    <t>…e las Angustias , grabada por D. Juan Antonio Carmona, á 5 rs. ~ Nuestra Señora del Sagrario, grabada por el nmmo, i 5 rs. = Retiato del Rey D. Carlos iv , grabado i una linca por D. Juan B uncli,, á 8 rs. n Dos estampas de la obra del Salustio, por D. Manuel Salvador Carmona , á 8 rs. cada una. (Se continuará. ) Quien quisiere hacer postura á una casa sita en esta corto y su calle de la Mon tera, señalada con el núm. *3 , manz. 543, que tiene d…</t>
  </si>
  <si>
    <t>B, Pedro</t>
  </si>
  <si>
    <t>Pedro B</t>
  </si>
  <si>
    <t>1422</t>
  </si>
  <si>
    <t>…ar de Fuencarral en el sitio que dicen Amaniel, que linda al oriente con otras de los padres de S. Martin; por el mediodia con otras tierras de los pages del Rey, que pertenecen á D. Pedro B_rinduaga; por poniente con la dehesa de los propios de es ta villa, y por eL norte con la misma dehesa y vina que llaman del Bordador, que pertenece á 8. M., y en cuya tierra hay ocho cambijas de agua y varias arroyadas, y la cabecera del oriente un manantial…</t>
  </si>
  <si>
    <t>Bach, Jaime</t>
  </si>
  <si>
    <t>Jaime Bach</t>
  </si>
  <si>
    <t>…ente á De Juan Canelles, subteniente del batallón déla Albuhera. ; Grado de, subteniente á .D. Manuel Lerva, cadete del regimiento de Granada. La propiedad del empleo de alférez á D. Jaime Bach, sargento primero graduado de alférez de dragones de la Union. Grado de sargento, primero á Luis Ponce, sargento segundo del regi miento de Granada; y á Salvador Bautista, sargento segundo del batallón de la Albuhera. y .y . y-. Grado de sargento &lt; segundo á…</t>
  </si>
  <si>
    <t>Badajoz, Josef</t>
  </si>
  <si>
    <t>Josef Badajoz</t>
  </si>
  <si>
    <t>…e esta corte se celebra ron egcrcicios literario-» en los dias i, 8, 16 y 19 de Junio último por los alumnos del mismo D. Benito Gines Sánchez, D. JLuis Aquilón, D. Pedro N avas y D. Josef Badajoz, bajo ía dirección del primer catedrático , gefe lo cal del establecimiento, D# Antonio de la Cruz. Recayeron lias .disertaciones sobre la^ diferentes especies de ruibarbo dél comercio, las gomo-resinas, gálbano , amoniaco, euforbio, mirra, bedelio, incienso,…</t>
  </si>
  <si>
    <t>Badiilos, Diego María</t>
  </si>
  <si>
    <t>Diego María Badiilos</t>
  </si>
  <si>
    <t>…üedad del deCasrilla , de cano; D. Bernardo Riega, de este consejo y cámara ; el conde de Torremuzquiz , del consejo y cámara de Indias ; D. Juan Paez de la Cadena, del de Guerra; D. Diego María Badiilos, del de Almirantazgo; D. Santiago Masarnau y Torres , secretario de la mayordomía mayor; D. Francisco Escariad, contador general de la Real casa y patrimonio; D. Pedro de Vargas , teso rero general de la misma Real casa y patrimonio; D^ Francisco Alonso de Oj…</t>
  </si>
  <si>
    <t>Badil, Diego María</t>
  </si>
  <si>
    <t>Diego María Badil</t>
  </si>
  <si>
    <t>…Linares, en el reino de .J-aen, D. Jósef Julián de Ortega, corregidor de la misma, el limo. Sr. D. Gonzalo Jósef de Vilches, del consejo y cámara de S. M., el marques de Fontanar, D. Diego María Badil los, del supremo consejo del Almirantazgo, D. Diego Luis de Salido, brigadier de los Reales egérciros, y comandante del parque de Artillería de esta corte, y D. Bernardo María de Güenduiain, capitán de Reales guardias Walonas ; ae los cuales el primero dijo:…</t>
  </si>
  <si>
    <t>Badilios, Diego López</t>
  </si>
  <si>
    <t>Diego López Badilios</t>
  </si>
  <si>
    <t>…entesTribunales , y presidida del Presidente del Cornejo Real* Convocada esta , y reunidos los vocales, antes de formarse se suscitó- la disputa scbre preferencia de asiento entre D. Diego López Badilios , del Consejo de Or denes , y D. Pedro Nicolás del Valle , det de Hacienda , que son de los nom brados i pero cediendo este ultimo porque no se detuviera el servicio de S* M* en el objeto de su reunión, se instaló la Junta , con la protesta de parte de Valle…</t>
  </si>
  <si>
    <t>BadiUos, Diego María</t>
  </si>
  <si>
    <t>Diego María BadiUos</t>
  </si>
  <si>
    <t>…. Madrid u de Octubre. En el día 6 deí corriente tuvieron la honra de felicitar á S. M, por su au— gusto,enlace, ánombre del ilustre ayuntamiento de la ci dad de Murcia, los Sres. D. Diego María BadiUos, del Consejo de S. M. en el supremo de Al mirantazgo, y el Lie. D. Matías Pareja y Torres, regidor perpetuo de dicha ciudad , quien como individuo de aquella corporación habló á S. M en estos términos: ,,Señor: El ilustre ayuntamiento de la vuestra M. N. y L.…</t>
  </si>
  <si>
    <t>Bagot, Garlos</t>
  </si>
  <si>
    <t>Garlos Bagot</t>
  </si>
  <si>
    <t>…Spithead, de donde debe dar la vela para Sta. Elena, llevando á bordo al nuevo gobernador sír Hudson Lowe, á los comisarios de las potencias aliadas y al regimiento núin. 65.0 El caballero Garlos Bagot, ministro plenipotenciario de S. M., estaba pronto á partir el 8 desde Pliinouth para su destino en la fragata el FHger. Lord Amherst, nuestro embajador en la China, debe.salir para su desti no el 2 0 de este mes en la fragata el Alcestes, que está completame…</t>
  </si>
  <si>
    <t>Bahamonde, Francisco Yañez</t>
  </si>
  <si>
    <t>Francisco Yañez Bahamonde</t>
  </si>
  <si>
    <t>…Señor, á nombre del ca bildo catedral de la santa iglesia de Sevilla, el Excmo. Sr. D. Pedro Carde nal de Gravina, nuncio apostólico, arcediano de Carmona, y canónigo , y el limo. Sr. D. Francisco Yañez Bahamonde, canónigo de la misma santa iglesia, y comisario general de Cruzada 5 y el primero dirigió á S. M. el si guiente discurso: „Señor: el cabildo catedral de la leal ciudad de Sevilla, asi como fue uno de los primeros en felicitar á V. M. por su suspirada restitu…</t>
  </si>
  <si>
    <t>Bahi, Juan Francisco</t>
  </si>
  <si>
    <t>Juan Francisco Bahi</t>
  </si>
  <si>
    <t>…Tora, tan perjudicial al cultivo de aleonas plantes: de la utilidad del cultivo del alpiste: se indica un medio de destruir el hollín , tan perjudicial ai olivo, y del cual el Dr. D. Juan Francisco Bahi, uno de los redactores de estas memorias, habia tratado ya en los núms. i.°, 2.® y g.° de este tomo: se dan algunos avisos útiles á los labradores: se dan noticias químicas del yode, substancia nuevamente descubierta: se describe la maquina de peinar lana, in…</t>
  </si>
  <si>
    <t>Baile, Luis</t>
  </si>
  <si>
    <t>Luis Baile</t>
  </si>
  <si>
    <t>Conrreras Torres y Espejo y D. Ramón de Ortega: otra del clero de la misma villa, representada por D. Luis Baile, prior de Ja parroquia de San Amador, y por los presbíteros D. Manuel Sánchez y Martos y D. Antonio Vénzala: otra de la villa de Mancha Real, del reino de Jaén, que represen taba su corregidor D. Fernando María Segovia, y los regidores D. Miguel Vico y D. Fra…</t>
  </si>
  <si>
    <t>Baille, Pedro</t>
  </si>
  <si>
    <t>Pedro Baille</t>
  </si>
  <si>
    <t>…iano Antonio de Puyada sobre D. Santiago Angel de Velasco: otra de 160 id, dada en Vitoria á 11 de Enero de 18 it por Bagnere hermanos á la orden de D. Diego Díaz de Acevedo sobre D. Pedro Baille1 y compañía, de Madrid: otra de dos doblones dada en París en 15 de Julio de 1811 por Seiliá á la orden de D. Diego Carrere á cargo de los señores hermanos Barthel'emy , ce Madrid: otra tercera de 8973 rs. plata, dada en Cádiz el 18 de Octubre de 1808 por Jos…</t>
  </si>
  <si>
    <t>Baimis, Francisco Xavier de</t>
  </si>
  <si>
    <t>Francisco Xavier de Baimis</t>
  </si>
  <si>
    <t>…oreau (de la Sarth), profesor de medicina, segundo bibliotecario de la escuela médica'de París, é individúo d.e varias sociedades y academias; y traducido al castellano por el Dr. D. Francisco Xavier de Baimis. Esta obra, que es la mas completa y metódica que se conoce, y cuyo contenido está comprobado con las nu merosísimas observaciones y experimentos hechos por el traductor en las cuatro par tes del mundo en la expedición filantrópica que dirigió por orden de nu…</t>
  </si>
  <si>
    <t>Balanza, Genaro Azcona y</t>
  </si>
  <si>
    <t>Genaro Azcona y Balanza</t>
  </si>
  <si>
    <t>…subdelegado de Rentas de Cantabria; D. Antonio Reguera., regidor de la Coruña; D. Mariano Moxo, maestrante de Ronda, y D. Francisco Durango, vecino de Santander. Cruz de mimero A D. Genaro Azcona y Balanza, oficial 'segundo primero de la secreta ría del Despacho de Gracia y Justicia. Opción a cruz de número A D. Josef Antonio Larraz , oficiab mayor primero de la secretaría del Despacho de Hacienda ; á D. Máximo Rodenas, oficial-mayor segundo de la misma secreta…</t>
  </si>
  <si>
    <t>Balanzar, D Ignacio</t>
  </si>
  <si>
    <t>D Ignacio Balanzar</t>
  </si>
  <si>
    <t>…ió á recibir á S. A. el Sermo. Sr. Infante Generalísimo con el general inspector conde de Villariezo, los subinspectores de ambas divi siones mariscal de campo D. Fernando Butrón, brigadier D Ignacio Balanzar , el de igual clase D. Vicente de Vargas, secretario de la inspección , y de mas ayudantes. S. A. fue recibido en el orden de parada, y seguido de e*ta numerosa comitiva corrió toda la línea, hasta el momento que se dignó lle gar S. M., á quien se recibió en…</t>
  </si>
  <si>
    <t>Balanzat, Luis</t>
  </si>
  <si>
    <t>Luis Balanzat</t>
  </si>
  <si>
    <t>…det gefe de estudios de la academia, los profe sores y demas oficiales. S. M. se di rigió á la sala ó clase en que actualmente estudian los alum nos. El brigadier gefe de estudios D. Luis Balanzat, en un breve y elocuente discurso, presentó á S. M. el cuadro del establecimiento, su origen, vicisitu des y estado actual; indicando Iberamente los servicios que han hecho , y gloria que han adquirido en la última guerra los profesores y alumnos de esta acad…</t>
  </si>
  <si>
    <t>Balaschewy</t>
  </si>
  <si>
    <t>…servación de los ya construidos. Esta ccmisron se compone del general de artillería conde de Araktschejew, del ingeniero ge neral Devolent, del ministro de la Po!icía,deI ayudante general Balaschewy del ministro del Interior y consejero íntimo Kosadawlew t que en el día tie ne también á su cargo el ministerio de Justicia. SUECIA. Stockolmo 2 de Junio. De aquí á dos dias deben marchar para la Escanta SS. MM. el Rey y Reina, quienes i causa de su avaneada…</t>
  </si>
  <si>
    <t>Balay, Domingo</t>
  </si>
  <si>
    <t>Domingo Balay</t>
  </si>
  <si>
    <t>…los citados D Josef Perez y D. Juan Pablo Rodríguez. En trigonometría plana D. Manuel Ban dujo, O. Cándido Pulleiro, D. Joaquín Hernández, D. Eusebio Arróspide, D. Ramón González ,D. Domingo Balay y D. Vicente M itis.En trigonome tría esférica D. Francisco Galceran, D. Lino Pacheco, D. Marcelino Deus, y los citados Hernández, Arróspide, Bandujo , Pulleiro, González y Balay, feu cosmografía dichos Bajujo, Deus y Pulleiro. En geografía Hernández, Arróspide y Bandujo. E…</t>
  </si>
  <si>
    <t>Balda, Federico de Bernuy y</t>
  </si>
  <si>
    <t>Federico de Bernuy y Balda</t>
  </si>
  <si>
    <t>1342</t>
  </si>
  <si>
    <t>…re de la ciudad de Montero , el Exce lentísimo Sr. D. Francisco Xavier Castaños, capitán general de ios Reales egircitos, regidor perpetuo preeminente de aquel ayuntamiento , y el Sr. Don Federico de Bernuy y Balda, caballero de justicia del orden de S. Juan; el primero de los cuales arengando á S. M. dijo entre otras cosas lo siguiente: „Señor: El ayuntamiento de la M. N. y M. L. ciudad de Montoro nos ha confiado la honrosa comisión de manifestar á L. R. P. de V. M. lo…</t>
  </si>
  <si>
    <t>Balles, Pedro Vázquez</t>
  </si>
  <si>
    <t>Pedro Vázquez Balles</t>
  </si>
  <si>
    <t>…odrigo ; D. Fermin Gil de Linares, fiscal de la audiencia de Extremadura; D. Fernando Gutiérrez, vecino de Campeche; D. Josef Moreno Martínez , contador de la tesorería gen. ral ;;D. Pedro Vázquez Balles teros, ministro de la Audiencia de Aragón ; D. Josef Ruiz de Copegni, vocal que fue de la junta de Burgos; D. Ventura Tagle Soasaga, racionero de la catedral de Lima; D. Francisco Florencio de Olazabal, vecino de Sevilla; D. JosefPerez de Rosas, corregidor de…</t>
  </si>
  <si>
    <t>Ballester, Josef</t>
  </si>
  <si>
    <t>Josef Ballester</t>
  </si>
  <si>
    <t>El oficial de la clase de primeros del cuerpo político de la Armada de la dotación del departamento de Cádiz D. Josef Ballester ha ofrecido para las urgencias del erario la cantidad de 7837 r‘s. y 21 inrs. vellón á que es acreedor por sus sueldos en fin de Diciembre de 1814; y S. M. se ha digna do aceptar la oferta, que se le den las gracias en su Real nombre, y que se publique en la…</t>
  </si>
  <si>
    <t>Ballesteros, Josef Tomas</t>
  </si>
  <si>
    <t>Josef Tomas Ballesteros</t>
  </si>
  <si>
    <t>…ago, y gobernador militar y político de ellas, asociado de los regi dores perpetuos del ayuntamiento de la capital D. Juan Antonio Melgarejo, caballero ae la orden de Alcántara, y D. Josef Tomas Ballesteros, caballe ro de Justicia en la de S. Juan, y del diputado representante de la nobleza de dicho partido D. Francisco Antolinez de Castro , caballero también de Justicia en la misma orden de S. Juan; de los cuales el primero, después de haber felicitado en un br…</t>
  </si>
  <si>
    <t>Ballesteros, Juan</t>
  </si>
  <si>
    <t>Juan Ballesteros</t>
  </si>
  <si>
    <t>…Esteban Gómez 20. D» Felipe Eneri y Seda 40. D. Gregorio Fernan dez 46. D. Fernando Larrondo 92. D. Martin Ocaf.a 20. D. Blas María 20. D. Pedro Pacheco 20. D. Fernando Prieto 24. D. Juan Ballesteros 20. Don Ruperto Molinero 16. D Josef Brochero 40. D Manuel Palomares 30. Don Pabio Aviles 23 D. Joaquín Delgado 69. D. Sebastian Zahonero 60. D. Pe dro Espina 11 5. D. Manuel García 46. D. Francisco Meneses 4. D. Manuel Castellano 22. D. Antonio Salceda 10. D…</t>
  </si>
  <si>
    <t>Ballesteros, Luis Lopes</t>
  </si>
  <si>
    <t>Luis Lopes Ballesteros</t>
  </si>
  <si>
    <t>…ida pasó la misma diputación á felicitar con igual motivo al Sermo. "Sr. Infamé D. Carlos y á su augusta Esposa. La diputación del ayuntamiento y provincia dk Orense, compuesta de D. Luis Lopes Ballesteros, secretario de $. M. con egerdcio de decretos, y</t>
  </si>
  <si>
    <t>Ballesteros, Luis López</t>
  </si>
  <si>
    <t>Luis López Ballesteros</t>
  </si>
  <si>
    <t>…l de Huesca, y director de la casa de misericordia; á los oficiales de la secretada del Despacho de Hacienda D. Francisco Icabaleerá, D. Josef Goicoechea, D. Justo Josef Banqueri, D. Luis López Ballesteros y D. Manuel Corte*; D. Josef María de Aguirre, teniente goberna dor subdelegado de Rentas de Cantabria; D. Antonio Reguera., regidor de la Coruña; D. Mariano Moxo, maestrante de Ronda, y D. Francisco Durango, vecino de Santander. Cruz de mimero A D. Genaro Azcona y Balanza, of…</t>
  </si>
  <si>
    <t>Balmaseda, Fermín Martin de</t>
  </si>
  <si>
    <t>Fermín Martin de Balmaseda</t>
  </si>
  <si>
    <t>…Fernando v.ii, ó colección de Reales resoluciones-expe didas por los diversos Ministerios y Consejos en tocio el año de id 1 5 : Muo 2.0 dis puesto en virtud de órden de S. M. por D. Fermín Martin de Balmaseda, c—X a uri-</t>
  </si>
  <si>
    <t>Balmin</t>
  </si>
  <si>
    <t>…iana. Él domingo se hicieron á la vela en Portsmouth para Sta. Elena el almi rante sil* Pulteney Malcolm y su esposa : van en el Ñenvcasile, á cuyo bor do se embarcaron también el conde Balmin y el marques de Montehenu , co misarios de Rusia y de Francia. El Orestes , á cuyo bordo va el barón Sturmer, comisario del Austria, debe acompañar al Ne'wcast/e. Por un correo que llegó anteayer de Lisboa hemos sabido que la fragata el Granicus llegó al Tajo…</t>
  </si>
  <si>
    <t>Balmis, Francisco</t>
  </si>
  <si>
    <t>Francisco Balmis</t>
  </si>
  <si>
    <t>…colocada en la biblioteca del museo puedan disfru tarla los curiosos, con beneficio de la pública instrucción. S. M. se ha digna do recibir esta nueva prueba del zelo que anima á D. Francisco Balmis por la extensión de los conocimientos científicos en su patria, que mirará siempre agradecida las fatigas sufridas por este viagero en su larga peregrinación al rededor del mundo. Para formar idea de lo útil que es el zelo de los superiores y magistra dos por…</t>
  </si>
  <si>
    <t>Balmís, Francisco Xavier de</t>
  </si>
  <si>
    <t>Francisco Xavier de Balmís</t>
  </si>
  <si>
    <t>…bajó su firma en el término de un mes, dirigiéndose á la comisión establecida por la Real orden citada, y cuyo presidente es el Excmo. Sr. D. Joaquín Blake. El cirujano de cámara D. Francisco Xavier de Balmís ha presentado á S. M. una colección de dibujos de 485 plantas de las que los chinos reputan por mas útiles, donde se hallan fielmente representadas con sus propios colo res, sus raíces, tallos, hojas y lás partes de su inflorescencia y fructificación. Este sa…</t>
  </si>
  <si>
    <t>Ban, Manuel</t>
  </si>
  <si>
    <t>Manuel Ban</t>
  </si>
  <si>
    <t>…En geometría D. Josef Pujadas, D. Fermín Galceran, D Josef Sada, D. Ignacio Palacios, D. Tomas Diago, y los citados D Josef Perez y D. Juan Pablo Rodríguez. En trigonometría plana D. Manuel Ban dujo, O. Cándido Pulleiro, D. Joaquín Hernández, D. Eusebio Arróspide, D. Ramón González ,D. Domingo Balay y D. Vicente M itis.En trigonome tría esférica D. Francisco Galceran, D. Lino Pacheco, D. Marcelino Deus, y los citados Hernández, Arróspide, Bandujo ,…</t>
  </si>
  <si>
    <t>Bañares, Gregorio</t>
  </si>
  <si>
    <t>Gregorio Bañares</t>
  </si>
  <si>
    <t>…ercurio, ó por no haber conocido su naturaleza y virtudes, ó de intento para en salzar el rob antisifilítico del primero, y otros secretos empíricos de los extrangeros: por el Dr. D. Gregorio Bañares, boticario de cámara de S. M. Esta obrita contiene, entre otras cosas interesantes, una receta ó fórmula para que todos los bo ticarios puedan hacer con uniformidad el rob antisifilítico de Laffecteur. Se da una regla fundamental para que los médicos y ciruja…</t>
  </si>
  <si>
    <t>Bandujo, Manuel</t>
  </si>
  <si>
    <t>Manuel Bandujo</t>
  </si>
  <si>
    <t>…eometría D. Josef Pujadas, D. Fermín Gaiceran, D. Josef Sada, D. Ignacio Palacios , D. Tomas Díago, y los citados D. Josef Perez y Don Juan Pablo Rodríguez. En trigonometría plana D. Manuel Bandujo, Don Cándido Pulleiro, D. Joaquín Hernández, D. Eusebio Arróspide, D. Ra món González, D. Domingo Valay y D. Vicente Matis. En trigonometría esférica D. Francisco Gaiceran, D. Lino Pacheco, D. Marcelino Deus, y los citados Hernández, Arróspide, Bandujo, Pulle…</t>
  </si>
  <si>
    <t>Baños, Pedro Martínez de</t>
  </si>
  <si>
    <t>Pedro Martínez de Baños</t>
  </si>
  <si>
    <t>…, fábulas de Fedro, y respondieron con puntualidad y acierto á^cuanto sve les preguntó sobre los preceptos Gramaticales y propiedad de la locución. En víW ta de e^to el corregidor D. Pedro Martínez de Baños, que á la cabeza del ayuntamiento presidió el acto, dispuso que á todos los'nombrados en sus res-! pectivas clases se les condecorase con una medalla de-plata para estimular aP adelantamiento á los demas, y que al preceptor se le :diesenK las gracias po’í* el…</t>
  </si>
  <si>
    <t>Banqueri, Justo Josef</t>
  </si>
  <si>
    <t>Justo Josef Banqueri</t>
  </si>
  <si>
    <t>…estrescuela de la catedral de Huesca, y director de la casa de misericordia; á los oficiales de la secretada del Despacho de Hacienda D. Francisco Icabaleerá, D. Josef Goicoechea, D. Justo Josef Banqueri, D. Luis López Ballesteros y D. Manuel Corte*; D. Josef María de Aguirre, teniente goberna dor subdelegado de Rentas de Cantabria; D. Antonio Reguera., regidor de la Coruña; D. Mariano Moxo, maestrante de Ronda, y D. Francisco Durango, vecino de Santander. Cr…</t>
  </si>
  <si>
    <t>Baquijano, Joset</t>
  </si>
  <si>
    <t>Joset Baquijano</t>
  </si>
  <si>
    <t>…ó de esta corte /cese en el encargo de heredero fidei comisario del Sr. D. Juan Agustín de Baquijano, conde que fue de Vistaflorida, declarando que la herencia pertenece al Excmo. Sr. D. Joset Baquijano, actual con de del mismo título, v sus demas he:manos* V sobrinos carnales; lo que se hace sa ber á los que tengan reclamaciones con Ja testamentaría del mismo señor, para que se entiendan con estos o con D.Miguel de Nágera, agente de negocios de Indias en es…</t>
  </si>
  <si>
    <t>Baquijano, Juan Agustín de</t>
  </si>
  <si>
    <t>Juan Agustín de Baquijano</t>
  </si>
  <si>
    <t>…ma da por egecuTorias de risía y revista del consejo supremo de S. M , se ha mandado que O. Matías Pecina, cecinó de esta corte /cese en el encargo de heredero fidei comisario del Sr. D. Juan Agustín de Baquijano, conde que fue de Vistaflorida, declarando que la herencia pertenece al Excmo. Sr. D. Joset Baquijano, actual con de del mismo título, v sus demas he:manos* V sobrinos carnales; lo que se hace sa ber á los que tengan reclamaciones con Ja testamentaría del mis…</t>
  </si>
  <si>
    <t>Bar</t>
  </si>
  <si>
    <t>46</t>
  </si>
  <si>
    <t>…nde, y'que al mismo fin lo circule á las Jus ticias de los pueblos de su territorio ; y del recibo de esta me dárá aviso. Dios guarde á V. muchos años. Madrid 8 de Enero de 1816. =D. Bar tolomé Muñoz. 3.a Habiéndose servido resolver S. M. á consulta del Consejo, que la Sa la de Alcaldes y las Chancillerías y Audiencias Reales al tiempo que exami nen las causas formadas por el extinguido Ministerio de Seguridad pública y sus Comisionados en lo…</t>
  </si>
  <si>
    <t>…emplaza á D. Mariano Lanals, D. Be nito Capó y Paigsener, D. Pedro Antonio Canabes, apoderado del Dr. D. Pedro Antonio Arnér, de D. Bartolomé Amér y D. Pedro Francisco Morro, y á D. Bar tolomé Valentín Sorteja, tenedores de seis vales Reales de 300 pesos, creación de i.® de Setiembre, señalados con los números 57459» 57610» 58548, 58960, 59024 y 68233, á fin de que en el término de 30 dias, contados desde 2 del cor riente, concurran á dicho…</t>
  </si>
  <si>
    <t>Bár</t>
  </si>
  <si>
    <t>tan suntuosa y^magnífi^a como, útil para la buena» educación de las niñas no bles, ¿no perpetuará la religiosidad y munificencia, de la‘Reina Doña Bár bara? A vista pues de sucesos tan gloriosos como nos refiere la historia cuan do han estado unidos los castillos y las quinas, espera Sigüenza que con el próximo enlace gozará V. M. un reinado felicísimo igual á los mencionados; y que como á otras ciudades y…</t>
  </si>
  <si>
    <t>Baranda, Bernardo Saitiz de</t>
  </si>
  <si>
    <t>Bernardo Saitiz de Baranda</t>
  </si>
  <si>
    <t>…ión, se presentarán en dicha villa para el dia 30 de Setiembre próximo, en el que se dará principio al examen y oposición , remitiendo aotescui memoriales al deán de dicha iglesia D. Bernardo Saitiz de Baranda, y su cabildo, que dirigirá la censura de los sinodales y demás documentos que presenten los opuestos al Jfixcmo. Sr. duque del Infantado, patrón único y presentero de todas las prebendas de dicha iglesia colegia! para su elección. Recuerdos á ía vida mortal…</t>
  </si>
  <si>
    <t>Barata, Antonio</t>
  </si>
  <si>
    <t>Antonio Barata</t>
  </si>
  <si>
    <t>…pernumeraria sin sueldo en el tribunal del Excusado A D. Bernardo del Rio, canónigo de Ciudad-Rodrigo, é inquisidor de Llerena. Idem de intendente de Egército A D, Bernardo Temes, D. Antonio Barata y D. Diego de la Torre, di rectores del Crédito público; D. Pió Eüzalde, ídem de Reales provisiones; D. Carlos Rusconi , cónsul en Venecia, y D. Rafael Ruiz de Arana, ministro del tribunal de Cruzada. Idem de Provincia Á D. Mariano Vallejo, superintendente y director de…</t>
  </si>
  <si>
    <t>Barazaval, Josef Joaquín Duran y</t>
  </si>
  <si>
    <t>Josef Joaquín Duran y Barazaval</t>
  </si>
  <si>
    <t>…brica, y con quien deberán entenderse los compradores para las cantidades que necesitaren, Madrid 24 de Julio de 1816. = Mateo Gil de Sola. = José t de Lniz,=. Agus tín de Samano. Don Josef Joaquín Duran y Barazaval, mariscal de campo de los Reales egércitos , y comandante general que fue de la divbion de Soria en la últi ma pasada guerra, ha recurrido á S. M. en solicitud de cuatro cruces de dis tinción para los gefes, oticiales y tropa que asistieron personalmente a la…</t>
  </si>
  <si>
    <t>Barba, Juan García</t>
  </si>
  <si>
    <t>Juan García Barba</t>
  </si>
  <si>
    <t>…para la de Mombeltran á D. Benito Gabriel de Aguilera: para la de Rioseco á D. Antonio Romero Prieto: para la de Navas del Marques á D. Rafael de Acosta: para la de Villafrechos á D. Juan García Barba: para la de Motril á D. Josef Manzano Márquez: para la de Iznajar á D, Josef Manuel Sánchez del Aguila: para la de Alarcon á D. Alonso Ramón Rubio: para la de Alaejos á D. Juan Rabanal y Hevia: para la de Torrelobaton á D. Eugenio Hernández Borbon: para la de…</t>
  </si>
  <si>
    <t>Bárbara, María</t>
  </si>
  <si>
    <t>María Bárbara</t>
  </si>
  <si>
    <t>…Juan i; Doña Isabel, de D. J uan ii; Doña Juana, de D. Henrique iv; Doña Isabel, del Emperador D. Carlos v, primero entre los Reyes de este nombre; Doña María, de Don Felipe ii, y Doña María Bárbara, de D. Fernando vi. „Gloria es, Señor, de vuestra corona , y testimonio de la liberalidad de vuestro predecesor D. Alfonso i de Castilla , el origen de la casa Real de Portugal : y si porque asistió en las muchas victorias alcanzadas de los mo ros el conde He…</t>
  </si>
  <si>
    <t>Barbeira, Antonio</t>
  </si>
  <si>
    <t>Antonio Barbeira</t>
  </si>
  <si>
    <t>6$: y D. Antonio Barbeira, el primero dirigiendo los bravos soldados con el ma yor acierto y valer,tia, y el segundo batiendo la campaña con los tiradores, con aquella serenidad y ventaja que solo se consigue en fuerzas dd verdade ro valor tan acreditado en él. El teniente y subtenien…</t>
  </si>
  <si>
    <t>…uestra parte hemos tenido al teniente coronel D. Manuel Bausa, «argento mayor del regimiento infantería de la Union , herido levemente en una pierna: al teniente del propio cuerpo D. Antonio Barbeira muerta j y</t>
  </si>
  <si>
    <t>…gefe, al digno teniente coronel D. Manuel Bau sa, mayor de la Union, que fue herido en el calor del combate, cumpliendo á satisfacción mia con su deber y con cuanto le previne: al teniente Don Antonio Barbeira, que acaba de morir, para que S. M. recompense la bi zarría de este oficial, bien en su familia ó en quien fuere de su soberano agra do : á los tenientes de cazadores del mismo cuerpo D. Francisco Narganes y D. Josef Andrade, y los subtenientes D. Fernando Vá…</t>
  </si>
  <si>
    <t>…con la bizarría que tienen acreditado, y son muy acreedores á la consideración de S. M. ; suplicando á V. E. que sí merece alguna el teniente del regimiento Infantería de la Union D. Antonio Barbeira, muerto gloriosamente en el campo, recaiga sobre su pobre familia. Yo he dado en nombre de S. M. las mas expresivas gracias á rodos , manifestándoles mi agradecimiento, y que propenderé gustoso á hacer cuanto me sea dable en su obsequio. Las alhajas ,de igles…</t>
  </si>
  <si>
    <t>Barbera, Rafael María</t>
  </si>
  <si>
    <t>Rafael María Barbera</t>
  </si>
  <si>
    <t>TO'I ceder título de Castilla, con la denominación de conde de To’rrefiel, á Don Rafael María Barbera, pa«*a sí, sus hijos, descendientes y sucesores en su ca sa y mayorazgos. r , . El Rey nuestro Señor ha visto con el mayor agrado el esmet^ é integri dad .del cabildo de la .santa iglesia.de Barcelona en la administración de los ramos de Excusado y Noveno; y…</t>
  </si>
  <si>
    <t>Barcaiztegui, Miguel Juan</t>
  </si>
  <si>
    <t>Miguel Juan Barcaiztegui</t>
  </si>
  <si>
    <t>…M. L. ciudad de S. Sebastian, compuesta del Excmo. Sr. conde del Abbbal, teniente general de los Reales egércitos, caballero gran crus de la Real y mi litar orden de S. Fernando, D. Miguel Juan Barcaiztegui, cónsul de S. M. en Tolon, y D. Ramón María Clasens, diputado en esta corte por el ilustre consulado ae ídem, tuvo la honra de felicitar á S. M. por su contratado ma trimonio con la Serma. Sra. Infanta de Portugal Doña María Isabel; pro nunciando el primero d…</t>
  </si>
  <si>
    <t>Barcclb, Juan</t>
  </si>
  <si>
    <t>Juan Barcclb</t>
  </si>
  <si>
    <t>…resan las f¡bulas 6 traba jo* c!e Hércules: cuatro representan Europa, Asia, Africa v América*, dos las virtude s cardinales; y las otras dos las batallas de Oranada, grabadas por D. Juan Barcclb *. todas 8o rs. —Vista de la isla de Malta, grabada por D. Rafael Este ve, 4 4 rs. (JV etntinuard.') . A virtud de comisión de la suprema junta de Reintegros se están practicando varias diligencias .relativa* 4 averiguar las personas ó corporaciones á quienes…</t>
  </si>
  <si>
    <t>Barcena, Manuel de Sobral y</t>
  </si>
  <si>
    <t>Manuel de Sobral y Barcena</t>
  </si>
  <si>
    <t>1284</t>
  </si>
  <si>
    <t>…l motiva al Sermo* Sr. Infante D. Carlos* El propio dia tuvieron.el honor de felicitar á.S» M. por sn augusto en lace á nombre del cabildo eclesiástico de la catedral de la Habana D. Manuel de Sobral y Barcena, teólogo consultor, y examinador de la Nunciatura, sinodal del arzobispado de l^bledo y Segovia, caballero de la Real y disr tinguida órden de Cárlos m, condecorado con la cruz de mérito de ChiT clana , académico de honor de la Real academia de S. Fernando, y…</t>
  </si>
  <si>
    <t>Barclay</t>
  </si>
  <si>
    <t>…, de 98 ca ñones, el Burlington , de 74, el Char&lt;wel, de 24, el cúter Chub, y ocho goletas. Inmediatamente pasarán muchos oficiales y marineros á aquel apostadero. Mr. Holmer y el coronel Barclay, nombrados comisarios para el seña lamiento de los límites orientales de los Estados-Unidos en conformidad al último tratado, partieron el 17 del mes pasado de Portland para Estpont. y RUSIA. Petersburgo 5 de Octubre. Mr. Balk Polew , gentilhombre de S. M., e…</t>
  </si>
  <si>
    <t>Barnuevo, Josef</t>
  </si>
  <si>
    <t>Josef Barnuevo</t>
  </si>
  <si>
    <t>1202 Señora, á nombre de la ciudad de Chinchilla su corregidor D. Juan María Ruano, y el regidor decano D. Josef Barnuevo; y el primero arengando á S. M. dijo enrre otras cosas lo siguiente: ,,Chinchilla, Señor, y los pueblos de su partido, zelosos siempre por las glorias de su Rey , cuentan como la primera el augusto matrimonio de V. "M., y como un manantial fecundo de felicida…</t>
  </si>
  <si>
    <t>Barona, Antonia</t>
  </si>
  <si>
    <t>Antonia Barona</t>
  </si>
  <si>
    <t>…ntes tato con los estrados del tribunal, y Ies parará el perjuicio que haya lugar. Para pagar á vaios acreedores se vende una vara de alguacil de corte sin censo alguno, propia de Doña Antonia Barona. La persona que guste de ella sé servirá pa ra tratar de su ajuste pasar á la calle ancha del Avapies de esta corte, tienda casa de las Animas , núni 2 5. * En la viila de Mancha Real, partido de Jaén , se halla vacante la plaza de maes tro de primeras letras…</t>
  </si>
  <si>
    <t>Barona, Francisco</t>
  </si>
  <si>
    <t>Francisco Barona</t>
  </si>
  <si>
    <t>…ga , calle de las Car retas, á 54 rs. en pasta y 47 á la rústica. Método simplificado de Ja teneduría de libros: escrito por E. T. Jones, y tra ducido del ingles al castellano por D. Francisco Barona. Se hallará en Madrid en I3 librería de Matute , calle de las Carretas ; en Reus en la de Conrpte ; en Barcelona en las de Sierra, Brusi f y de G.arriga y Aguas vivas; en Valencia en la de Bendito, y en Cádiz en la compañía de Paños. EN LA IMPRENTA REAL,</t>
  </si>
  <si>
    <t>Barra, Felipe</t>
  </si>
  <si>
    <t>Felipe Barra</t>
  </si>
  <si>
    <t>…ntamiento de la ciudad de Avila 4© rs. El Sr. obispo 500. El ca bildo eclesiástico 4:00. Intendencia, contaduría y oficinas 1473. IX Pedro Espina 9 '‘O. D Sebastian Hernández 120. D. Felipe Barra 100. D. Manuel García 80. D. Gaspar Arribas 20. D. Juan Nobreda 20. D; Manuel Saudin Calderón 8. D. Fernando Gómez 10. Doña Margarita Martin 20. D. Santos Avoin Coronel en efectos y dinero 360. D. Manuel Cisneros 200. D. Anto nio Echenique 140. D. Josef Perez…</t>
  </si>
  <si>
    <t>Barragan, Miguel</t>
  </si>
  <si>
    <t>Miguel Barragan</t>
  </si>
  <si>
    <t>…l cual fue pasado por las armas. Al mencionado brigadier Llano participa D. Nicanor Lazcano des de la hacienda dicha de la Barranca , con fecna de 16 de Octubre, que por orden del capitán D. Miguel Barragan pasó á la hacienda de S. Vicente para dar auxilio á la fuerza que había alii, y que en ella supo el suceso desgra ciado que causó la prisión del capitán D. Martin Montero de Arritola en el pueblo de Coroneo. Con fecha 26 de Octubre desde la hacienda de Teperi…</t>
  </si>
  <si>
    <t>Barrciro, Angel</t>
  </si>
  <si>
    <t>Angel Barrciro</t>
  </si>
  <si>
    <t>…Caridad., compuesta de D. D07 mingo Fernandez Campomanes, del Consejo Real, y gobernador de la sala de alcaldes de Casa y Corte, D. Francisco Salcedo , D. Fermín Nafarrondo* y el secretario D. Angel Barrciro, en los termines siguientes: „Señor : La junta general de Caridad de esta corte , reconocida por ranfos títulos á la incomparable beneficencia de V. M , ya por la singular gracia de su restablecimiento, ya por la concesión de que bajo de su mano corran lais e…</t>
  </si>
  <si>
    <t>Barreiro, Josef María</t>
  </si>
  <si>
    <t>Josef María Barreiro</t>
  </si>
  <si>
    <t>…para el mando, teniendo S. M. en él uno de los mejores oficiales del egército. „No puedo dejar en silencio al sargento mayor del mismo cuerpo Don Antonio Casano, y á los capitanes D. Josef María Barreiro, D. Ignacio Ro mero y D. Melchor Castaños, por su zelo y trabajos en la formación y des empeño de las baterías, en que no han reposado dia y noche. „ Al teniente coronel del Real cuerpo de ingenieros D. Juan Camacho y al capitán de zapadores D. Sebastian Díaz…</t>
  </si>
  <si>
    <t>Barreiro, Manuel</t>
  </si>
  <si>
    <t>Manuel Barreiro</t>
  </si>
  <si>
    <t>…to , D. Manuel de Villavicencio, comandante de escuadrón del regimiento de húsares de Fernando vil, D. Antonio Casano , sargento mayor de Artillería graduado de teniente coronel , D. Manuel Barreiro", capitán de Artillería ídem , D. Juan Camacho, capitán de Ingenie ros ídem, D. Ildefonso de Sierra, teniente coronel del regimiento infantería de la Victoria , D. Rafael de Zúñiga, teniente coronel de milicias disciplina das de Sta. Marta, al teniente corone…</t>
  </si>
  <si>
    <t>Barren, Guillermo</t>
  </si>
  <si>
    <t>Guillermo Barren</t>
  </si>
  <si>
    <t>…de porte.' : . ^ , 1 - ■ — ¿i. - . ..... .! i. -! 1 1.. Se trende la hacienda de la Concepción, situada i media legua de Málaga, propía de la testamentaría concursada del difunto D. Guillermo Barren: se compone de I7§ fanegas de tierra calma, y 24 poblada de árboles y viña, cuyos frutos, la mayor parte de limón, son muy apreciables para extracción al extrangero, ademas de los útiles necesarios: tiene también una hermosa casa de¡ campo de dos cuerpos llen…</t>
  </si>
  <si>
    <t>Barrero, Pedro Fernandea</t>
  </si>
  <si>
    <t>Pedro Fernandea Barrero</t>
  </si>
  <si>
    <t>…ica preparada por el ayuntamiento, se sorteó , y perteneció á D. Benito de Gracia Sán chez. Pronunció el presider-te un pequeño dúcimo , á que siguió el procu rador síndico ei Dr. D. Pedro Fernandea Barrero, congratulando á los padres de los niños y al preceptor por entregarse á tan singular irotruccion: ofreció este admitir en su academia dos niños pobres, á elección del ayuntamiento, y enseñarles rún interes alguno; por cuya generosidad y sen timientos tan hum…</t>
  </si>
  <si>
    <t>Barret, Juan</t>
  </si>
  <si>
    <t>Juan Barret</t>
  </si>
  <si>
    <t>…ntos y sus causas, barómetros, higrómetros &amp;c., agua, sus estados de hie lo, liquidez, vapor y meteorología. Los alumnos que salieron fueron D. Josef Viñolas, D. Ramón de Becardi, D. Juan Barret, D. Juan Urel!, D. Antonio Fernandez y Valiejo, Don Antonio Monmany, D. Miguel Marti y D. Francisco Carbonell. Aunque to dos estaban obligados á responder á todo, se les señaló para explicar un punto en particular, el que después de explicado fue corroborado…</t>
  </si>
  <si>
    <t>Barriopedro, Josef Ruiz</t>
  </si>
  <si>
    <t>Josef Ruiz Barriopedro</t>
  </si>
  <si>
    <t>…la de Relchite á D. Francisco Fernandez de Gal vez; y para la de la villa de Epila á D. Rafael Larraz. Igualmente se ha servido S. M. nombrar para la agencia liscal de ía cámara á D. Josef Ruiz Barriopedro: para una plaza de oidor de la audiencia de Ex tremadura á D. Demetrio Ortiz , alcalde del crimen mas antiguo de ella: para esta resulta á D. Josef Antonio Serrano; y para otra de alcalde del crimen de la misma audiencia á D. Josef Olivas y Denia, oidor de la…</t>
  </si>
  <si>
    <t>Barrios, Manuel de Castro y</t>
  </si>
  <si>
    <t>Manuel de Castro y Barrios</t>
  </si>
  <si>
    <t>…con igual motivo al Sermo. Sr. Infante D. Cárlos. El dia 17 del mismo tuvieron la honra de felicitar á SS. MM., y besar sus Reales manos, á nombre de la M. N. y L. C. de Almería, D. Manuel de Castro y Barrios y el marques de la Regalía, mayordomos de semana del Rey nuestro Señor, diciendo el primero entre otras cosas lo siguiente: „ Señor: Después de las amargas desgracias que por muchos años han afli gido á España, ve esta con placer recogido el fruto de sus sacr…</t>
  </si>
  <si>
    <t>Barros, Valero</t>
  </si>
  <si>
    <t>Valero Barros</t>
  </si>
  <si>
    <t>…los demas, y que al preceptor se le :diesenK las gracias po’í* el buen método , zelo y exactitud con que desempeña su. magisterio. ' ' ’ ¡ En seguida el maestro de primeras letras D. Valero Barros presentó á‘1os: álumnos de su escuela, que dieron, pruebas de su instrucción en leer', escri-* bir y en la doctrina cristiana ; y aunque todos manifestaron conocimientos*4 superiores á su edad y al tiempo que tenían de enseñanza , merecieron toda—» víá partic…</t>
  </si>
  <si>
    <t>Bartelemy</t>
  </si>
  <si>
    <t>Gaceta de Madrid n.º 79</t>
  </si>
  <si>
    <t>…ra que los cuatro testigos nombrados por el Re)” para el matri monio de S. A. R. el duque de Berry son, por el egército el mariscal duque de Bcluno, por la cantara de los pares el conde Bartelemy, por la de los diputados Mr Bellart, y por el tribunal de ca«acion Mr. de Seze. El ib harán su entrada en esta capital el Rey y madama la Duquesa de Berry. El matrimonio se celebrará el 17, y las tie*tas empezarán el El tribunal prebostal de Rúan va á juzgar…</t>
  </si>
  <si>
    <t>Barto</t>
  </si>
  <si>
    <t>jnf borlada mi expedición : para el efecto nombré á los capitanes D. Barto lomé Calvet, D; Mariano Rendon y al subteniente graduado D. Antcrnio Lucía, quienes con 50 hombres de la segunda compañía de infantería y 300 de los vecinos de los pueblos interiores de este partido que me acom pañaban, salieron de este campamento con destino…</t>
  </si>
  <si>
    <t>Bartolomé</t>
  </si>
  <si>
    <t>…dolo se declarará por de la pertenencia de D. Juan Casas, por quítale ha reclamado. Por el presente se cita, llama y emplaza á los censualistas y acreedores á la tes tamentaría de D. Bartolomé del-.Hoyo y Dofia Francisca de Tejada y sus bienes para que acudía á deducirle dentro del término de 1-5 dias, contados desde el de esta publicación, en el juzgado del Sr. D. Joaquín Almazan, del Consejo de S. M. teniente corregidor de esta villa, y por la es…</t>
  </si>
  <si>
    <t>BartoloméGarcimartin</t>
  </si>
  <si>
    <t>…PP. dominicos de la misma tuvieron noticia de esta gracia, nombraron una diputación compuesta del Dr. D. Josef Aguado, arcediano de Olmedo, dignidad de la misma santa iglesia, de D. BartoloméGarcimartin, canónigo de la misma , y del Riño. P. Mtro. Fr. Pedro Ramirez, prior de dicho convento, para que en nombre de las corporaciones de que son in dividuos pasasen á la corte i cumplimentar 2 S. M. y darle las mas rendidas gracias, como lo verificaron el dia 6 de…</t>
  </si>
  <si>
    <t>Basaro, Pedro Sixto</t>
  </si>
  <si>
    <t>Pedro Sixto Basaro</t>
  </si>
  <si>
    <t>…18.16.^= Rubricado por el Príncipe Regente nuestro Señor.” ’ ESPAÑA. Madrid 21 de Octubre. El Real cuerpo de maestranza caballería de la ciudad de Ronda dio co misión á los Sres. D. Pedro Sixto Basaro, D. Francisco Xavier García de Velasco y D. Josef Felipe Ortiz, vecinos de la ciudad de Cádiz, ó indivi duos de dicho Real cuerpo, para que á su nombre felicitasen á la Reina nuestra Señora y á su augusta Hermana luego que desembarcasen. Los refe ridos comisi…</t>
  </si>
  <si>
    <t>Bassecourt</t>
  </si>
  <si>
    <t>…ipio vi tal de Esthill &amp;c. en defensa de la obra anterior; á 2 rs.»»»Reglas para Impedir la renovación, introducción y propagación de cualquiera contagió: á 2 rs.«—Manifies to del general Bassecourt, presidente de la junta superior de sanidad de Valencia, ú todas las municipales del distrito de su mando, insertándolas él plan adoptado por et citado profesor en la extinción de la fiebre amarilla de Almazarrón de 1810, ob tenida en 13 dias según lo habia o…</t>
  </si>
  <si>
    <t>Batallcr, Miguel</t>
  </si>
  <si>
    <t>Miguel Batallcr</t>
  </si>
  <si>
    <t>794</t>
  </si>
  <si>
    <t>…, !o e nde ó a la peoa capital conforme a*. parecer del señor auditor, cayo dic tamen y superior decreto de conformidad son como siguen: DL tómen del señor auditor Je guerra oidor D. Miguel Batallcr. Excmo. Sr.: El asesino del señor Siravu Josef María Morelos está lla namente confeso del crimen de rebelión de que ha sido cabeza, y de todos los demas atroces y sin cuento que en el a h* cometido y ha hecho cometer. La única excusa que alegt en su descargo…</t>
  </si>
  <si>
    <t>Bathursr</t>
  </si>
  <si>
    <t>Gaceta de Madrid n.º 151</t>
  </si>
  <si>
    <t>…es de esta capital, en el sitio lla mado Spa-fields , una reunión sediciosa de gentes del populacho, con cuyo mo tivo se juntaron en casa de lord Sidinouth, ministro del Interior, lord Bathursr , lord Liverpool, Mr. Wellesley-Pole y Mr. C. Long, y hubo dife rentes comunicaciones entre aquel ministerio y el Príncipe Regente. Durante</t>
  </si>
  <si>
    <t>Bathurst</t>
  </si>
  <si>
    <t>…lería de á caballo, y dragones desmontados que vienen de Francia. Idem 2 de Febrero. El arzobispo de Cantorberi, el lord canciller, el conde de Harrowby, el duque de Montrose y el conde Bathurst, que formaban la comisión Real, abrie ron ayer el parlamento con el discurso siguiente, que pronunció el lord can ciller. MILORES Y SEÑORES: „Tenemos orden de S. A.R. el Príncipe Regente para manifestaros el pro fundo sentimiento que le aflige por la continua…</t>
  </si>
  <si>
    <t>9*7 de la Gran Bretaña le fueron presentados por lord Bathurst el general Doile, que está al servicio de España, y el general Cox, al de Portugal, á quienes c a R. confirió el título de caballeros. Idem 20. La gaceta del 17 anuncia que el Príncipe Regente ha mandado que el Parlamento, que estaba prorogado para el 24 de e…</t>
  </si>
  <si>
    <t>Gaceta de Madrid n.º 126</t>
  </si>
  <si>
    <t>…gran cantidad de dinero, alhajas, elefantes, caballos, mueble* £ inmenso* almacenes de granos. El teniente Wilson, del regimiento nuin. 35.llegó a -er en po ta á la secretaría de lord Bathurst con pliegos de Malta, que aseguran ser de mucha importancia. ESPAÑA. Madrid Sí de Octubre. El día 4 del presente mes de Octubre tuvo el honor de besar la mano á S. M. la Reina nuestra Señora en su Real Cámara , y cumplimentarla por su celebrado enlace con nue…</t>
  </si>
  <si>
    <t>Bathurts</t>
  </si>
  <si>
    <t>…Príncipe de Orange-Nassau, gran Duque de Luxemburgo. En vista del convenio concluido en Londres el dia 12 de Agosto último entre nuestro embajador y el Secretario de Estado ingles conde Bathurts so bre la navegación y comercio con las colonias de las Indias occidentales de Demerari, Essequibo y Berbice, y queriendo tomar sobre este punto las dis posiciones convenientes, con especialidad para la navegación y comercio con las colonias de las Indias occ…</t>
  </si>
  <si>
    <t>Bathusrt</t>
  </si>
  <si>
    <t>…rador de Austria y al Rey de los Países-Bajos la investidura de la orden de la Jarretiera , dos: en el año cumplido en 5 de Enero de 181Ó,, al firmarse los tratados, nueve. Por el conde Bathusrt, secretario de Estado en el departamento de la Guerra y de las Colonias, una caja del Emperador de Rusia en el año cum~</t>
  </si>
  <si>
    <t>Bau, Manuel</t>
  </si>
  <si>
    <t>Manuel Bau</t>
  </si>
  <si>
    <t>…tropa han muerto 34 individuos, 78 heridos, y dos contuso5:. „ No puedo menos de recomendar á V. S., para que se digne hacerlo con el Excmo. Sr. general en gefe, al digno teniente coronel D. Manuel Bau sa, mayor de la Union, que fue herido en el calor del combate, cumpliendo á satisfacción mia con su deber y con cuanto le previne: al teniente Don Antonio Barbeira, que acaba de morir, para que S. M. recompense la bi zarría de este oficial, bien en su familia…</t>
  </si>
  <si>
    <t>Bausa, Manuel</t>
  </si>
  <si>
    <t>Manuel Bausa</t>
  </si>
  <si>
    <t>…iva'mente. ,, A las 12 d¿ la moche del 13 salí cofi 700 hombres, dando la vanguar-* dia 000 350, qué se componía de dos compañías del regimiento de la Union y del Rey, al teniente coronel D. Manuel Bausa, sargento mayor del pri-*mer cuerpo, y yo le seguí con el resto del segundo, algunos voluntarios y la caballería del país; previniendo de antemano á este gefe que no se dis^* paraje un tiro hasta llegar á lasv avanzadas enemigas. En efecto , á las cinco y med…</t>
  </si>
  <si>
    <t>…. disponga de ellos según le parezca. „$i acaso se encontrase sucesivamente alguna cosa mas, como creo, avi saré á V. S, oportunamente. „Por nuestra parte hemos tenido al teniente coronel D. Manuel Bausa, «argento mayor del regimiento infantería de la Union , herido levemente en una pierna: al teniente del propio cuerpo D. Antonio Barbeira muerta j y</t>
  </si>
  <si>
    <t>Bausfels, Príncipe de</t>
  </si>
  <si>
    <t>Príncipe de Bausfels</t>
  </si>
  <si>
    <t>2</t>
  </si>
  <si>
    <t>…de la guardia, los batallones de granaderos de HaJler y de Losberg, y de dos baterías, entre las cuales se encuentran muchas piezas tomadas al enemigó. Venia á su cabeza el mayor general Príncipe de Bausfels. iFrancfort $ dé Diciembre. El elector de Hesse ha mandado que todos los individuos comprendidos en el decreto del Rey de Francia de 24 de Julio sean arrestados, si se pre sentaren en el territorio hessés. Los que esten comprendidos en la primera clase serán…</t>
  </si>
  <si>
    <t>Bauza, Felipe</t>
  </si>
  <si>
    <t>Felipe Bauza</t>
  </si>
  <si>
    <t>…el señor decano y señores' ministrps del .supremo consejo de Aliniraníazgo, que se habian reunido » es te. fin, y por el director dej establecimiento él capitán de navio graduado? D. Felipe Bauza, con todos los demas,individuos y dependientes de él.1 : ’</t>
  </si>
  <si>
    <t>…la direc ción de hidrografía de esta corte por los capitanes de navio D. Julián Ortiz Canelas, director del Real observatorio astronómico de marina de la ciudad «e $. Fernando , y D. Felipe Bauza , que lo es de dicho establecimiento hi drográfico, quienes para la mejor determinación del eclipse calcularon anti cipadamente todas sus fases r y para la observación de los contactos usaron de acromáticos de Dollond ae doble objetivo, 3 pies, 7 pulgadas de…</t>
  </si>
  <si>
    <t>…. 5I- ........ 4 „ 4é El 19 á las xo...................... 3 ........ 5! ....... 4 . 4l El tiempo ha sido notado en el cronómetro de primera de BerthouJ cüm. 84 de la propiedad de D. Felipe Bauza, quien ha determinado su mar cha y estado absoluto por observaciones de alturas correspondientes de sól tomadas los dias 15, 18 y 19, resultando por ellas atrasado al tiempo medio al medio dia verdadero el i8....3/27//,87 , y su atraso diario respecto al tiem…</t>
  </si>
  <si>
    <t>Bauzil, Juan</t>
  </si>
  <si>
    <t>Juan Bauzil</t>
  </si>
  <si>
    <t>…y que sepan escribir de corrido; y tienen solamente que llevar papel, pluma y el arte, que se vende en la librería de Castillo, frente i las gradas de S. Felipe el Real, á 30 rs. D. Juan Bauzil, pintor de cámara de S. M. el Sr. D. Fernando vii , en los 19 años que disfruta este honor no ha dado al público ninguna de sus obras; pero habiendo tenido ei acierto de haber acabado con la posible exac titud el retrato de S. M. que se manifestó en la plazue…</t>
  </si>
  <si>
    <t>Bayer, Julián</t>
  </si>
  <si>
    <t>Julián Bayer</t>
  </si>
  <si>
    <t>…rentes gra cias y recompensas , que habiendo merecido la soberana aprobación de S. M., se publican á continuación para satisfacción de los interesados. Grado de teniente coronel á D. Julián Bayer, capitán del batallón de cazadores de Extremadura; á D. Vicente Sánchez Lima, capitán de húsares de Fernando vu , y á D. Antonio Fominaya , capitán del fijo de Cartagena. Grado de capitán á D. Pedro Mateos , teniente del batallón de la Albuhera. Grado de teni…</t>
  </si>
  <si>
    <t>Bayes, Julián</t>
  </si>
  <si>
    <t>Julián Bayes</t>
  </si>
  <si>
    <t>…l D. Vicente Sánchez Lima, que manda la del Nechí, sobre Zaragoza y Cáceres: este oficial ha trabajado incesantemente, y lo re comiendo á V. E.; ío mismo que al de la propia clase D. Julián Bayes, es pitan del de cazadores de Extremadura, que b*tió y derrotó á los enemigos en Chima, según tengo dado ya parte á V, E., ventaja que ha contribuido mucho al buen éxito de las operaciones contra la plaza; le he dado la orden para que salga á ocupar el rio At…</t>
  </si>
  <si>
    <t>Bayot, Josef Pascual y</t>
  </si>
  <si>
    <t>Josef Pascual y Bayot</t>
  </si>
  <si>
    <t>…recibido S. M. y A. las diputaciones de aquel ayuntamiento y clero, se dignaron admitir también á su presencia una diputación de la villa de Espejo, compuesta de su alcalde mayor D. Josef Pascual y Bayot y de su regidor decano D. Félix Josef María Caserillo, los cuales en nombre de los leales vecinos de aquella villa ofrecieron á S. M. y A. R. los mas sinceros homenages de respeto y sumisión. El mismo dia habiendo llegado S. M. y A. R. á la ciudad de Andujar,…</t>
  </si>
  <si>
    <t>Bazan, Alvaro de</t>
  </si>
  <si>
    <t>Alvaro de Bazan</t>
  </si>
  <si>
    <t>…ga, D. Alonso de Ercilla, D. Pedro Calderón de la Barca, Miguel de Cervantes Saavedre, y D. Jo&gt;sef Patino.— Cuaderno 4.0: D. Antonio Agustín, D. Sancho Dávila, D. Juan de Austria, D. Alvaro de Bazan, Antonio de Nebrija, y D. Pedro Menendez Avilés.zzCuaderno 5 °: D. Juan de Austria, Fr. Luis de Granada, Martin de Alpizcueta, Pedro Chacón, D. Bernardino de Rebolledo, y D. Luis de Góngora.= Cuaderno 6.°: D. Alonso Tostado, Luis Vives, D. Diego Hurtado de Me…</t>
  </si>
  <si>
    <t>Bazan, Antonio Valdés y</t>
  </si>
  <si>
    <t>Antonio Valdés y Bazan</t>
  </si>
  <si>
    <t>421</t>
  </si>
  <si>
    <t>…e las Ordenes, y presidente de la Real junta económica de las encomiendas vacantes de la orden de S. Juan, se dignó S. M., en obsequio de la ilustre memoria del difunto bailío Fr. Don Antonio Valdés y Bazan, y en atención á la súplica que le hizo en los últiinos momentos de su vida, declararle la supervivencia por tiempo de 18 años de los frutos de la encomienda de Paradinas que disfrutaba en la orden de S. Juítn, para cubrir con ellos las deudas que había contr…</t>
  </si>
  <si>
    <t>Gaceta de Madrid n.º 54</t>
  </si>
  <si>
    <t>…s del estado, y admitidos por S. M., ha tenido á bien mandar se le den las gracias. El dia 4 de Abril falleció en esta corte á los 72 años de edad el Excelen tísimo Sr. bailío Fr. D. Antonio Valdés y Bazan, caballero de la insigne or den del Toison de Oro, gran cruz y comendador de Paradinas en la orden de S. Juan de Jerusalen , y presidente de su sacra asamblea; gran cruz de la Real y militar orden de S. Hermenegildo, gentilhombre de cámara de S. M. eon egerci…</t>
  </si>
  <si>
    <t>Bcrdonces, Saturlo Ximenez de</t>
  </si>
  <si>
    <t>Saturlo Ximenez de Bcrdonces</t>
  </si>
  <si>
    <t>…4, quien enterará al preten diente de las circunstancias que se exigen para hacerle el nombramiento. Tratado para afinar el cáñamo y hacer de él el lino de mar ó de libretas : por D. Saturlo Ximenez de Bcrdonces. Se hallará en la librería de Francés, frente á las gradas de S. Felipe el Rea!. Retrato de S. M. grabado por D. Miguel Gamboríno para colocar al frente de la obra intitulada Decretos del Rey nuestro Señor D. Fernando vir, á 4 rs.rrEl mando (mudo) militar con…</t>
  </si>
  <si>
    <t>Be</t>
  </si>
  <si>
    <t>…Ximeno, del consejo de S. M., y teniente de corregidor de esta capital, dada por la escribanía del número de D. Cristóbal de Vicuña, se cita, llama y emplaza á D. Mariano Lanals, D. Be nito Capó y Paigsener, D. Pedro Antonio Canabes, apoderado del Dr. D. Pedro Antonio Arnér, de D. Bartolomé Amér y D. Pedro Francisco Morro, y á D. Bar tolomé Valentín Sorteja, tenedores de seis vales Reales de 300 pesos, creación de i.® de Setiembre, señalado…</t>
  </si>
  <si>
    <t>Be, Vicente Gómez</t>
  </si>
  <si>
    <t>Vicente Gómez Be</t>
  </si>
  <si>
    <t>…s se excusarán dos cerdos en vara* y una suerte de tierra en los repartimientos de las concejiles. Los pretendientes di rigirán sus memoriales al ayuntamiento por la escribanía de D. Vicente Gómez Be cerra hasta S. Juan del mismo año. El elegido escriturará por el tiempo de tres años cuando menos, y el mismo ayuntamiento se informará de su habilidad, porte y bue na conducta moral y política: el pueblo consta de 1200 vecinos, buena situación y proporciones…</t>
  </si>
  <si>
    <t>Beatriz</t>
  </si>
  <si>
    <t>…antecedente asciende á 384891 rs. y 23 mrs., de que deberán deducirse 89130 rs. sobre que se fundaron los dos patronatos mandados fundar por Doña Juana Caldera Freile, hija de !a Doña Beatriz, en el convento de Sta. Clara de esta corte, y á cuyo goce y obtención de dichos patronatos está reservado igualmente el derecho por la sentencia de Ja chancillería á los que le puedan tener mejor que Doña Josefa Ga briela Valdearetias. La comunidad de S. Ped…</t>
  </si>
  <si>
    <t>…, muger de Don Fernando n; Santa Teresa, de D. Alfonso ix, ambos Reyes de León; Do ña Mafalda, de D. Henrique i; Doña Constanza, de D. Fernando iv; Do ña María, de D. Alfonso xi; Doña Beatriz, de D. Juan i; Doña Isabel, de D. J uan ii; Doña Juana, de D. Henrique iv; Doña Isabel, del Emperador D. Carlos v, primero entre los Reyes de este nombre; Doña María, de Don Felipe ii, y Doña María Bárbara, de D. Fernando vi. „Gloria es, Señor, de vuestra cor…</t>
  </si>
  <si>
    <t>Becardi, Ramón de</t>
  </si>
  <si>
    <t>Ramón de Becardi</t>
  </si>
  <si>
    <t>…ticidad del aire, vientos y sus causas, barómetros, higrómetros &amp;c., agua, sus estados de hie lo, liquidez, vapor y meteorología. Los alumnos que salieron fueron D. Josef Viñolas, D. Ramón de Becardi, D. Juan Barret, D. Juan Urel!, D. Antonio Fernandez y Valiejo, Don Antonio Monmany, D. Miguel Marti y D. Francisco Carbonell. Aunque to dos estaban obligados á responder á todo, se les señaló para explicar un punto en particular, el que después de explicado…</t>
  </si>
  <si>
    <t>Becker</t>
  </si>
  <si>
    <t>…remitidos al tribunal criminal, como acusados de haber facilitado la fuga de Mr. de Lavalette. Los señores Wilson, Bruce y Hutchinson pasan al mismo tribunal por igual motivo. El general Becker, que condujo á Bonaparre á la Rochela, y el general Sinner han recibido orden de salir de Clermont. El primero debe ir a Poitiers y el segundo á Marsella. Se dice que el cardenal Mauri, á quien el Papa ha di jado la libertad de imponerse la pena en que ha inc…</t>
  </si>
  <si>
    <t>Bejar, Francisco</t>
  </si>
  <si>
    <t>Francisco Bejar</t>
  </si>
  <si>
    <t>. 11^3 Doña Mariana Sánchez fo. D. Bernabé Sánchez Jo. Doña Catalina de la Ri ca 50 Doña Mariana Aillon óo. Doña María de Castro 60- Juan de Cam pos Ruiz 40. D. Francisco Bejar 40. Josef Beímar 40. Sebastian Moreno 40. Juan Espinosa Tellez 50* Doña Isabel Gerónima Zamorano 100. D. Anto nio Ortiz Calvento 50. D. Pedro Josef Zamorano 160. Pedro Alfonso Clavijo i®. Doña Ana Sánchez 1®. Juan Caballero y su hijo 60. Doña Marina Rita Zamo…</t>
  </si>
  <si>
    <t>Bel, Benito Rodríguez de</t>
  </si>
  <si>
    <t>Benito Rodríguez de Bel</t>
  </si>
  <si>
    <t>…ia con el poderoso estímulo del honor y de la utilidad particular, tie ne establecidos. Los tres primeros de á 5 5 pesos cada uno se han adjudica do á los candidatos D. Juan Saez, D. Benito Rodríguez de Bel vis y D Josef Atanasio Torres ; y los tres segundos de 35 pesos á D. Rafael Josef de Guardia, D. Josef Lorenzo Suarez y D. Vicente Garda; y deseosa la Real junta de condecorar el mérito de D. Ruperto Sacristán, D. Josef Zoilo Ro mán, D. Manuel Godos y Mendoza…</t>
  </si>
  <si>
    <t>Belair</t>
  </si>
  <si>
    <t>…en libertad. : - ■ . Hace algunos dias que se ha puesto sin comunicación á los generales Drouet, Dehelle y Cápibrone, cuyos procesos están próximos á sentenciarse. Se dice que el general Belair ha sido preso y conducido á la cárcel de la Abadía. Los puestos ocupados por la guardia nacional y la tropa de línea se han aumentado considerablemente de unos dias á esta parte. ' ' • ESPAÑA. '! *. ■ ) ! ' Madrid y de Febrero, ARTICULO DE OFICIO. J57 Rey nue…</t>
  </si>
  <si>
    <t>Beldrof, Luis</t>
  </si>
  <si>
    <t>Luis Beldrof</t>
  </si>
  <si>
    <t>…ría, alumbrándole un ayoda del Real guardamuebles de S. M. con uno dé los candeleros que habiá sobré esta' mesa. Estaba prevenida otra mesa y y poniéndola delante del Rey, nuestro Señor D. Luis Beldrof, aposentador honorario de palacio, con un ayuda del Real guardamuebles, firrqóS. M. ^ sirviéndole el tintero D.Juan Mi guel de Grijaíva, ayuda de cámara dé S. M. ¿subsecretario de cá mara. Debajo de la firma de S. M. püsierdo^Iafc suyas, por su orden en una y…</t>
  </si>
  <si>
    <t>Belegarde, Henrique de</t>
  </si>
  <si>
    <t>Henrique de Belegarde</t>
  </si>
  <si>
    <t>…no habia respondido el divan. Según las últimas cartas de Milán el Archiduque Antonio debe ser nom brado virey del reino Lombardo-Véneto, y se designa como su mayordo mo mayor al conde Henrique de Belegarde. Idem 20. ... . Ali-bajá, visir, ó mas bien soberano de la Albania y de una parte ¡de la Grecia, no quiere entregar á los ingleses la fortaleza de Prevessa, que perte neció en otro tiempo á los venecianos , cuando estos poseían las Islas Jónicas. Los desastre…</t>
  </si>
  <si>
    <t>Beliard</t>
  </si>
  <si>
    <t>El día 9 de este mes fue puesto en libertad el general Beliard, que estaba arrestado en la Abadía. , Escriben de Petersburgo, con fecha de 15 deFebrero, lo siguiente': „Níngimo de los franceses comprendidos en el.decreto del Rey de Francia de 24 de Julio podrá fijarse en esta capital.” Se dice que algunos que han llegado…</t>
  </si>
  <si>
    <t>…eguida marcha rán á Viena. FRANCIA. París 23 de Marzo. El tribunal de acusación ha pasado el proceso relativo á la fuga de Lavalette al tribunal criminal para que le sentencie. El general Beliard , cuya libertad se anunció en algunos periódicos, ha sido trasladado por enfermo á una casa particular, en donde continuará ar-? restado hasta que se cure. En el reino de Nápoles se han tomado las providencias mas severas para interrumpir la comunicación con…</t>
  </si>
  <si>
    <t>Bello, Josef</t>
  </si>
  <si>
    <t>Josef Bello</t>
  </si>
  <si>
    <t>…elipe el Real, á a8 reales; en C»diz en la librería de CiLejas; en Ja Coruña en la de Cardesa; en el Ferrol en la de Peco; en Santiago en la de Rey Romero, y en Mondofíedo casa de D. Josef Bello, á 27 rs. Se advierte que cu«ndo se hayan remitido egemplares á las demás provincias del reino se avisará por este medio las librerías donde se hallarán de venta. Relación circunstanciada de la campaña de Rusia en 1811, con dos planos, uno de la bItalia de! M…</t>
  </si>
  <si>
    <t>Belmar, Bartolomé</t>
  </si>
  <si>
    <t>Bartolomé Belmar</t>
  </si>
  <si>
    <t>…religiosos dominicos , 8800. La Exce lentísima Sra. marquesa de Benamejí 16®. El convento de religiosos de la Merced 4®___Viíiafranea----D. Mateo Coronado, alcalde mayor, 500 rs. D. Bartolomé Belmar, alcalde de primer voto, 100. D. Andrés Zamorano, alcalde de segundo voto, 400. D. Diego Ramírez, regidor síndico procura dor general, 60. Bartolomé Garijo, regidor segundo, 100. D. Sebastian Ra fael Camacho, diputado primero, 150. D. Alfonso López, diputado…</t>
  </si>
  <si>
    <t>Bencomo, Santiago</t>
  </si>
  <si>
    <t>Santiago Bencomo</t>
  </si>
  <si>
    <t>…director otros varios en estampas y en pequeñas medallas de plata, con el fin de estimular á ios jóvenes quemas se habían distinguido en los exámenes. Concluida ¡a distribución el Sr. D. Santiago Bencomo, deán de la santa iglesia catedral de estas islas, y caballero pensionado de la Real y distingui da urden de Carlos ni , que casualmente se hallaba en esta ciudad, en de mostración de su complacencia por los conatos de este cuerpo- patriótico en dar fomento a…</t>
  </si>
  <si>
    <t>Benedicta, María Francisca</t>
  </si>
  <si>
    <t>María Francisca Benedicta</t>
  </si>
  <si>
    <t>…Nobles de la Reina Marta Luisa A las Sermas. Sras. Infantas de Portugal Doña María de la Asunción, Doña Ana de Jesús María, y á S. A. R. la Princésa viuda del Príncipe del Brasil Doña María Francisca Benedicta; como 'también á lás.-Excmas. Sras. duquesa vitida de Alhurquerque, marquesa viuda.de. Asto’rga condesa dé Altamira, marquesa de Éspinardo, condesa de-Castfó 'Ler^reño , condena de Li nares, marquesa de Vallada condesa de'Caparica:, y/marquesa de CUleruelo.</t>
  </si>
  <si>
    <t>Benet, Gaspar</t>
  </si>
  <si>
    <t>Gaspar Benet</t>
  </si>
  <si>
    <t>…i cuatro del Excmo. ayuntamiento; D. Juan de Haro y Figueredo, individuo del Real cuerpo de maestranza; el Lie. D. Francisco de la Blanca y Calvo, del ilustre colegio de abogados; D. Gaspar Benet, y D. Antonio Marcelino Fornieles, hace saber: que siendo sus principales deberes excirar á los habi tantes de ella á que ofreciesen voluntariamente las mayores cantidades posi bles , con el sagrado objeto de sostener las tropas, y dar al público para su sati…</t>
  </si>
  <si>
    <t>Beni</t>
  </si>
  <si>
    <t>…a. 3.0 Cuatro medallas de plata de va lor de 20 rs. vn. cada una y un egemplar de. la obrita titulada institucio nes de geometría práctica, para el uso de los jóvenes artistas por D. Beni to Bails, se ofrecen á los cuatro discípulos de la sala de aritmética y geome tría práctica que sé desempeñen mejor en su acto de oposición.^4.° A cada uno de los tres que se hallen en este mismo caso de la cátedra de economía política, la obra de Juan Bautis…</t>
  </si>
  <si>
    <t>Benitez, Cristóbal</t>
  </si>
  <si>
    <t>Cristóbal Benitez</t>
  </si>
  <si>
    <t>…Saturio de Puerta: para la de Bonillo á D. Jcaquiu González: para la de Aimanza á D. Antonio Merino y Calvo: para la de Quesada á D. Dionisio González: para la de Palma del Rio á D. Cristóbal Benitez: para ía de Salas de los Infantes á D. Sandalio de Or ne y Garav : para la de Villalba de Alcor á D. Pedro Brenes Lobato: para la del Viso de Alcor á D. Antonio María de Rodas: para la de las Peñas de S. Pedro de nueva creación á D. Fernando Antonio Navarro :…</t>
  </si>
  <si>
    <t>Benitez, Francisco Josef</t>
  </si>
  <si>
    <t>Francisco Josef Benitez</t>
  </si>
  <si>
    <t>…y de las obligaciones del erario , á consecuencia de la Real orden de 2 de Julio de 1815,circulada por el señor Intendente de esta provincia en 12 del mismo mes, á saber: Córdoba. D. Francisco Josef Benitez 160 rs. D. Manuel Martínez de Te jada 160. D. Josef de Luque 100. D. Rafael de Medina y Luque 60. Don Antonio de Luque 20. D. Bartolomé Repiso 60. Josef Lucena 4. D. Juan de Fio res 60. El gremio de especieros 760 rs. y 10 inrs. El mariscal de camoo D. To mas…</t>
  </si>
  <si>
    <t>Benitez, Josef</t>
  </si>
  <si>
    <t>Josef Benitez</t>
  </si>
  <si>
    <t>…en de la audiencia de Galicia á D. Rafael Paz y Fuertes, fiscal de marina y auditor honorario del departamento del Ferrol: de alcalde del crimen de la chancillería de Valíadolid á D. Josef Benitez, asesor de la dirección general de la armada; y honores de auditor del tribunal de la Rota de la Nunciatura á D. Santos Martin Sedeño, canó nigo magistral de la Real iglesia colegiata de S. Ildefonso. Para el gobierno militar y político de la plaza del Ferrol…</t>
  </si>
  <si>
    <t>Benitez, Manuel</t>
  </si>
  <si>
    <t>Manuel Benitez</t>
  </si>
  <si>
    <t>…os Aguilar, maestrante de Ronda, y alcalde mayor de Xerez de la Frontera; D. Pedro Reinoso, auditor de marina de Vera; Don Joaquín Wuster de Velasco, auditor de marina de Vera , y D. Manuel Benitez , abogado de los Reales Consejos, residente en la Havana, habilitado de suplir en ausencias y enfermedades ó vacantes al propietario de aquel apostadero de marina. DEPARTAMENTO DE CADIZ. Promovidos d sus inmediatas clases. A oficial primero el segundo D. Jose…</t>
  </si>
  <si>
    <t>Benito</t>
  </si>
  <si>
    <t>…ertas condiciones que manifestara el co misionado D Benito Diez del Corral , vecino de la misma. Se admitirán memoria les hasta el día i.° de Marzo próximo, y se dirigirán.á dicho D. Benito por éfcor reo, francas las cartas. '' ^ : ‘ Se halla vacante la p!aza'’de or,gánista 'deFpueblo d‘e Ateca‘', en el Veinó de Ara gón : su dotación es de 3© rs., asignados por el Real consejo, y varios emplumemos^ Los pretendientes dirigirán sus memoriales al s…</t>
  </si>
  <si>
    <t>…a, en el rincipado de Cataluña, compuesta del Excmo. Sr. duque de Frías y de Ucemarques de Villena &amp;c., D. Andrés Ollcr , del consejo de S. M., alcaldeSa, de su Real casa y corte, D. Benito losada Pernaldo de Qtirós, teniente coronel agregado al regimiento de Borbon, y D. Fausto M^sót, regidor perperuo de dicha ciudad, tuvo el honor de felicitar á S. M. con motivo de su contratado augusto enlace; habiendo arengado el primero á 5. M. en los tér m…</t>
  </si>
  <si>
    <t>Benito, Frutos de Alvaro</t>
  </si>
  <si>
    <t>Frutos de Alvaro Benito</t>
  </si>
  <si>
    <t>47</t>
  </si>
  <si>
    <t>…endo festivos. Las lecciones se darán en el Real gabinete de historia natural. La dehesa de 1;¡ Jabanilla, sita en término y jurisdicción de la ciudad de TrugHlo., peítene¿iente á D. Frutos de Alvaro Benito, ausente, que según la tasación</t>
  </si>
  <si>
    <t>672</t>
  </si>
  <si>
    <t>…oquia de S. Román, junto á la plazuela del Seminario conciliar de la misma, cuyos pormenores se manifestaron también en los citados papeles públicos, pertenecientes ambas fincas á D. Frutos de Alvaro Benito, ausente, las que se venden judicialmente para hacerse cierto pa go. Quien quisiere hacer postura á ellas, ó cada una, acuda ante dicho señor y es cribanía , donde se instruirá de todo, y admitirán las que sean conformes. Por providencia del Sr. D. Josef Salv…</t>
  </si>
  <si>
    <t>Benitoa, Lidro</t>
  </si>
  <si>
    <t>Lidro Benitoa</t>
  </si>
  <si>
    <t>…rancisco Val le jo dos : el cura de San Salvador Pala del Rey uno: el de S. Marcelo uno: el de Renueva uno: el de Sta. Ana uno: el tesorero del cabildo dos: D. Pascual Suarez uno: D. Lidro Benitoa uno: D. Ramón Arquello dos : D. Pedro Gastaniaga uno: D. Juan Bros dos: D. Manuel Chicarro ocho reales: D. Benito Hermosino dos pares de zapatos: D. Ignacio Lorenzana dos. D. Manuel Mercadillo uno: D. Ma nuel Rodríguez uno: D. Manuel Yolis dos: D. Bernardino…</t>
  </si>
  <si>
    <t>Bennigsen</t>
  </si>
  <si>
    <t>Gaceta de Madrid n.º 142</t>
  </si>
  <si>
    <t>…que no se disolverá el llamado egército meridional de la Rusia, sino que se mantendrá en tiempo de paz como segundo egércitodel imperio ruso, cuyo mando superior conservará dicho general Bennigsen. F1 cuartel general de este continuará en Tulcin,en la Volhinia, donde se lidia también el ge-* neral Rudzewicz, gefe del estado mayor -general de este egército, y varios ofi ciales superiores. Estas tropas rusas conservaran durante el invierno los acan^ tona…</t>
  </si>
  <si>
    <t>Benoit</t>
  </si>
  <si>
    <t>…iifj y el único partido que les queda es el de someterse á la opinión de toda la Francia, que quiere á su Soberano* Escriban de Ginebra con fecha de 25 de Abril lo que sigue: ,,El Señor Benoit, ai tiguo secretario de Mr. Maret, que vino de Lausana hace algunos dias , ha sido arrestado y conducido hoy por nuestros gendarmas á la fron tera de Francia, en donde se entregaron de su persona los gendarmas fran ceses Pan.ce que se le han hallado papeles d…</t>
  </si>
  <si>
    <t>Bentinck</t>
  </si>
  <si>
    <t>127</t>
  </si>
  <si>
    <t>…enganchan aquí muchos marineros y soldados, dando de gratificación 300 libras de Génova á un sol dado de marina, y 150 á uno de tierra. Algunos creen que no tardará en volver aqui lord Bentinck. Turin 12 de Enero. S. M. mandó expedir el 3 de este mes un decreto permitiendo el libre comercio de toda especie de granos. GRAN BRETAÑA. Londres ij de Enero. El lunes llegó el navio de S. M. el Gariant, que salió de Malta el to de Diciembre, y ha traído la…</t>
  </si>
  <si>
    <t>…del Gobierno para que ningún extrangero pue da permanecer en Roma sin tener un permiso formal. Lord Exmouth, comandante de ¡as fuerzas británicas, ha marchado á Ancona, y su amigo lord Bentinck va en su compañía : se cree que volverá dentro de pocos dias. S. E. persiste en su proyecto de ir á Nápoles; pero las dificultades sobre este particular son siempre las mismas. Hay apuestas con siderables á que lord Bentinck llegará á Ñapóles antes del 20 del…</t>
  </si>
  <si>
    <t>Ber</t>
  </si>
  <si>
    <t>…antiago Soroa. A alféreces de Navio los de Fragata D. Luis Romero, D. Josef Sevilla, D. Félix Martínez, D. Ildefonso Yoldi, D. Josef del Solar, D. Juan de Lerena, D. Pedro Teruel, D. Ber nardo Roca, D. Luis Roca, D. Manuel de Llanos, D. Juan Cervino y Don Miguel del Solar. jEn el cuerpo de Ingenieros. Para el grado de ingenieros en gefe al en segundo D, Vicente Manterola y D. Joaquín María Perl., A ingeniero en segundo al ordinario D, Diego d…</t>
  </si>
  <si>
    <t>…a 1$. D. Andrés de León 100. D. Antonio Ru iz 60. D. Angel del Riego 100. Geraido de la Fuente ^o. D. Juan de Pa nlagua 60. El colegio de escribanos 1500. D. Juan Xerez Palomo 40. D. Ber nabé Notario 160 D. Juan Xerez y Montes 40. D. Francisco Carrillo del Valle, administrador general ,2411 rs. y 26 mrs. D. Antonio de Ramos y Ximenez 200 rs. D. Francisco Rafael González 60. Catalina Prados 6. D. Juan Cantarero 60. D. Joaquín Obrero 400. D. Di…</t>
  </si>
  <si>
    <t>Berastegui, Alfonso</t>
  </si>
  <si>
    <t>Alfonso Berastegui</t>
  </si>
  <si>
    <t>…una disertación metódica-sintética vv acabada en sil clase. Propu^tas» las materias del examen, se le dio principio recitando los alumnos D. Benito de Gracia, D. Bernardo Kstevez,D. Alfonso Berastegui, D. Jost-f y D.Juan Diez Prado, D. Juan y I&gt;. Gerónimo Ortega , D. J osefde la Fuente, Don Francisco Carreras y í&gt;. Josef Seoane las tabulas de Inarte y de Samaniego con exactitud, explicando la moralidad , y haciendo diversas reflexiones sobre Jos mismos alu…</t>
  </si>
  <si>
    <t>Berdonces, Josef</t>
  </si>
  <si>
    <t>Josef Berdonces</t>
  </si>
  <si>
    <t>…os, y su de cidida protección á las artes, industria y educación, manantiales seguros de la feliciJad pública, y exhortando á cooperar con las benignas intenciones dG Soberano. El secretario D. Josef Berdonces, prior de la santa iglesia, le yó) el extracto de las actas de la sociedad en el último año, y por ellas se vió su zelo infatigable, y sus repetidos ensayos y experimentos para dar i conocer el nuevo trillo inventado por el profesor llerraite, á quien ha pre…</t>
  </si>
  <si>
    <t>…limentos* aseo y limpieza de las calles. Las memorias y documentos justificativos deberán estar en la secretaría de la sociedad en todo el mes de Mayo de 1817 , dirigiéndolos á su secretario D. Josef Berdonces, y deberán venir acompañadas de un pliego cerrado, que contenga interiormente el emblema ó mote que sirva de tema á la memoria para que puedan distinguirse. Se podrán escribir en cualquier idioma. Mataré jo de Agosto. En los dias 17 y 18 del pasado los discíp…</t>
  </si>
  <si>
    <t>Berenguela</t>
  </si>
  <si>
    <t>…za, hija de D. Alonso el vnr, Rey fundador: Dona Cons tanza , hija de D. Alonso ix de León: Doña Constanza, hija del Rey Don Alonso el Sabio: Doña Sancha, hija de D. Alonso él ii: Doña Berenguela, hija del Sto. Rey D. Fernando el iii , de tan extraordinaria virtud que no quiso ser abadesa: Doña Blanca, hija de D. Alonso iii, Rey de Portugal: Doña Blanca, hija del Infante D. Pedro: Doña Dulce, hija de los P^eyes D. Alonso y Doña Teresa: Doña Leonor, hi…</t>
  </si>
  <si>
    <t>Berenguer, Joaquín</t>
  </si>
  <si>
    <t>Joaquín Berenguer</t>
  </si>
  <si>
    <t>7*3 Dr. D. Salvaacr Marta, cari uLo \Jw esta santa Lítala metropolitana , y Don Joaquín Berenguer, interventor de la Real administración de correos, teniente director y pensionado que fue de la Real academia de Alicante, y escocidas dos de las sobresalientes en cada clase de los 12c jóvenes y i 1 señoritas , se congregaron en la iglesia de S. Miguel todos…</t>
  </si>
  <si>
    <t>Beresford</t>
  </si>
  <si>
    <t>…uebote diese la vela de Lisboa habian llegado alli dos ó tres buques apresados por los que se supo nían moriscos___ Por el mismo paquebote se sabe haber llegado á Lisboa el día 20 lord Beresford, procedente del Brasil. ’ • • ' El Príncipe Regente díó el dia 4 un granbanquete, en el que se hallaron el duque de Cambridge , el conde y la condesa de Bathurst , el conde Lleven y su esposa, el embajador de España, el conde de Fise, Mr. y madama Arbuthnot,…</t>
  </si>
  <si>
    <t>…no árabe, tasados en 3® libras esterli nas. También es muy apreciable una mesa de pórfido de Siberia, estimada eti 700 libras esterlinas. v Se han recibido noticias del regreso de lord Beresford á Lisboa después de haber completamente conseguido el objeto de su misión. Idem i.° de Noviembre. Las noticias de las provincias son muy satisfactorias, excepto en el dis trito de Nottingham, donde los revoltosos han destruido algunas fabricas sin 'dejar rast…</t>
  </si>
  <si>
    <t>Berg, Alejandro</t>
  </si>
  <si>
    <t>Alejandro Berg</t>
  </si>
  <si>
    <t>1052</t>
  </si>
  <si>
    <t>…escribanía , ó al juzgado del alcalde ordinario de San Sebastian Dt Bartolomé CLazaga, donde se admitirán las que se hicieren siendo ar regladas. Se solicita saber el paradero de D. Alejandro Berg palias el Judío), vecino y del comercio que fue de esta corte en la calle Mayor, ó bien sea de su muger,para comunicarles un asunto interesante. Cualquiera que sepa de su destino puede avisar lo, si gusta, calle de S. Joaquín, núm. 6, cuarto segundo, ó en la…</t>
  </si>
  <si>
    <t>Bergaz, Alfonso Giraldo</t>
  </si>
  <si>
    <t>Alfonso Giraldo Bergaz</t>
  </si>
  <si>
    <t>…o la administración de los mi‘mos ramos para de^de el año próximo, generosamente zelosa de evitar á la Real Hacienda los perjui cios consiguientes si lo hiciese desde el presente. D. Alfonso Giraldo Bergaz, director general de la Real academia de las bellas artes de S. Fernando, y de mérito de la Real de matemáticas y nobles artes de Valladolid, escultor de cámara de S. \1. , socio de mérito de la Real sociedad económica matritense &amp;c. , nació en la ciudad de M…</t>
  </si>
  <si>
    <t>Bergaz, Giraldo</t>
  </si>
  <si>
    <t>Giraldo Bergaz</t>
  </si>
  <si>
    <t>…e se encargaban en la nr para conse guir obras perfecta* y acal adas, que aun en nuestros cr.s sui codiciadas per moi elos de las bellas artes de todas l is nacieres ilustradas. H Sr. Giraldo Bergaz , que siempre trabajó por la gloria , no es ik creer que en una obra que se había de colocar e la misma capilla donde existe el admirable cuaJro del Crúto de Alonso Cano, di jase de e‘tuuiavle con la ciencia y buen gusto con que había egecutado la mayor pane…</t>
  </si>
  <si>
    <t>Bergosa</t>
  </si>
  <si>
    <t>…estierro de las Amé¡ cas y de la corte y sitios Rc*»c&gt;, v a predio perpetua á disposición de* lmo. Sr. inquisidor general. Concluido el autillo del santo ( ficto piocedió el Ilm . Sr. Bergosa á la A.gradación re.,!; y vt i ti cada, el Sr. provis. r entregó el reo al Sr. coronel IJ Manuel de la Concha, comisionad &gt; por el Exorno. Sr. virey para reci bido; y rasada la causa por la juri dicción unida a la capitanía general, !o e nde ó a la peoa capit…</t>
  </si>
  <si>
    <t>Beristain, Joscf Mariano</t>
  </si>
  <si>
    <t>Joscf Mariano Beristain</t>
  </si>
  <si>
    <t>…anto concilio de Trento, que lo fueron el limo. Sr. Dr. D. Antonio Bergosa y Jordán, obis po de Antequera: el limo. Sr. marques de Castañiza , obispo electo de Durango: el Sr. Dr. D. Joscf Mariano Beristain , deán de esta santa iglesia : los señores canónigos Lie. D. Juan de Sarria y Alderete , chantre: Dr. D. Juan Josef de Gamboa , maestre-escuela: Lie. D. Andrés Fernandez de la Madrid, tesorero ; se decidió que Morelos, como reo de alta traición, era digno de…</t>
  </si>
  <si>
    <t>Beristain, Josef Mariano</t>
  </si>
  <si>
    <t>Josef Mariano Beristain</t>
  </si>
  <si>
    <t>794 D. Josef Mariano Beristain, D. Joan Sarria, D. Juan Gunboa y ÍDres.ic. D. Andrés Fernandez M.drid, deán, chantre, maestreescuelas y tesore ro de la misma santa iglesia, en vista de la causa instruida á este rebe de por la jurisdicción anida, la notoriedad y enormidad de sus crímenes, q…</t>
  </si>
  <si>
    <t>Berlinguero, Agustín</t>
  </si>
  <si>
    <t>Agustín Berlinguero</t>
  </si>
  <si>
    <t>…TAGENA. Para teniente de Navio al primer piloto graduado de teniente de Fragata D. Juan Navarrete. A la graduación de tenientes de Fragata d los que lo están de alféreces de Navio D. Agustín Berlinguero, D. Juan Martínez León, D. Francisco de la Torre y D. Antonio Angarea. Para la graduación de alféreces de Navio d los que lo son en propiedad de Fragata D. Miguel Moreno y D. Pedro Juan Barceló. A la graduación de aférez de Fragata al primer piloto prdetico D…</t>
  </si>
  <si>
    <t>Berma, Vicente Alvarez</t>
  </si>
  <si>
    <t>Vicente Alvarez Berma</t>
  </si>
  <si>
    <t>…títulos corrientes, de cuyo valor, si no acomodase al comprador su total desembolso, se quedará á censo sobre el mismo oficio la parte en que se convenga, tratándose al efecto con D. Vicente Alvarez Berma, procura dor de los Reales consejos, encargado con amplias facultades para este particular. _ Se desea saber el paradero de Ciríaco Pasavados, sargento z.° del provincial de Sigíienza, que pasó enfermo al hospital de Baeza, en Andalucía, en i.° de Marzo de 18…</t>
  </si>
  <si>
    <t>Bermejo, Santiago</t>
  </si>
  <si>
    <t>Santiago Bermejo</t>
  </si>
  <si>
    <t>…de D. Juan Felipe de Echeverría sobre id. id.: otra de 6733 id. 12 sueldos id. id. á la orden de Daquene Dospiíal é Iturbide sobre id. id.: otra de 2740 lib. id. id. á la orden de D. Santiago Bermejo sobre Rougemont de Lowemberg, de París: otra de 500 pesos fuertes dada en Cartagena en io.de Agosto de 1808 por Juan Francisco Martin á la or den de Doña María Antonia López sobre D. Josef Romero Campo , de Cá diz : otra de 1800 rs. dada en Cádiz á 29 de Novi…</t>
  </si>
  <si>
    <t>Berminghan, Francisco</t>
  </si>
  <si>
    <t>Francisco Berminghan</t>
  </si>
  <si>
    <t>…graduado; D. Diego Fonseca, D. Fabio Aliponzoni, D. Norberto de Mella y D. Manuel de Cañas. A tenientes de Navio los de Fragata El graduado de teniente de Navio D. Josef Morales, D. Francisco Berminghan, D. Pedro Mareilla, D. Josef Buitrago, D. Josef Resusta y D. Pe dro Micheo. A tenientes de Fragata los alféreces de Navio D. Josef Vargas MachucaD. Josef López Sagredo, D. Francisco Ro dríguez Gelabert, D. Mateo Albornoz, D. Josef Oiozaga, D. Francisco Gascón…</t>
  </si>
  <si>
    <t>Bermudez, Juan</t>
  </si>
  <si>
    <t>Juan Bermudez</t>
  </si>
  <si>
    <t>…habiendo contribuido activa mente al logro feliz de esta acción. „ Tampoco puedo dejar de mencionar la particular conducta del capitán del Rey D. Manuel Bonalde y el subinspector D. Juan Bermudez, que habiéndolos yo mandado á Puerto-Cabello por armas y municiones , regre saron ;i marchas aceleradas por caminos intransitables para participar de la victoria, empleándose muchos de los fusiles que me anticiparon en el com bate de este dia; y á pesar de la…</t>
  </si>
  <si>
    <t>Bermudo</t>
  </si>
  <si>
    <t>…Sra. Reina Dona Elvira, esposa del Sr Rey’ D. B.rmudo el 11. ^.a La Sra. Reina Doña Elvira, e'poi^a del Sr Rey D. Alonso el v. 6.a La Sra. R ¿riña Doña Ximena , espo*adel Sr. Re) D. Bermudo el im. 7. a La Sra. Reina Doña Sancha, esposa del Emperador D. Fcrnardo el 1. 8. a La Sra. Reina Doña Urraca, hija del Emperador D. Fernando el 1, Rei na de Zamora y de mitad del infantado de León. 9.a La Sra. Reirá Doña Elvira, hija también de dicho Emperado…</t>
  </si>
  <si>
    <t>Bernardino</t>
  </si>
  <si>
    <t>…s dos: D. Manuel Chicarro ocho reales: D. Benito Hermosino dos pares de zapatos: D. Ignacio Lorenzana dos. D. Manuel Mercadillo uno: D. Ma nuel Rodríguez uno: D. Manuel Yolis dos: D. Bernardino 1 erremos uno: D. Valentín Bustamante dos: D. Joaquín Suarez uno: D Juan de Dios dos: D. Bernardo Bustamante uno: D. Donato Cañas dos: la viuda de Chicarro uno. Total 305 pares de zapatos y 30 rs. En el primer corteo de la lotería de vales Reales, celebrado e…</t>
  </si>
  <si>
    <t>Bernardo</t>
  </si>
  <si>
    <t>2tp Hl día 11 volvieron á emprender eí ataque euando observaron que por Pasacaballos salían tres barcas al mando del teniente de navio D. Bernardo deSalas, que nunca hicieron mas que presentarles un ataque aislado. En el m¿ mentó se colocaron para impedir se acercasen á la batería, y desistieron de balear á la división de bongos. Otra séptima goleta los reforzó, pero sin ha cer otra operación. El dia 13…</t>
  </si>
  <si>
    <t>1072</t>
  </si>
  <si>
    <t>…ciudad á S. A. R. el Príncipe de Hatzfeld, nombrado embajador del Rey de Prusia cerca de la corte del Rey de los Países-Bajos. El Príncipe de Rohan, mayor general austríaco, y el duque Bernardo deSaxonia-Weimar han pasado por aqui de vuelta de París, y caminan á Viena.” ESPAÑA. Alcoi 24 de Setiembre. El ayuntamiento de esta villa, bien persuadido de que uno de los mas principales objetos de su institución es la sabia y cristiana educación de la juve…</t>
  </si>
  <si>
    <t>D. Felipe Crespo , D. Blas Domínguez, D. Joaquín Lumeras, D. josef García, D. Lázaro Canillas y D. Tomas Asensio. D. Manuel Fernandez, D. Bernardo de la Iluerga y D. Andrés Redonzo lo fueron igualmente con unos lazos de distinción. Todas estas condecoraciones, colocadas en ricas bandejas, con las medallas de plata puestas en lazos de distintos co lores, fueron distribuidas á los beneméritos que las reci…</t>
  </si>
  <si>
    <t>Bernay, Francisco de Paula</t>
  </si>
  <si>
    <t>Francisco de Paula Bernay</t>
  </si>
  <si>
    <t>…. M. y A. los homenages de su amor y-res peto, como también las siguientes diputaciones. Una de la villa de Benamejí , compuesta de su alcalde mayor D. Cristó bal María Antón y de D. Francisco de Paula Bernay : otra de la villa de Rute, compuesta igualmente de su alcalde mayor D. Manuel de Sto. Do mingo y Herrera y de D. Agustín Gómez de Aranaa y Carrillo: otra de la villa de Baena, que se componía también de ?u alcalde mayor D. Loren zo Casaux , dé D. Alfonso Jos…</t>
  </si>
  <si>
    <t>Bernia, Diego</t>
  </si>
  <si>
    <t>Diego Bernia</t>
  </si>
  <si>
    <t>…e, administrador general ,2411 rs. y 26 mrs. D. Antonio de Ramos y Ximenez 200 rs. D. Francisco Rafael González 60. Catalina Prados 6. D. Juan Cantarero 60. D. Joaquín Obrero 400. D. Diego Bernia 100. D. Pedro Herrera 200. D. Antonio Velasco ioo. D. Manuel Estaquero 120. D. Ra fael Salinero, presbítero, 60. Doña Rosalía de Negrete 20. El colegio de San Roque 500. El convento de S. Pablo, religiosos dominicos , 8800. La Exce lentísima Sra. marquesa de…</t>
  </si>
  <si>
    <t>Berrazuera, Josef Ignacio de</t>
  </si>
  <si>
    <t>Josef Ignacio de Berrazuera</t>
  </si>
  <si>
    <t>…o Antonio de Velasco, alcalde electo del crimen de ella: la fiscalía del crimen de dicha audiencia de México, vacante por trasla ción á la de Goatemala de D. Juan Ramón de Oses, á D. Josef Ignacio de Berrazuera ; la fhcalía del crimen de la audiencia de Cuba, por fallecimien to de D. Josef Antonio Zaldivia, á D. Josef Mariano García Valero: la fis calía de! crimen de la Real audiencia de Manila á D. Pedro Antonio García de Agui’a é Icaza; y la de lo civil de la prop…</t>
  </si>
  <si>
    <t>Berriozabal, Manuel Plácido de</t>
  </si>
  <si>
    <t>Manuel Plácido de Berriozabal</t>
  </si>
  <si>
    <t>…de la Barcena. . ; Igualmente se ha servido S. M. nombrar para una plaza de oidor de la audiencia de Charcas á JD. Teodoro Andrés de, Regules Viilasantc, vacante por traslación de D. Manuel Plácido de Berriozabal á ídcaldc del crimen de •la de Lima : para otra de oidor de la audiencia de Santiago de Chile á Don Antonio Luis Pereira, por promoción dé D. Antonio Caspe y Rodríguez í</t>
  </si>
  <si>
    <t>Berro, Josefa del</t>
  </si>
  <si>
    <t>Josefa del Berro</t>
  </si>
  <si>
    <t>…El P. Fr. Melchor de Jesús y María, trinitario descalzo en su convento de Je sús Nazareno de esta corte, tiene que comunicar la existencia de varios intereses que le pertenecen á Doña Josefa del Berro, vecina que fue de esta corte; y en el caso de haber fallecido á sus herederos, cuyo aviso se da al público para que llegue á noticia de los interesados. Se ha remitido al alcalde mayor de la villa de Castellón de la Plana, remo de Valencia, una Real cédula d…</t>
  </si>
  <si>
    <t>Berrocoso, Josef Navarro</t>
  </si>
  <si>
    <t>Josef Navarro Berrocoso</t>
  </si>
  <si>
    <t>1269</t>
  </si>
  <si>
    <t>…a del Duque, partido de la Serena, compuesta deí corregidor y presidente de aquel ayuntamiento D. Eugenio Jabalquinfo y Portillo, del regidor D. Josef Calzadilla , y del escribano D. Josef Navarro Berrocoso, quienes después de besar las'Reales manos de S. M. y A. les manifestaron los expresivos sen timientos de fidelidad y amor que animan á aquellos habitantes, á cuyas lea les demostraciones correspondieron S. M. y A. con la atable bondad que las caracteriza. El…</t>
  </si>
  <si>
    <t>Berthezane</t>
  </si>
  <si>
    <t>198</t>
  </si>
  <si>
    <t>…a intervenido en este negocio.’*---- La fecha de la carta de Vie na es algo anterior á las noticias que se han publicado. Er usé las jo de Enero. Acaban de llegar á esta ciudad el general Berthezane, el coronel Desaix, sobrino del célebre general de este nombre, muerto en la batalla de Marengo, y el antiguo prefecto Combe. El general Vandamme, que hacia algunos dias se hallaba en Cassel, pa rece que se dispone á pasar á la América. Se espera de un dia á…</t>
  </si>
  <si>
    <t>Bertomiu, Juana</t>
  </si>
  <si>
    <t>Juana Bertomiu</t>
  </si>
  <si>
    <t>…re á las 11 de la mañana, y las continuará todos los lunes, miércoles y viernes de cada semana. Habiéndose reclamado en el año de 1808 58 vales Rea'es de distintas creacio nes por Doña Juana Bertomiu, y después por Doña María Dur&gt;n , su heredera, en la audiencia del Sr. D. León de-la Camara Cano , del Consejo de S M. , primer te niente corregidor de esta villa, y escribanía del número de D. Sant ago E'tepar, se pidieron á los señores directores del Crédit…</t>
  </si>
  <si>
    <t>Bertrand</t>
  </si>
  <si>
    <t>…corte de Nápoles. GRAN BRETAÑA. Londres jj de Marzo. La semana pasada depositó en ei banco Mr. Cambaceres ía cantidad de 15® libras esterlinas , que hacen unos 360® francos, y el general Bertrand la de 16®, que son unos.384® francos. Los archiduques Juan y Luis de Austria se embarcaron ayer por la mañana en Douvres. SS. AA. II. habrán llegado á Calais en pocas horas. Pa rece que se detendrán en París muy pocos dias, y que en seguida marcha rán á Viena…</t>
  </si>
  <si>
    <t>…Mr. Gay-Lussac de la química; Mr. Biot de las ciencias matemá ticas ; Mr. Gousin del análisis de las doctrinas filosóficas y de todo lo con cerniente á la metafísica. Idem &lt;T. El general Bertrand, comprendido en la primera orden de 24 de Julio, será juzgado mañana por el consejo de Guerra. Siendo el juicio en rebeldía, no consistirá en otra cosa que en U lectura de ios autos y en los informes de Mr. VLui, relator. Ningún abogado deberá presentarse en…</t>
  </si>
  <si>
    <t>Bertumui, Juana</t>
  </si>
  <si>
    <t>Juana Bertumui</t>
  </si>
  <si>
    <t>…iente primero de corregidor de esta villa, se cita, llama y emplaza á los tenedores de 58 vales Reales de diversas creaciones que se hallan retenidos judicial mente á instancia de Doña Juana Bertumui, viuda de .D. Francisco Durand , que los reclamó como pertenecientes, á ella., para que en el término de 30, dias, contados desde el r 2 del corriente mes, acudan á su juzgado y por la escribanía de número de D. Santiago de Estep'ar á deducir sus acciones; ap…</t>
  </si>
  <si>
    <t>Berwick, Duque de</t>
  </si>
  <si>
    <t>Duque de Berwick</t>
  </si>
  <si>
    <t>Gaceta de Madrid n.º 58</t>
  </si>
  <si>
    <t>…ó en el citado año. D. Ambrosio Ortega y Ruiz, residente en esta corte, tiene que comunicar asuntos importantes á D. Ramón Rull y Heredia, administrador que fue del Exce lentísimo Sr. Duque de Berwick en el marquesado de la Mota de Toro, y no sa biendo cual es su destino le suplica tenga á bien anunciárselo por el correo. Definiciones y elementos de todas las ciencias: obra útil para la educación, tra ducida del francés por D. Miguel Copin, adornada con lá…</t>
  </si>
  <si>
    <t>Bes, Juan Antonio Alonso</t>
  </si>
  <si>
    <t>Juan Antonio Alonso Bes</t>
  </si>
  <si>
    <t>…ciudad, para que dentro de 6o días, contados desde esta fecha, acudan i dicho juzgado por sí ó por medio de apoderado, y por la escribanía de ayuntamiento de la misma, que egerce D. Juan Antonio Alonso Bes ida, que se le oirá y guardará justicia en lo que la tenga; y siendo pasado se proveerá en la causa con arreglo á derecho, y les parará el perjuicio que haya lugar. En 26 de Octubre de 1815 presentó Manuel de Uceta á certificar en la oficina de correos dos va…</t>
  </si>
  <si>
    <t>Bf.rruel</t>
  </si>
  <si>
    <t>Gaceta de Madrid n.º 30</t>
  </si>
  <si>
    <t>…toria del Jaco binismo para dar á conocer á la nación espartóla la conspiración de los filósofos" francmasones; é iluminados contra la religión, el trono y la sociedad, por Mr. el abad Bf.rruel, traducido del francés al castellano; 2 tomos en 4.0, á 16 rs. cada uno.. Se vende en Madrid en la librería de Castillo, y en Valladolid en la de Roldan. La Casandra; la rapidez con que se está concluyendo la segunda impresión prueba la aceptación que ha mere…</t>
  </si>
  <si>
    <t>Bh, Isabel de</t>
  </si>
  <si>
    <t>Isabel de Bh</t>
  </si>
  <si>
    <t>…e felicitar á S. M. por su enlace; y el primero dijo: ; „ Señor:,:En¡ dias de tanta alegría y regocijo público por haber V- M._ verificado'sii&gt; casa miento con la augusta Princesa Doña Isabel de Bh^ganza, . la villa de Cara vaca nos &lt; comisiona; ;para que nos presentemos 4 los': R. P de V. M., y en. su nombre de ¡demos1 el. parabiénpor un acontecimiento tan fe-¿ liz, que afianzando mas y mas en la Real familia.de los Borbolles el trono de las Españas, f…</t>
  </si>
  <si>
    <t>Bianchi</t>
  </si>
  <si>
    <t>…nes recíprocas. Las ordenes dadas por el gobierno austríaco para disolver las milicias, y poner todo su egército en estado de paz el i.° de Febrero, excepto el cuerpo qu» manda el general Bianchi, hacen muy verosímil este rumor. ITALIA. Roma 18 de Enero. La congregación de las misiones extrangeras procura con el mayor zeío restablecer sus relaciones en las diferentes partes del mundo. Uno de los me jores frutos de sus tareas es sin duda la protección…</t>
  </si>
  <si>
    <t>…es que el Príncipe de Wrede, que estaba en camino para Milán con una comisiou importante de su corte, ha vuelto desde la mitad del camino á Munich, y el duque de Casa-Lanza, feld-mariscal Bianchi, al momento que llegó el correo recibió orden de marchar al egército en la alta-Austria. ,, El gobierno Real b.varo ha declarado ser íingida la representación de los bávaros á su Rey, de que se habló pocos dias hace; y ha mandado hacer diligencias para dar co…</t>
  </si>
  <si>
    <t>…M. el Emperador de Austria no fía aceptado en su totalidad las últimas proposiciones que se le hicieron por la corte de Baviera: en seguida á la llegada del referido ayudante, el general Bianchi, duque de Casa-Lanza, recibió orden de tomar el mando superior de las tropas que habia en el Alta-Austria, á las cuales dan en Viena el nombre de egército de observación de la Baviera. El cuartel general del du que de Casa-Lanza se ha establecido en Lambach.…</t>
  </si>
  <si>
    <t>Bíanchi</t>
  </si>
  <si>
    <t>…echo el nuevo arreglo del país de Saltzburgo , del Inn y del Hausruc y Viertel, y que se diferencia aei que tenían estos países cuando formaban parte de los estados austríacos. Ei general Bíanchi continúa con su cuartel general.en Lintz. PAISES-BAJOS-UNI DOS. Brusélas 2 de Marzo. Acaba de llegar un correo de Petersburgo con la agradable noticia de cju^ el 9 del pasado se celebraron los esponsales de S- A. R. el Príncipe de Orange con S. A. I. la gran…</t>
  </si>
  <si>
    <t>Gaceta de Madrid n.º 51</t>
  </si>
  <si>
    <t>…do de Badén , es necesario el consentimiento de estos estados para la con clusión de un tratado definitivo. • ' ' Se ha disuelto enteramente el egército austríaco‘que'rriahdába el general Bianchi. Una gran parte de tropas que le componían marcha á Hungría. SAXONIA. Fres de 28 de Marzo. Ha venido aquí de Copenhague el conde de Bombelles, ministro pleni potenciario de Austria cerca de nuestra corte , y ha presentado á S. M. sus credenciales. Se espera d…</t>
  </si>
  <si>
    <t>Biec, Juan María</t>
  </si>
  <si>
    <t>Juan María Biec</t>
  </si>
  <si>
    <t>…de los demás ciu dadanos que concurrieron á presenciar el aero, sobre las proposiciones si guientes: D. Hilario Larrusa.* El sistema de balanza mercantil es enteramente inútil.__ D. Juan María Biec. El comercio que hace la metrópoli con sus Colonias e* so!o ventajoso eí los comerciantes en particular.___D. Anacivto Ton-n y Doiz. 1 oda prohibición ó imposición de derechos sobre los géneros ó mercaderías es una traba que entorpece el comercio exterior, y…</t>
  </si>
  <si>
    <t>Bienvenga, Manuel</t>
  </si>
  <si>
    <t>Manuel Bienvenga</t>
  </si>
  <si>
    <t>…enientes de Fragata los graduados de alféreces de Navio D. Pablo Marge, D. Guillermo Riera y D. Juan de los Reyes. A la graduación de alféreces de Navio d los graduados de Fragata D. Manuel Bienvenga y D. Juan del Villar López. A la graduación de alféreces de Fragata á los primeros contramaestre* D. Josef del Pino, D. Domingo Pineirua, D. Justo López, D. Andrés Cerda, D. Gabriel Lledó, D. Josef Tuells y D. GabrieTSousa. CUERPO DE MEDICO'CIRUJANOS DE LA REAL ARMADA. Honores de médic…</t>
  </si>
  <si>
    <t>Bierna, Anselmo de</t>
  </si>
  <si>
    <t>Anselmo de Bierna</t>
  </si>
  <si>
    <t>…de la rendición de esta importante plaza al egército de su mando, no solo .para su persona sino para su posteridad. Recomiendo á V. E. al asesor general, au ditor de guerra, oidor D. Anselmo de Bierna, por lo mucho que ha contribui do con su providencia desde Sta. Marta , adonde le dejé encargado del go bierno en mi ausencia, á mantener en paz, buena armonía y buena admi nistración de justicia aquella y demas provincias del reino. Es casi el decano de los…</t>
  </si>
  <si>
    <t>…stro, el grado de teniente: al brigadier D. Anto nio Cano, comandante general de una división del egército, D. León de Or tega, teniente coronel del regimiento infantería del Rey, D. Anselmo de Bierna, asesor general y auditor de guerra de la capitanía general del NuevoReino de Granada, y D. JosefMaría Ramírez, secretario de la misma , la cruz de comendadores de la Real orden americana de Isabel la Católica: al capi tán D. Melchor Castaños, teniente de Art…</t>
  </si>
  <si>
    <t>Billemann</t>
  </si>
  <si>
    <t>251</t>
  </si>
  <si>
    <t>…en favor de ella 240 votos contra 77. Idem 22. La fragata Newcastle saldrá en todo el mes próximo para la isla de San ta Elena, y conducirá á Mr. Sturmer, comisario austríaco; al conde Billemann, comisario ruso, y al marques de Montchenu. Las disposiciones que ha tomado el almirante Cockburn para cusrodia de la casa donde ha de vivir Bonaparte, nada dejan que desear en cuanto á se guridad y precaución. A tres ó quatro millas de James Tow, después de…</t>
  </si>
  <si>
    <t>Bisso, Juan Bautista</t>
  </si>
  <si>
    <t>Juan Bautista Bisso</t>
  </si>
  <si>
    <t>…ado de la Real mano.sEn Palacio a 27 de Octubre de 1816» = A D. Pedro Cevallos. Por el ministerio de Marina se ha expedido con fecha de i.° de Noviem bre la Real orden siguiente, „D. Juan Bautista Bisso y D. Cristóbal Crucet han recurrido, con ins tancia, á esta Via reservada de Marina, solicitando que en conformidad de •las benéficas intenciones de S. M., expresas en su Real decreto de 8 de Fe brero último, sé declare que los mismos privilegios , gracias y pre rogativas concedid…</t>
  </si>
  <si>
    <t>Bistroem</t>
  </si>
  <si>
    <t>…esta sociedad de la munificencia de S. M. I. que le hiciese un pre sente de 1 rublos en dinero efectivo. Entre los muchos extrangeros que hay aquí en el dia se hallan el tenien te coronel Bistroem, edecán de S. M. el Rey de Suecia, y el barón de Koskul, edecán de S. A. el Príncipe Real. POLONIA. Varsovia ig de Junio. El general de división Wielhorski, ministro de Guerra, ha conseguido que se le admita la dimisión que ha hecho de este destino en atenció…</t>
  </si>
  <si>
    <t>Bíucher</t>
  </si>
  <si>
    <t>…erlina de campaña de Bonaparte, los caballos y otros efectos fueron llevados ayer, por orden del secretario de Estado, ai museo de Mr. Bullock. Estos objetos fueron cogidos por el mariscal Bíucher después de la bataila de Waterloo. Se han colocado en el mismo museo las muchas alhajas de oro y plata que se encontraron también, y eran de la servidumbre de Bonaparte, como bajilla &amp;c. Todas estas cosas se enseñarán al publico dentro de pocos dias. Se han r…</t>
  </si>
  <si>
    <t>Biuclier, Príncipe</t>
  </si>
  <si>
    <t>Príncipe Biuclier</t>
  </si>
  <si>
    <t>…l. = Alejandro. „En Petersburgo, el dia del nacimiento de nuestro Salvador, 25 de Di ciembre de 1815." PRUSIA. Berlín 16 de Enero. El 2i del corriente llegó á esta capital el feld-mariscal Príncipe Biuclier, y no consintió que le hiciesen honor alguno militar. El pueblo corrió á su casa , y ya que no tuvo el gusto de ver su entrada, prorumpió en aclama ciones y vivas: el Príncipe se asomó al balcón á dar gracias. Para su guar dia se le ha enviado una compañía de…</t>
  </si>
  <si>
    <t>Bizarro, Ramón García de León y</t>
  </si>
  <si>
    <t>Ramón García de León y Bizarro</t>
  </si>
  <si>
    <t>1271</t>
  </si>
  <si>
    <t>…------------;...—....................................... ...... ........................... El dia 6 de Diciembre del año próximo pasado falleció en la ciudad de Charcas el Excmo. Sr. D. Ramón García de León y Bizarro, teniente ge neral de los Reales egércitos, marques de Casa Bizarro, vizcd’nde de laNuevaO ran, caballero agraciado con la gran cruz de la Real orden americana de Isabel la Católica y de la militar de Calatrava , presidente, gobernador y ca pitán general en l…</t>
  </si>
  <si>
    <t>Bk</t>
  </si>
  <si>
    <t>…cación, por la audiencia de| Sr. D. Joaquín de Almazan, del Consejo de S. M., teniente de corregidor de esta villa, y escribanía del número de D. Miguel Gonzalo. En el juzgado del Sr. Bk, Josef Manuel de Arjona , del Consejo de S. M., su alcalde d? casa y corte, y escribanía de provincia y comisiones de D. Manuel Ló pez de R ivas, se h tilín radicados los autos de testamentaría formados por los res pectivos fallecimientos de Braulio Aícazar,…</t>
  </si>
  <si>
    <t>Bkacanza, María Isabel de</t>
  </si>
  <si>
    <t>María Isabel de Bkacanza</t>
  </si>
  <si>
    <t>…sus triunfos, y sentado en el trono de su dinastía al mas amado y ansiado de los Reyes; y ve colmada su dicha en el venturoso enlace de V. M.. con nuestra amable Soberana y Señora Doña María Isabel de Bkacanza. Ya no quedan á 1» ciudad de Ecíja,. que representamos,, orros vo tos que los de que elí cielo colme dé prosperidad tan venturosa unión r y con ceda por una larga sucesión á la nación española la dicha1 de verse perpetua mente dominada y regida por los descen…</t>
  </si>
  <si>
    <t>Blake, Joaquín</t>
  </si>
  <si>
    <t>Joaquín Blake</t>
  </si>
  <si>
    <t>…lo expresado por este genera!, pueda hacerlo bajo su firma en el término de un mes, dirigiéndose á la comidon establecida por la Reai orden citada, y cuyo presidente es el Excmo. Sr. D. Joaquín Blake, Capi tán general de los Reales egércitos. El R. Obispo de Arequipa en el Perú se ha ofrecido generosamente 4 continuar entregando en aquellas Reales cajas los 1500 pesos fuertes con que ha estado contribuyendo anualmente eri dos dutintos donativos, de i© pe…</t>
  </si>
  <si>
    <t>…acerca de sus circunstancias, pueda hacerlo- bajó su firma en el término de un mes, dirigiéndose á la comisión establecida por la Real orden citada, y cuyo presidente es el Excmo. Sr. D. Joaquín Blake. El cirujano de cámara D. Francisco Xavier de Balmís ha presentado á S. M. una colección de dibujos de 485 plantas de las que los chinos reputan por mas útiles, donde se hallan fielmente representadas con sus propios colo res, sus raíces, tallos, hojas y lás…</t>
  </si>
  <si>
    <t>aó8 orden de S. Hermenegildo; D. Josef de Palafox y Melcy, caballero gran cruz de las Reales órdenes de $. Fernando y S. Hermenegil do, y D. Joaquín Blake, ingeniero general, y caballero gran cruz de las mismas órdenes. A la izquierda del dosel había una mesa cubierta con dos ta buretes rasos, uno de ellos para que á su tiempo se sentase el señor ministro plenipotenciario á firmar las capitulaciones. Puesto en…</t>
  </si>
  <si>
    <t>…ó en contra, lo verifiquen con razones sólidas, y bajo su firma en el preciso término de un mes contado desde la fecha de esta publicación ; dirigiendo las exposiciones al capitán general D. Joaquín Blake, presidente de la junta de nuevas Condecoraciones militares. El teniente coronel agregado al regimiento de infantería de Campo Ma yor D. Julián de Estrada ha solicitado por conducto.del teniente general conde del Abisbal, genera! en gefe que fue del primer eg…</t>
  </si>
  <si>
    <t>Gaceta de Madrid n.º 162</t>
  </si>
  <si>
    <t>…en en el prtfljido término de un mes, contado des de el dia de esta publicación , bajo su firma y en los términos que señala la dicha circular; dirigiendo la exposición al Capitán general D. Joaquín Blake, presidente de la junta de nuevas condecoraciones militares. Enterado el Rey nuestro Señor del donativo voluntario que ha hecho el ayuntamiento de Ciudad Real de la cantidad de 226674 rs. vn. y mrs. á</t>
  </si>
  <si>
    <t>Blan</t>
  </si>
  <si>
    <t>…o, y realizado el matrimonio, hallán dose depositadas en aquella Real casa las respetables cenizas de 40 personas Reales, las 11 de Reyes y Reinas, 14 Infantas monjas, entre estas Doña Blan ca, hija de D. Alonso m , Rey de Portugal, que nominalmente se comprenden en la lista que tengo el honor de presentar á -VV. MM., no puede prescindir aquel Real monasterio de tributaros en tan notable ocasión el mas sincero, afectuoso y sumiso parabién por ta…</t>
  </si>
  <si>
    <t>Blanca</t>
  </si>
  <si>
    <t>…are de rendir .1 V V. AA. la inas tierna y expresiva felicitación portan notable y plausible motivo, y continúan rogando incesantemente al Dios de los egércitos que j imitación de Doña Blanca , hija del Rey de Portugal D. Alonso m, y monja en Huelgas, sean las virtudes de la hija del actual Rey di Portugal ornamento del pala cio Real, y el fírme apoyo que haciendo las delicias de su Esporo, consti tuyan la inmortalidad de VV. AA. en el corazón de…</t>
  </si>
  <si>
    <t>…a del Rey Don Alonso el Sabio: Doña Sancha, hija de D. Alonso él ii: Doña Berenguela, hija del Sto. Rey D. Fernando el iii , de tan extraordinaria virtud que no quiso ser abadesa: Doña Blanca, hija de D. Alonso iii, Rey de Portugal: Doña Blanca, hija del Infante D. Pedro: Doña Dulce, hija de los P^eyes D. Alonso y Doña Teresa: Doña Leonor, hija de D. Fernando el iv: Doña María de Aragón, hija de D. Fernando v de Aragón: Doña Elvira , hija de los R…</t>
  </si>
  <si>
    <t>Blancas, Rafael de</t>
  </si>
  <si>
    <t>Rafael de Blancas</t>
  </si>
  <si>
    <t>…de Castro López 100. Juan de Murez iod. Doña María Josefa Zamorano 200. Doña Luisa Espinosa 200. D. Pedro Juan de Molina 200. Doña Catalina Zamorano 370. D. Juan Blas Zamorano 60. D. Rafael de Blancas 60. D. Andrés Ramírez Sousa .60. D, Antonio Melero 60. D. Pablo del Valle 40 Juan Pastor 80. Antonio Féiíx Ortiz 80. D. Lorenzo Gavi lán 50. Miguel Romero 50. D. Josef Carlos Oxtiz 50. Antopio Nieto 50.</t>
  </si>
  <si>
    <t>Blanchard</t>
  </si>
  <si>
    <t>. tivo de su casamiento con el duque de Berry , suplicándola que se sirviese franquear su retrato para colocarlo en la galería pública al lado del de su augusto padre. El general Blanchard ha venido de Sicilia con dos regimientos y un cuer po de tropas extrangeras, que deben guarnecer á Regio. V¿nei 7.7 j de Mayo. Esta ciudad goza ya del beneficio de la franquicia de su puerto. El co mercio, que había decaído en extremo, vuelve á renacer diaria…</t>
  </si>
  <si>
    <t>Blanco, Genaro</t>
  </si>
  <si>
    <t>Genaro Blanco</t>
  </si>
  <si>
    <t>…l mano como comisionados de la M. N. y M. L. ciudad de Sigüenza D. Eugenio María Gutiérrez, coronel de infantería, D. Josef María Gonzá lez, diputado en el ilustre ayuntamiento, y D. Genaro Blanco; pronuncian do el primero el discurso siguiente : „Señor: Vuestra fiel ciudad de Sigiienza, que no ha cedido á. ninguna del reino en lealtad á vuestra Real Persona, ni en sacrificios de toda..clase du rante el alevoso cautiverio de* V. M. y Real familia , se…</t>
  </si>
  <si>
    <t>Blasco, Vicente Evaristo</t>
  </si>
  <si>
    <t>Vicente Evaristo Blasco</t>
  </si>
  <si>
    <t>…lán mayor dé S. Segundo 30. D. Martin Uria 20. D. Ju?to Sarrandeg ;i 24. El capellán mayor de Sta. Ana 12. D. Francisco Illera so. Don Ildefonso Castejon 24. D. l omas Landias 20. D. Vicente Evaristo Blasco 20. D. Gaspar Arribas 24. D. Damian González de Salazar 160. El beneficiado de S. Vicente 4^0. Pedro Seguir 6. D. Joaquín Zagonero 20. D. Francisco Villegas 2. D Josef Pavat 23. El R. P. general de Gerónimos 46 La co munidad del Carmen calzado 40. La de padre…</t>
  </si>
  <si>
    <t>Bleurker</t>
  </si>
  <si>
    <t>…icio de Francia al principio de este mes, y se les pagarán los atrasos de su sueldo. El batallón que está de guarnición aquí saldrá mañana para Besanzon á las ordene» del teniente coronel Bleurker. Los cuatro bata llones pasarán provisionalmente á la misma ciudad mientras se forman los nuevos regimientos. Se cree que el número de las tropas suizas que lian de entrar ai servicio de Francia será de 8 á 10© hombres. PAISES-B AJ OS- UNIDOS* Br usé las 5 de…</t>
  </si>
  <si>
    <t>Bligh</t>
  </si>
  <si>
    <t>82</t>
  </si>
  <si>
    <t>…obierno ingles á las islas de la Sociedad con el objeto de traer algunas plantas para aclimatarlas en las Antillas. La tripulación de es te buque se rebeló contra su comandante el capitán Bligh, y Je echó en una lancha con 22 hombres que habían permanecido fieles. Estos infelices na vegaron cerca de 1200 leguas sin brújula, ni mas vela que una manta y con mucha escasez de víveres, en cuyo estado llegaron á la isla d'e Tunor. La go leta después de su…</t>
  </si>
  <si>
    <t>Blu</t>
  </si>
  <si>
    <t>…sick fue nombrado general feld-mariscal, y elevado á la dignidad de Príncipe de Wahlstadr. Wellington y Blucher se en contraron por casualidad en la quinta de la Bella-Alianza. El coronel Blu cher, hijo del general, ha dicho que este encuentro fue sumamente afectuoso: los dos gefes se abrazaron, y todos los circunstantes vertieron Ligrimas. El duque de Wellin2ton dijo: mis soldados han sufrido un horroroso conbate por espacio de nueve horas, y qui…</t>
  </si>
  <si>
    <t>Bluchef</t>
  </si>
  <si>
    <t>…ipotenciario cerca de aquella corte. Antes de ayer llegó aqui de Florencia el embajador de Saxonia cerca de nuestra corte. Se espera por momentos que llegue á esta capital el feld-mariscal Bluchef de vuelta de los baños de Carlsbade , que parece le han producido un efec to admirable. El giro del banco se aumenta de día en día. El duque Alberto de Saxo nia-Felchen y varios individuos de la familia imperial se han interesado en</t>
  </si>
  <si>
    <t>Blucher</t>
  </si>
  <si>
    <t>…l verano á Toeplitz y á Pirmont, como también los príncipes de Hardemberg y de Blucher. El feld-mariscat partió hace algunos dias á las ha ciendas que tiene cerca de Breslau____El príncipe Blucher irá probablemente de Pirmont ó de Toeplitz á Viena por convite que le ha hecho el Emperador de Austria. ALEMANIA. Francfort 2 y de Marzo. El dia 26 llegó aquí el embajador ingles Mr. Listofn. El mismo dia pasó por frente de esta ciudad el gran transporte de m…</t>
  </si>
  <si>
    <t>…ega y orien tal, filosofía, historia y antigüedades de las naciones extrangeras : 4/ noble* artes. Se va á celebrar el aniversario de la batalla de Wajteloo con la mayor pompa. El general Blucher, que inmortalizó su nombre en esta batalla, está en un estado muy peligroso. El general Bulow murió hace pocos dias. FRANCIA. París j8 de Junio. Ayer se celebró en esta capital con la mayor pompa y solemnidad el matrimonio de SS. AA. RR. el Duque de Berry y l…</t>
  </si>
  <si>
    <t>Blucher, Príncipe</t>
  </si>
  <si>
    <t>Príncipe Blucher</t>
  </si>
  <si>
    <t>…s de Valencienes, Bouchain y Condé; y que en el mismo dia entregarán los prusianos á las tropas de los Paises-Bajos las plazas de Filipeville y Mariemburgo. Idem 25. ' ' ■ El feld-mariscal Príncipe Blucher al salir de Francia dirigió la siguiente proclama de despedida al valiente egército prusiano:</t>
  </si>
  <si>
    <t>Gaceta de Madrid n.º 2</t>
  </si>
  <si>
    <t>…. Los voluntarios Reales que han servido en los cuerpos levantados en 1815 quedan exentos de la condición exigida á los demas militares de llevar cuatro años de servicio. El feld- mariscal Príncipe Blucher llegó á Colonia el 5 de Diciembre, y aunque todavía estaba algo indispuesto, continuó su camino para llegar por Francfort y Weimar á Berlín. Las cárceles de Viena están llenas de malhechores ,y aun se contiu.ua ha ciendo correrías por las montañas y bosques d…</t>
  </si>
  <si>
    <t>…ultad de tomar contra ellos las disposiciones convenientes en caso de que vuelvan á Suiza. Escriben de Francfort que el día 17 del corriente había llegado á aquella ciudad el feld-mariscal Príncipe Blucher. Entre las personas que deben acompañar al duque de Luxemburgo aL Brasil se nombra á Mr. Fredy de Cubertin, su ayudante de campo; á Mr. Pablo Foufrede, oficial superior de las guardias del Cuerpo del Rey, y al marques de Montecot. El ministro del Interior ha…</t>
  </si>
  <si>
    <t>…iario de Rusia cerca de nuestra corte. El misino día volvió de Piess lord Stewart, ministro plenipotenciario de Inglaterra. BOHEMIA. Prag a / de Junio. Anteayer llegó aquí el feld-mariscal Príncipe Blucher, y parece se de tendrá algunos dias. El féld-mariscal conde de Kolowrath ha gozado muy poco tiempo de! retiro que le concedió el Emperador, pues murió antes de anoche. ALEMANIA. Francfort 16 de Junio. Escriben de Berlín que el canciller de Estado Príncipe de…</t>
  </si>
  <si>
    <t>Blucher, Príncipe de</t>
  </si>
  <si>
    <t>Príncipe de Blucher</t>
  </si>
  <si>
    <t>…con el Rey de Prusia. Varios personages distinguidos, que se esperaban en Carlsbad han desistido de este víase. ALEMANIA. JBaireutk 10 de Junto. Anteayer llegó á Carlsbad el feld-mariscal Príncipe de Blucher, quien se halla muy mejorado. Se regulan en 1200 los extrangeros que han llegado á Carlsbad, muchos de los cuales han vuelto á salir por el mal tiempo. Se han tomado allí alojamientos para S. A. el Príncipe de Hardenberg y para el general conde de Tauenzien.…</t>
  </si>
  <si>
    <t>…llitzia, de donde pasará á Berlín, y á fines de año partirá á Lisboa, donde se embarcará para el Brasil. Hamburgo 14 de Setiembre. El senado dio ayer una espléndida comida al feld-mariscal Príncipe de Blucher, quien asistió después al teatro, donde £ue recibido con las mayores aclamaciones. Por la noche hubo iluminación general. ' r' ' ' GRAN BRETAÑA. ? Londres j5 de Setiembre. El Rey de los Países-Bajos ha establecido, por decreto de 21 de Agosto, la.uniformidad…</t>
  </si>
  <si>
    <t>Bnnifaz, Josef María</t>
  </si>
  <si>
    <t>Josef María Bnnifaz</t>
  </si>
  <si>
    <t>…, y por meses lo tocante í cada uno. Todos los facultativos que quisie ren pretender dirigirán sus solicitudes al ayuntamiento y junta de diputación de veinteícu ttro por medio de D. Josef María Bnnifaz, procurador síndico general, y de D. Li 1r » Calder »n, comisionados para recibir memoriales y tomar los oportu nos informes ; previniéndose que el nombramiento de médico se ha de hacer &lt;1 dit 14 de Jubo del có rlente año por la mañana en la sala capitular. S…</t>
  </si>
  <si>
    <t>Boada, Francisco Xavier Solanich y</t>
  </si>
  <si>
    <t>Francisco Xavier Solanich y Boada</t>
  </si>
  <si>
    <t>…, cuyos números son los siguientes: 50717, 5°738» 5°739» 5o837» 5o84* » 5o843 » 5o899 » 5°9°* &gt; 5°9°3 » 50906, 50907, 50910, 50911, 50923 y 50841. Si alguno supiere el paradero de D. Francisco Xavier Solanich y Boada, que quedó prisionero en la toma de Gerona, y desde Francia se fugó para restituirse á España, hijo de D. Narciso Solanich, catedrático del colegio de Burgos de medicina, de edad de 16 á 27 años, se servirá avisarlo á su hermana Doña Francisca Solanich, que r…</t>
  </si>
  <si>
    <t>Boada, Pedro</t>
  </si>
  <si>
    <t>Pedro Boada</t>
  </si>
  <si>
    <t>…de toda clase de fíbricas, para que los capitalistas aseguren sus fondos con las ventajas que les ofrecen los mismos fabricantes: un cuaderno en 8.° Todas estas obras escritas por D. Pedro Boada de las Costas y Figueras, alcalde del crimen de la Real audiencia de Barcelona, se venden en la librería de la viuda deQuiroga, calle de las Carretas. EN LA IMPRENTA REAL.</t>
  </si>
  <si>
    <t>Bofaruli, Vicente Josef de</t>
  </si>
  <si>
    <t>Vicente Josef de Bofaruli</t>
  </si>
  <si>
    <t>…s. D. Pablo Marra de Miró, caballero maestrante de la Real de Granada, regidor decano de la villa de Reus ; el coronel D. Domingo de Dalmau, agregado al batallón de Ultramar, y el capitán D. Vicente Josef de Bofaruli, segundo tenienre del quinto batallan de Reales Guardias Wálonas , comisionados por la misma, tuvieron el honor de besar la Real mano de S. M. y cumplimentarle por el contratado enlace con la Serma. Sra. Infanta de Portugal Doña María Isa bel FrancPca , y el…</t>
  </si>
  <si>
    <t>Boigas, Gaspar</t>
  </si>
  <si>
    <t>Gaspar Boigas</t>
  </si>
  <si>
    <t>2§7 Fernando vii; á D. Juan Muñoz, teniente de húsares de Fernando vu, y á D. Gaspar Boigas, teniente dei regimiento de Granada. La medalla de plata coronada á D.Juan Sicilia, capitán del batallón del Rey; á D. habían Perez, teniente de ídem; á D. Antonio Fernandez , te niente de ídem ; á D. Cosme Rodríguez, sargento primero graduado del ba tallón d…</t>
  </si>
  <si>
    <t>Boix, Esléban</t>
  </si>
  <si>
    <t>Esléban Boix</t>
  </si>
  <si>
    <t>Gaceta de Madrid n.º 98</t>
  </si>
  <si>
    <t>…de las Carretas; y en Cádiz en la de Hortal y compañía. Estampa nueva de nuestra Señora del Carmen, dibujada por D. Antonio Guer rero, y grabada en medio pliego de marca mayor por D. Esléban Boix. Se hallará í 6 rs. en el almacén de estampas de la calle Mayor, frente á la casa del conde de Oñate: hay paues de diferentes tamaños y estampitas para relicarios, y registros de todos los santos del año. EN LA IMPRENTA REAL.</t>
  </si>
  <si>
    <t>Bonafon, Francisco</t>
  </si>
  <si>
    <t>Francisco Bonafon</t>
  </si>
  <si>
    <t>…to hasta que merezca la aprobación de la misma Real Cámara. Tratado de Hipócrates de los aires, aguas y lugares: por el Dr. Coray, médico de Ja escuela de MompeJler: traducido por D. Francisco Bonafon, profesor de medicina. Este admPahle tratado fue compuesto hace mas de 22 siglos en un rincón de la Grecia por un médico destituido de todos aquellos auxilios que los progresos de las ciencias y de las artes proporcionan en el dia á nuestros observadores. Gui…</t>
  </si>
  <si>
    <t>Bonalde, Manuel</t>
  </si>
  <si>
    <t>Manuel Bonalde</t>
  </si>
  <si>
    <t>…general D. Juan Francisco Mendivil, habiendo contribuido activa mente al logro feliz de esta acción. „ Tampoco puedo dejar de mencionar la particular conducta del capitán del Rey D. Manuel Bonalde y el subinspector D. Juan Bermudez, que habiéndolos yo mandado á Puerto-Cabello por armas y municiones , regre saron ;i marchas aceleradas por caminos intransitables para participar de la victoria, empleándose muchos de los fusiles que me anticiparon en el co…</t>
  </si>
  <si>
    <t>Bonaparte</t>
  </si>
  <si>
    <t>…iro, pero no le acertó. Habiéndose quejado Bonapar te de la conducta del centinela , fue este llevado á presencia del gobernador, quien le preguntó si habia sido su ánimo matar al general Bonaparte; y ha biendo respondido el soldado aíirmativamente, fue honrosamente absuelto de todo cargo. „ Escriben de Hamburgo que estando el mariscal Souit paseando las calles de la ciudad, se le acercó un comerciante hamburgués, y le preguntó si ha bia ido á llevar el…</t>
  </si>
  <si>
    <t>…e , y le preguntó con altivez por qué no había obedecido á sus órdenes. Porque no recibo ningunas, res pondió, sino del Rey ó de los Cantones-----¿Sabéis á quien habíais?___Sí, al general Bonaparte.__ No, sino al Emperador de los franceses, y co mo tal os mando que volváis á la plaza de Carrousel con vuestro regimiento, que quiero pasarle revista___ General, ya os he respondido que no recibo órdenes sino del Rey á quien he prestado juramento---- Hace ci…</t>
  </si>
  <si>
    <t>Bonavia, Bernardino</t>
  </si>
  <si>
    <t>Bernardino Bonavia</t>
  </si>
  <si>
    <t>…individuos, de los cuales fue uno el alférez Santa María: en Oajaca al teniente general de los Redes egércitos D. Antonio González de Saravia, al Sr. comandante de aquella brigada D. Bernardino Bonavia, á los comandantes Regules y Arizti, y ¿ un muchacho guatemalteco criado del primero; y últimamente en Acapulco, Cuacuayutla, Zacatula y Ajochitlan 203 prisioneros, fusilados unos y dego llados otros en venganza de no habérsele admitido el cange que propuso d…</t>
  </si>
  <si>
    <t>Bonnaire</t>
  </si>
  <si>
    <t>…de quienes serian luego víctimas. Una ocupación honrosa es contraria á la sedición , y jamas se han visto hermanadas la traición y la industria. FRANCIA. París 22 de Noviembre. El general Bonnaire, condenado 2 1* deportación, acaba de fallecer en S. Pelagio, donde se hailaba preso. En una carta de Calais de 18 del corriente se dice: „Ayer llegó aquí S. A. I. el gran duque Nicolás, y hoy ha recibido con mucha afabilidad á tes autoridades civiles y milit…</t>
  </si>
  <si>
    <t>Borbon, Antonio de</t>
  </si>
  <si>
    <t>Antonio de Borbon</t>
  </si>
  <si>
    <t>…a honorífica disposición las goza la universidad de Alcalá relia ha sido la primera que prévia la ReaL benevolencia aclamó por su gran protector al Serir.o. Sr. In fante de España D. Antonio de Borbon; y S. A. tiene á bien añadir á sus Reales dictados este nuevo título y el de doctor complutense, cuyas insig nias viste á la par con el vellocino de oro." Real lotería moderna. En el sorteo de la Real lotería moderna celebrado el dia 23 del corriente Salieron…</t>
  </si>
  <si>
    <t>Borbon, Eugenio Hernández</t>
  </si>
  <si>
    <t>Eugenio Hernández Borbon</t>
  </si>
  <si>
    <t>…rquez: para la de Iznajar á D, Josef Manuel Sánchez del Aguila: para la de Alarcon á D. Alonso Ramón Rubio: para la de Alaejos á D. Juan Rabanal y Hevia: para la de Torrelobaton á D. Eugenio Hernández Borbon: para la de Siruela á D. Pedro Cano: para la de Teba á D. Juan Alonso de Prado: para la de la Coruña á D. Manuel Fernandez .Duran: para la de Miranda del Castañar á D, Francisco Cornsgo: para la de Fuente de Cantos á D. Roque Naranjo: para la de Jarandilla á…</t>
  </si>
  <si>
    <t>Borbon, Josef</t>
  </si>
  <si>
    <t>Josef Borbon</t>
  </si>
  <si>
    <t>420 y de partidarios D. Josef Borbon, D. Manuel López Cobo y D. Diego Rol dan : tanto estos como los ayudantes de ambos D. Juan Antonio Anunzarri, del primero, y D. Francisco Villavaso, del segundo.* el recomendable capi tán de egército D. Juan Ortuño, ayudante de órdenes mío; el teniente de par…</t>
  </si>
  <si>
    <t>Borbon, Luis de</t>
  </si>
  <si>
    <t>Luis de Borbon</t>
  </si>
  <si>
    <t>…ento le dan recibo en* forma. S. M. el Rey nuestro Señor y S. A. el Sr. Infante D. CárJos lo expresaron asi, y lo firmaron de sus Reales manos, hallándo se presentes como testigos D. Luis de Borbon, por la divina misericordia presbítero cardenal de la santa romana Iglesia, del título de Sta. María de Scala, arzobispo de Toledo, primado de las Españas, canciller mayor de Castilla , capellán mayor de la Real iglesia de S. Isidro de Madrid, grande de Españ…</t>
  </si>
  <si>
    <t>Borgoña, Henrique de</t>
  </si>
  <si>
    <t>Henrique de Borgoña</t>
  </si>
  <si>
    <t>…de la liberalidad de vuestro predecesor D. Alfonso i de Castilla , el origen de la casa Real de Portugal : y si porque asistió en las muchas victorias alcanzadas de los mo ros el conde Henrique de Borgoña á aquel magnánimo Rey le remuneró es te con los estados que tenia en Portugal , y se los dio con la mano de su hi ja la Infanta Doña Teresa, ¿qué elección mejor podría hacer V. M. que la de una Infanta , descendiente por ambas líneas del tronco Real de Castil…</t>
  </si>
  <si>
    <t>Borromeo, Gibert</t>
  </si>
  <si>
    <t>Gibert Borromeo</t>
  </si>
  <si>
    <t>218</t>
  </si>
  <si>
    <t>…a es verdaderamente una peste bubónica. Por for tuna este mal no -se ha comunicado de este partido á otros pueblos. Roma 2 y -de Enero. El 24 del corriente llegó á esta capital el conde Gibert Borromeo, gentil hombre del Emperador de Austria , y caballerizo mayor del reino LombardoVéntto. Ayer se presentó al Padre Santo, y tuvo la honra de entregar las credenciales deS. M. I. y R. Se cree que el caballero Lebzeltern irá á Petersbur-go en calidad de embajado…</t>
  </si>
  <si>
    <t>Borstel</t>
  </si>
  <si>
    <t>…amor, á la patria le allanaron bien pronto todos los,obstáculos. A las seis primeras semanas que llevaba de servicio se descubrió su sexo, y la enviaron á Colbert, donde estaba el general Borstel, quien la manifestó que no podía permanecer mas tiempo en el regimiento como soldado; pero que si quería casarse en él, tendría la facultad de seguir al egército. No obstante esto, firme en su resolución de llevar las armas esta donce lla valerosa, obtuvo al…</t>
  </si>
  <si>
    <t>Bosuet</t>
  </si>
  <si>
    <t>…uales , después de haber recitado el tratado que les había cabido en suer te del catecismo del país , se extendieron á la puntual explicación de él , se gún el catecismo del limo. Sr. Bosuet, como fue el sacramento del Bautis-</t>
  </si>
  <si>
    <t>Bosvuef</t>
  </si>
  <si>
    <t>…sacrificio de la misa para todos los dias y fiestas mas principales del año , y.parn antes y des pués de ja confesión y sagrada comunión:, un tomo en 8.° Todas estas obras son del obispo Bosvuef,, y se hallarán en la librería de Rodríguez, calle de las Carretas. Nota. En la felicitación hecha á S. M. por el diputado del consulado de Cá diz D. Victoriano de Encina y Piedra, inserta en la gaceta del 19 de este mes, pégina 12/0, lín. 1, donde dice iba d…</t>
  </si>
  <si>
    <t>Bousles</t>
  </si>
  <si>
    <t>Gaceta de Madrid n.º 7</t>
  </si>
  <si>
    <t>…enerse algún tiemoo. hasta que los ríos de Holanda se puedan pasar! Los húsares de Cumberland y otros cuerpos de infantería han llegado hoy á esta ciudad. Mons 22 de Diciembre. El caballero Bousles ^comisionado regio para tomar posesión de este ter ritorio, acaba con este motivo de publicar la proclama siguiente : „El tratado concluido entre las altas potencias aliadas y S. M. Cristianí sima el 20 de Noviembre último os separa del remolde Francia. Por u…</t>
  </si>
  <si>
    <t>Boyer</t>
  </si>
  <si>
    <t>…luse: de 4a cuarta clase ds;bellas artes Mr. David., El consejo de guerra que ha de juzgar el 6 de este mes al contra-almirante Linois, ex-gobernador de la isla de Guadalupe, y al barón Boyer, será pre sidido por el teniente general Lauriston, par de Francia, comandante de la primera división de infantería de 4$. guardia Real. Mr. de Sesmaisons, coronel ae estado mayor de la misma guardia , hará de relator, y Mr. Sartelon, indi viduo de la cámara…</t>
  </si>
  <si>
    <t>…reducir este número á 100® hombres, fue adoptado el proyecto de los ministros. FRANCIA. París jj de Marzo« El consejo de guerra nombrado para juzgar al contra-almirante Linoisy al coronel Boyer, ha declarado inocente al primero y culpable al segundo de insubordinación y rebelión, condenándole en consecuencia á la pena de muerte. El ministro-del Interior, vista la nomina de los empleados municipales que el prefecto del departamento de la Gironda ha s…</t>
  </si>
  <si>
    <t>…acosado en su último retiro, se en trego preso el 14 del corriente á las 10 de la* noche enMontbríson , departa mento del Alto-Loira. ; . ¡ El Rey ha conmutado la pena capital del coronel Boyer en ao años de prisión en un castillo. Desde el i.° al 15 de este mes han entrado en Calais 37 paquebotes con 489 pasageros, entre los cuales se hallaba S. A. Ru el duque de. Kent, el.du que de Richemont, SS. AA. II. los Archiduques de Austria Juan y Luis y su…</t>
  </si>
  <si>
    <t>cío del Rey. Xa ceremonia, ,de su .niatrimonio .se. realizó en la iglesia de la guarnición de esta canitd, en presencia del ministro dé Guerra el general Boyer, y de otras muchas personas de distinción. ALEMANIA. Francfort 2 r de Marzo. Mr. de Fenelon, encargado de negocios cerca de S. A. R. el gran duque de Hesse. llegó el 12 del corriente á esta ciudad----También ha 1 fe gado aquí Mr. de Gruiner, consejero de Esta…</t>
  </si>
  <si>
    <t>…arlota, su augusta hija. S. M. ha conmutado la pena de muerte á que fueron sentenciados los ge nerales Debelle y Travot, al primero en icf años de encierro, y al segundo en 20. El coronel Boyer fue trasladado el 23 del* corriente de la Con se rge ría a la prisión de la Fuerza. Hace algunos dias que los Sres. Wilson , Bruce y Hutchinson se hallan en la Convergería: su causa se verá á fines de Abril. El proceso del mariscal de campo Rigaud, acusado de…</t>
  </si>
  <si>
    <t>Br'aganza, María Isabel de</t>
  </si>
  <si>
    <t>María Isabel de Br'aganza</t>
  </si>
  <si>
    <t>…nos encarga expresemos á los pies del trono estos sentimientos, con su rendido homenage y humillación, para felicitar á V R. M. por su efectuado enlace con la Reina nuestra Señora Doña María Isabel de Br'aganza , que uniendo las virtudes de los mas dignos Reyes, aseguran á la heroica é invencible Espáña el lleno de felicidad pública á que conspiran las sabias providencias y ardien tes deseos de V. M., y á que cooperarán sin duda para que logren todo su objeto las gr…</t>
  </si>
  <si>
    <t>Braganza, Isabel de</t>
  </si>
  <si>
    <t>Isabel de Braganza</t>
  </si>
  <si>
    <t>129 3 i V. M., tiene la honra de felicitarle ' por dos cíe sus hijos con el plausible motivo de su efectuado enlace con la. Señora Infanta Doña Isabel de Braganza , hoy ya nuestra Reina ; y dirige sus votes al Altísimo para que de esta feliz unión resulte á la nación española su prosperidad y engrandeci miento, corno lo espera en premio de las virtudes de su augusta Persona, y de los heroicos esfuerzos con que ha logra…</t>
  </si>
  <si>
    <t>Braganza, Isabel Francisca de</t>
  </si>
  <si>
    <t>Isabel Francisca de Braganza</t>
  </si>
  <si>
    <t>…uque de Austria ; Duque de Rorgoña, de Brabante y de'Milan; Conde de Abspurg, de Flándes, Tirol y Barcelona; Señor de Vizcaya y de Molina &amp;c. &amp;c. 6cc. Y de la Reina nuestra Señora Doña Isabel Francisca de Braganza, hija de los muy altos y poderosos Señores Reyes de Portugal D. Juan Sexto y Doña Carlota Joaquina de Borbon , Infanta de España: de S. A. el Sermo. Sr. Infante D. Carlos María Isidro, y de la Serma. Sra. Infanta Doña María Francisca de Asís, her mana de la R…</t>
  </si>
  <si>
    <t>Braganza, María Francisca de</t>
  </si>
  <si>
    <t>María Francisca de Braganza</t>
  </si>
  <si>
    <t>…o que sigue: „Sermo. Sr.: La fidelítima ciudad de Cervera,en el principcdo de Cataluña, de voto en cortes, nos encarga cumplimentar á V. A. por «u inmediato enla ce con la Infanta Doña María Francisca de Braganza. Los deseosde la ciu dad que representamos son ver á V. A. gozar las felicidades conyugales, y que V. A. repita siempre á su augusto Hermano que Cervera mira como su ya la felicidad de sus Principes.” El dia 21 del pasado tuvieron la honra de presentarse á S.…</t>
  </si>
  <si>
    <t>Braganza, María Isabel de</t>
  </si>
  <si>
    <t>María Isabel de Braganza</t>
  </si>
  <si>
    <t>…l inicuo Murat, nos da el ho norífico encargo de rendir á los pies del trono su humillación y respeto, fe licitando á V. M. por su efectuado matrimonio con la Reina nuestra Señora Doña María Isabel de Braganza ,con toda la efusión del amor y lealtad de aquellos tan fieles vasallos, que manifestaron á vista del tirano sus ardien tes deseos de sellar con su sangre el juramento que hicieron en aquel memo rable dia, y que conserva esta antigua y fidelísima ciudad en su…</t>
  </si>
  <si>
    <t>…e preceden al prólogo del autor. Se hallará en la librería de Bar co, carrera de S. Gerónimo, á 20 rs. en pasta, y en Valencia en la de Domingo. Retrato de la Reina nuestra Señora Doña María Isabel de Braganza, dibu jado :y. grabado por D. Antonio .Vázquez, profesor de grabado en ésta corte. Esta obra, que tiene la circunstancia de estar trabajada de puntos por el estilo del céle bre ingles Bartolozzi, tan conocido por la dulzura de sus obras, ha merecido la Real a…</t>
  </si>
  <si>
    <t>…S. M. á felicitarle por Su efectuado enlace; con cuyo plausible motivo dijo el segundo lo siguiente: „Señor: La ciudad de Jaca felicita á V. M. por su acertado enlace con la Sra. Doña María Isabel de Braganza, enlace muy conforme á la úl tima recomendación de vuestro augusto Abuelo el Sr. O. Carlos 111, nunca bastantemente celebrado , y del cual espera España los grandes bienes que calculó su notoria política. Que V. M, reine, no para aumentar dominios, porque la…</t>
  </si>
  <si>
    <t>…. de V. M. los afec tuosos sentimientos de todo aquel vecindario, lleno del mas extraordinario júbilo por el matrimonio augusto que V. M. ha contraído con la Rejna nues tra Señora Doña María Isabel de Braganza , del que con razón se pro meten las mayores felicidades Yo como regidor é individuo de aquella cor poración, y como testigo presencial de los heroicos esfuerzos con que tanto $e ha distinguido la ciudad de Montoro desde el principio de la pasada lu cha, teng…</t>
  </si>
  <si>
    <t>…el dia 8 del mismo tuvieron el honor de presentarse á besar la Rea! mano de S. M., y de felicitarle con el plausible motivo de su efectuado ma trimonio con la Reina nuestra Señora Doña María Isabel de Braganza el Lie. D. Antonio Castejon y Hernández, regidor perpetuo de L. M. N. y L. ciudad de Plasencia, alcalde mayor de la villa de Navalcarnero , y el se ñor D. Josef de Arineridariz, brigadier de los Reales egércitos, exento del Real cuerpo de Guardias de la Perso…</t>
  </si>
  <si>
    <t>…blos de su partido, siempre fieles á sus legítimos Soberanos, nos han comi sionado para felicitar á V. M. por su augusto enlace y matrimonio celebrado con la Reina nuestra Señora Doña María Isabel de Braganza. Pene trados aquellos habitantes de los mas altos sentimientos de amor y de res peto hácía la Real Persona de V. M. y su Real familia, tributan á V. M. la mas respetuosa enhorabuena, y al Todopoderoso las debidas gracias por la acertada elección de V. M. en h…</t>
  </si>
  <si>
    <t>1428</t>
  </si>
  <si>
    <t>1428 rotándole la vanguardia que iba á ocupar aquel punió. ,,Bsta villa y su tierra llenos del mayor júbilo por el dichoso enlace de V. M. con lar augusta Señora Doña María Isabel de Braganza, felici ta á V. M. por tan acertadla elección , y pide al Todopoderoso conceda á VV. MM. un dilatado y feliz reinado, del que ha de resultar el bien y la prosperidad de sus amados vasallos. El dia 7 del presente felicitaron á SS. MM., en nombre del Pveal cuer…</t>
  </si>
  <si>
    <t>Braganza, Marta Isabel de</t>
  </si>
  <si>
    <t>Marta Isabel de Braganza</t>
  </si>
  <si>
    <t>…„Señor: La sociedad patriótica Riojana, de quien somos los represen tantes, mira ya cumplidos sus ansiosos votos en el venturoso enlace de V. M. con la augusta Infanta de Portugal Doña Marta Isabel de Braganza. Las preciosas é inestimables prendas de afabilidad, modestia y discreción que constituyen la índole de esta admirable Princesa, presagian á la sociedad dias eternos de prosperidad y de alegría, porque ve renovarse los de María Isa bel la Católica, y los de s…</t>
  </si>
  <si>
    <t>Branchat, Josef</t>
  </si>
  <si>
    <t>Josef Branchat</t>
  </si>
  <si>
    <t>…el: para la de Zafra a D JosefPonce de León y Navarrete: para la de la Mora en Castilla á D. Félix Fernandez Avilés; para la de Posadas á D. Pascual de Haro: para la dt Peñaliel á D. Josef Branchat: para la de Alama de Murcia á D. J jan de Dios Ruiz y Ruiz: para la de Fernan-Caballero, Fuente del Fre 1 o y Malagon á D. Josef Francisco Florez Viilamil: para la de la debela d ’* ¡ro blados del Castañar á D. Francisco Fernandez Colavida: para la d Cu vico…</t>
  </si>
  <si>
    <t>Brandel</t>
  </si>
  <si>
    <t>…a. Hamburgo 22 de Marzo. Escriben de Stockolmo que la legación extraordinaria del conde Gustavo de Loweubieím íái;ió de allí para‘Petersburgo. Se componía ademas delembajador, del secretario Brandel, que irá'de París á Perersbtirgo, de los con des Carlos y Alejandro de Wachtmeister, del conde Rosen , del teniente co ronel Stiernschanz ,y del teniente de la guardia Gustavo Peiron___Esta em bajada parece que tiene por objeto felicitar á S. M. el Emperador…</t>
  </si>
  <si>
    <t>Brauchitsch</t>
  </si>
  <si>
    <t>…compa ñado del director general de policía, y escoltado por un destacamento de dragones y otro de cosacos. PRUSIA. Berlín e j Je Julio. S M., acompañado de su ayudante el teniente coronel Brauchitsch, aca ba de salir de aqui para dirigirse por Potsdam y Magdeburgo á Carbbad. Igualmente han salido para Magdeburgo S. A. R. el Principe Federico de Prusia y S. A. el teniente general Príncipe Cirios de Mecklenburgo. SUIZA. Zuriíh Je Julio. H1 día 23 salió de a…</t>
  </si>
  <si>
    <t>Bravo, Matías</t>
  </si>
  <si>
    <t>Matías Bravo</t>
  </si>
  <si>
    <t>…roveerá en el que mejor parezca. 1 La inocencia,atropellada por quien debió sostenerla, y la misma vindicada por la jysdcia en su trono: manifiesto que da al público el presbítero D. Matías Bravo, calificador del santo tribunal de la Inquisición dé corte, y secretario de la colectu ría general de espolios, vacantes, medias ai\a£as.,&amp;c,, del mayor rasgo de despotis mo egecutado en su persona contra lós derechos y soberanía de nuestro legítimo So berano…</t>
  </si>
  <si>
    <t>Brenier</t>
  </si>
  <si>
    <t>12</t>
  </si>
  <si>
    <t>…tá de vuelta después de haberse presentado de lante de Túnez y Trípoli. FRANCIA. Paris 77 de Diciembre. El ayuntamiento de la ciudad de Brest ha presentado una espada al tenien te general Brenier, que, con las autoridades pudo apaciguar las discordias que se habían suscitado allí. El: general Brenier era comandante de Brest du rante el interegno, y trabajó extraordinariamente para hacer reconocer ai Rey. Las noticias que se reciben de los departamento…</t>
  </si>
  <si>
    <t>Breson, Mariano</t>
  </si>
  <si>
    <t>Mariano Breson</t>
  </si>
  <si>
    <t>El Rfiy nuestro Señor se ha servido promover á brigadier gefe de escue la en el departamento de artillería de Segovia al coronel de dicha arma Don Mariano Breson. El Rey nuestro Señor se ha servido nombrar para la plaza de su segun do cirujano de cámara con egercicio, con el sueldo correspondiente á los de su clase, á D. Josef María Turlant Continúan los donativos hechos al Rey nuestro Señor, que se ha servido aceptar…</t>
  </si>
  <si>
    <t>Brí</t>
  </si>
  <si>
    <t>Gaceta de Madrid n.º 4</t>
  </si>
  <si>
    <t>…ria. Y á continuación el niño premiado Don Bernardo Morera pronunció una canción, dando las gracias á nombre de sus compañeros; y lo mismo practicó por el de las niñas ia premiada Doña Brí gida Buchelli ^recitando una letrilla. ' Ultimamente el Sr. vice-director leyó un discurso , en que procuró mani festar la importancia y necesidad de cimentar la primera educación;» premisa</t>
  </si>
  <si>
    <t>Bridport</t>
  </si>
  <si>
    <t>…ro de combatientes. En la acción de i.° de junio de 1793, en que había 26 buques de guer ra con 17® hombres, hubo de ellos 2.81 muertos y 797 heridos ; total 1078. En la acción de lord Bridport, en 25 de Junio de 1795 % se presentaron 14 velas y io5® hombres , y no hubo mas que 31 muertos y 113 heridos; total 144. En' la acción del Cabo de S. Vicente había 15 velas de línea con, 10® hombres , y hubo 73 muertos y 227 heridos; total 300. En la acción…</t>
  </si>
  <si>
    <t>Bríeva, Si.ron de</t>
  </si>
  <si>
    <t>Si.ron de Bríeva</t>
  </si>
  <si>
    <t>1020 Aguado, y grabadas por D. Si.ron de Bríeva, á 6o rs. rsVeinte y ocho estampas de retratos y viñetas de ia historia Je la xida de Cicerón, dibujadas por D. Ventu ra Sales:"., v grabadas por varios profesores romanos, á 50 rs.c=:CXho estampas de d'íe et.ies pintaras del Real paliuio, grabadas por Goya y…</t>
  </si>
  <si>
    <t>Brisbaae</t>
  </si>
  <si>
    <t>1099</t>
  </si>
  <si>
    <t>…laterra, con lo cual se desvanece la noticia que había circulado en París de que dicho almirante pasaba á Túnez y á Trípoli. En lo mas recio del combate de Argel lord Exmouth y el capitán Brisbaae estaban conferenciando , cuando este último recibió un golpe de una bala fría , que le tiró al suelo. Lord Exmouth llamó en seguida al primer te niente; y le dijo: „El infeliz Brisbane ha muerto: tomad el mando.” Le vantándose entonces el capitán dijo : aun e…</t>
  </si>
  <si>
    <t>Brisbane</t>
  </si>
  <si>
    <t>…ellos 162 españoles, y restituir i los Gobiernos sardo y napolitano las sumas que entregaron últimamente pa ra rescatar sus esclavos. El Heron, bergantín de guerra, que condujo al capitán Brisbane, lleva ba á bordo el dinero para Gé 1 *va , y otro navio de guerra ha ¡do á Ñapó les con 3oo9 duros. LaescuiJra c msi tia en el navio Reina Carlota, el Impregnable, el Minden, Albiony Sjperle, ademas de las fragatas &amp;c. La-pér dida de los ingleses ha sido la…</t>
  </si>
  <si>
    <t>Brito, Simón</t>
  </si>
  <si>
    <t>Simón Brito</t>
  </si>
  <si>
    <t>…ón Stc,, Lo que traslado á V. S. para su superior inteligencia y satisfacción, despachándolo con posta á Guannre; y para lo mismo añado que por partes oficiales que he recibido de D. Simón Brito, oficial de la quinta división , que se halla en Cúcuta , se me avisa que la fuerza rebelde que penetró en Pamplona ha sido destruida una parte, y otra dispersada por la división de Maracaibo, ayudada de aquel cuerpo arriba citado en los dias 19 y 20 dei próx…</t>
  </si>
  <si>
    <t>Brongniard, Ramond y</t>
  </si>
  <si>
    <t>Ramond y Brongniard</t>
  </si>
  <si>
    <t>…ión. Química. Los señores conde de Berthollet, Vauquelín, De yeux, el conde Chaptal, Thenard y Proust. Séptima sección. Mineralogía. Los señores Sage, Hauy, Dunbamel, Lelievre, el barón Ramond y Brongniard. Octava sección. Botánica. Los señores Jussieu, Lamarsk, Desfontaines, Lábil la rdiere, Paiissol-Beauvois y Mirbe!. Novena sección. Economía rural. Los señores Tessicr, Thouin , Huzard, Silvestre, Bosc y Ivart. Décima sección. Anatomía y Zoología. Los señores…</t>
  </si>
  <si>
    <t>Brook</t>
  </si>
  <si>
    <t>…landa. &gt; Idem /i. • • Escriben de Guernesei que el mariscal Grouchi, después de haber estado allí algún tiempo, había salido para Nueva-Yorck en el navio el Brothers, que manda el capitán Brook. Los generales.Lefebvre y Galli habían ya lle gado á Nueva-Yorck. También se dice que están en la misma ciudad BoriSaint-Vicent y Félix Desportes. La fragata Faetonte na llegado á Spithead, de donde debe dar la vela para Sta. Elena, llevando á bordo al nuevo…</t>
  </si>
  <si>
    <t>Bros, Juan</t>
  </si>
  <si>
    <t>Juan Bros</t>
  </si>
  <si>
    <t>…e S. Marcelo uno: el de Renueva uno: el de Sta. Ana uno: el tesorero del cabildo dos: D. Pascual Suarez uno: D. Lidro Benitoa uno: D. Ramón Arquello dos : D. Pedro Gastaniaga uno: D. Juan Bros dos: D. Manuel Chicarro ocho reales: D. Benito Hermosino dos pares de zapatos: D. Ignacio Lorenzana dos. D. Manuel Mercadillo uno: D. Ma nuel Rodríguez uno: D. Manuel Yolis dos: D. Bernardino 1 erremos uno: D. Valentín Bustamante dos: D. Joaquín Suarez uno: D…</t>
  </si>
  <si>
    <t>Brownlon</t>
  </si>
  <si>
    <t>…de los cardenales. Continúan llegando á esta capital muchos extrangeros, entre los cuales se notan los siguientes: el teniente general Makensie, el teniente general Albercombrie, lord Brownlon, lord Spencer , sir Jorge Staveii, y otras varias personas de distinción de Inglaterra. S. M. ha nombrado mariscales de Francia á los tenientes generales duque de Coigni, conde de Beurnonville, duque de Feltre y conde de Viomenii. ESPAÑA. Vite hes (reino de J…</t>
  </si>
  <si>
    <t>Brun, Joscf de</t>
  </si>
  <si>
    <t>Joscf de Brun</t>
  </si>
  <si>
    <t>1220</t>
  </si>
  <si>
    <t>…entregarán la» de las casas residentes en Madrid hasta el dia 10 del corrien te, y las de los que residan fuera hasta el 20 del mismo, francas de porte, dirigi das unas y otras á D. Joscf de Brun, librero, frente ¿ S. Felipe el Real. JSota. En la gaceta del jueves último, pág. 1202, lín. 12 , donde dice D. Ma riano Saldaría, léase Sardana. EN LA IMPRENTA REAL.</t>
  </si>
  <si>
    <t>Bruna, Luis Melendez</t>
  </si>
  <si>
    <t>Luis Melendez Bruna</t>
  </si>
  <si>
    <t>…onio la felicidad del reino, y el esplendor y grandeza de vuestra augusta casa. ARTICULO DE OFICIO. Por Real resolución, á consulta de la Cámara , se ha servido S. M. conce der al Sr. D. Luis Melendez Bruna ,del consejo de S. M. en el Real y supre mo de Canilla, fci merced de título de Castilla para sí y sus sucesores, con la denominación de marques de Neiron, en atención á sus méritos y servi cios en la carrera de la toga, y especialmente en los de la desgracia…</t>
  </si>
  <si>
    <t>Brunengo, Joaquín</t>
  </si>
  <si>
    <t>Joaquín Brunengo</t>
  </si>
  <si>
    <t>200</t>
  </si>
  <si>
    <t>…o , dos sostenidas por los propios de la villa, y la otra de fundación pía debida á la beneficencia de D. Josef Iznardy, se dio principio al examen con un discurso , que pronunció D. Joaquín Brunengo, de edad de ocho años, alumno de una de las dos referidas escuelas, el cual mereció el general aplau so por la propiedad con que lo decoró, y en seguida fueron preguntados, según la antigüedad de los establecimientos, en doctrina cristiana por cate cismos de…</t>
  </si>
  <si>
    <t>Bruneti, Juan</t>
  </si>
  <si>
    <t>Juan Bruneti</t>
  </si>
  <si>
    <t>…da por D. Juan Antonio Carmena, á g rs. — Es tampa de la alegoría de la misa, grabada por el mismo, á 3 rs.z: ü Madre del di vino Redentor, dibujada por A. Ciraroli, y grabada por D. Juan Bruneti, á 6 rs.zz: El Salvador del mundo, del original de Aníbal Carachi, grabado por el mismo, á 6 rs. ( Se continuará.)</t>
  </si>
  <si>
    <t>…ón de las estampas que se venden en la Real Calcografía, sita en la imprenta Real. Estampas en cuartilla de marca mayor. Un niño Jesús contemplan do su pasLn y muerte, grabado por D. Juan Bruneti, á 6 rs. — S. Pablo apóstol, porSanz, á 4 rs. —Un Ecce Horno, del Giierchino, á 6 rs. —Una Magdalena, por Mateo Cerezo, grabada por D. Manuel Alegre, y un S. Gerónimo, por Pere da, á 6 rs. cada una — Varias vistas de los pueblos del reino de Valencia, á 2 rea…</t>
  </si>
  <si>
    <t>…r D. Luis Noseret, que forma colección con las ya publicadas, todas ellas á 3 rs. en negro y á 10 iluminadas. = Retrato del SL P. Pió vh en cuartilla regular, grabado á puntos por D. Juan Bruneti, á « reales en negro y á 6 iluminado. Se hallarán con otras muchas en el almacén de es tampas, cálle Mayor, frente al conde de Qñatc. EN LA IMPRENTA REAL.</t>
  </si>
  <si>
    <t>Bucareli, Fernando de Urries</t>
  </si>
  <si>
    <t>Fernando de Urries Bucareli</t>
  </si>
  <si>
    <t>777</t>
  </si>
  <si>
    <t>777 su profesor y maestro el P. Fernando de S. Lorenzo , los Sres. D. Fernando de Urries Bucareli, comendador de Carrion en la orden de Calatrava , y D. Rafael de Urries Bucareli, hijos de los Excmos. Sres. marqueses de A\erve, 1) Fernando Garai, O. Jaime Sa la-, D. V ¡cente Kna, D. Tomas Ma teo y D. Bienvenido Cortés, seminarútas en el mfmo colegio, D. M…</t>
  </si>
  <si>
    <t>Bucareli, Rafael de Urries</t>
  </si>
  <si>
    <t>Rafael de Urries Bucareli</t>
  </si>
  <si>
    <t>777 su profesor y maestro el P. Fernando de S. Lorenzo , los Sres. D. Fernando de Urries Bucareli, comendador de Carrion en la orden de Calatrava , y D. Rafael de Urries Bucareli, hijos de los Excmos. Sres. marqueses de A\erve, 1) Fernando Garai, O. Jaime Sa la-, D. V ¡cente Kna, D. Tomas Ma teo y D. Bienvenido Cortés, seminarútas en el mfmo colegio, D. Mariano Nogués, D Pedro Nogués , D Pedro Ortiz, D. Joaquín Miranda, D. Pe dro Nava…</t>
  </si>
  <si>
    <t>Buchelli, Brígida</t>
  </si>
  <si>
    <t>Brígida Buchelli</t>
  </si>
  <si>
    <t>…oves, D^Bernar do Morera, D. Antonio Cervero, D Gregorio Sech, D. Antonio Iractburu y D. Antonio Chicoy , é igualmente las niñas Doña Margarita Joanicot, Do-; ña Concepción Jordá, Doña Brígida Buchelli, Doña María Praty Doña Jo sefa Piquer. Para costear estos premios contribuyeron generosamente diferentes corpo raciones, socios y particulares con las cantidades siguientes: el limo. Sr. ar zobispo director con 3© rs. para estos y demas objetos de la atribuci…</t>
  </si>
  <si>
    <t>Bueno, Antonio</t>
  </si>
  <si>
    <t>Antonio Bueno</t>
  </si>
  <si>
    <t>…a ciudad de Cádiz en el año de 1794, y vívia calle del Sa cramento , núm. 231, en compañía de su citada madre, para comunicarla asuntos de importancia; á cuyo efecto debe acudir á D. Antonio Bueno, médico del lugar de Moros, partido de Calatayud, en el reino de Aragón; y en su defecto sus hijos ó herederos. Los huesos visitados, y que profetizan después de la muerte: oración fúnebre que en la solemne deposición del cadáver del P. Fr. Josef Ibañez de la…</t>
  </si>
  <si>
    <t>Bueno, Juan Josef López</t>
  </si>
  <si>
    <t>Juan Josef López Bueno</t>
  </si>
  <si>
    <t>…or lo cual ha determinado el ayuntamiento premiarlos á proporción de su mé rito; y se concluyó el acto con io elegantes versos latinos que recitó el pro fesor titular de latinidad D. Juan Josef López Bueno, en ios que saludaba, elogiaba y rendía gracias respectivamente á todos los ilustres cuerpos, con otros cuatro dirigidos aí mismo maestro, exhortándolo á continuar con firme za sus tareas en beneficio de los párvulos, y con una oración retórica, que en un est…</t>
  </si>
  <si>
    <t>Búfala, Ignacio de</t>
  </si>
  <si>
    <t>Ignacio de Búfala</t>
  </si>
  <si>
    <t>…mentar á S. M. á nombre de la ciudad de Lérida D. Tadeo Soler, alcalde decano de su Real casa y corte; D. Francisco Xavier Fulgosio, segundo teniente de Reales Guardias Walonas, y D. Ignacio de Búfala, guardia de la Real Per sona; el primero de los cuales dijo: ,,Señor: Vuestra ciudad de Lérida, que á ningún pueblo de la monar quía cede en fidelidad, amor y respeto á su Soberano, nos comisiona para felicitar á V. M. por su concertado enlace con la Serma. S…</t>
  </si>
  <si>
    <t>Buitrago, Josef</t>
  </si>
  <si>
    <t>Josef Buitrago</t>
  </si>
  <si>
    <t>…zoni, D. Norberto de Mella y D. Manuel de Cañas. A tenientes de Navio los de Fragata El graduado de teniente de Navio D. Josef Morales, D. Francisco Berminghan, D. Pedro Mareilla, D. Josef Buitrago, D. Josef Resusta y D. Pe dro Micheo. A tenientes de Fragata los alféreces de Navio D. Josef Vargas MachucaD. Josef López Sagredo, D. Francisco Ro dríguez Gelabert, D. Mateo Albornoz, D. Josef Oiozaga, D. Francisco Gascón, D. Tomas Ciscar, D. Francisco Ristor…</t>
  </si>
  <si>
    <t>Bulow</t>
  </si>
  <si>
    <t>…s. Se va á celebrar el aniversario de la batalla de Wajteloo con la mayor pompa. El general Blucher, que inmortalizó su nombre en esta batalla, está en un estado muy peligroso. El general Bulow murió hace pocos dias. FRANCIA. París j8 de Junio. Ayer se celebró en esta capital con la mayor pompa y solemnidad el matrimonio de SS. AA. RR. el Duque de Berry y la Princesa Carolina, con</t>
  </si>
  <si>
    <t>Bulsow</t>
  </si>
  <si>
    <t>…Wald, cerca de Solingen, ducado de Dusseldorf!, una compañía con el fin de preparar el ace ro que Inglaterra sola nos suministraba hasta aquella época con mucha utilidad suya. El capitán Bulsow, encargado en Dusseldorf! por el minis terio de Berlín de la dirección de la industria nacional en aquella parte de los estados prusianos, é individuo de la compañía de que se ha hablado, ha descubierto últimamente un medio, del que se esperan los mas felices…</t>
  </si>
  <si>
    <t>Burand</t>
  </si>
  <si>
    <t>i6j cluyeron enteramente el 13 dé este mes. El coronel Burand gemente de Rey de Boloña, y el caballero de Baius, teniente de Rey de Calais, han sido auxiliados en estas circunstancias, por los oficiales de aquellos puertos que estan á medio sueldo. SS. AA. RR. el duque de Angulema y su hermano el. duque de Berry cazaron…</t>
  </si>
  <si>
    <t>Burghersh</t>
  </si>
  <si>
    <t>…AÑA. Londres jp de Abril. El 18 de este mes se celebrará en el palacio de Carlton el matrimonio de la Pri ncesa Carlota con el Príncipe de Cobourg. El Rey de Ñapóles ha enviado al lord Burghersh la insignia de la orden Real de S. Fernando y del Mérito engastada en diamantes, en recompensa de los servicios que ha hecho á la corte de Ñapóles. El conde Julio de Poiignac ha insertado en el periódico intitulado Courrier una carta dirigida al duque de Well…</t>
  </si>
  <si>
    <t>Busel, Antonio Rujula y</t>
  </si>
  <si>
    <t>Antonio Rujula y Busel</t>
  </si>
  <si>
    <t>1413</t>
  </si>
  <si>
    <t>…élos referidos herederos existiesen, se sirviesen mandar recogerlos puntualmente con los papeles y documentos que presen tó para la formación del referido despacho en esta corte á D. Antonio Rujula y Busel, hijo de D. Juan Félix, difunto cronista y Rey de armas de número de S. M. reinante, que vive en esta corte, calle de la Ruda, nú mero 5, cuarto principal, quien lo entregará todo. En 5 de Octubre próximo pasado falleció en esta corte á los 84 años de edad el…</t>
  </si>
  <si>
    <t>Bustamante, Bernardo</t>
  </si>
  <si>
    <t>Bernardo Bustamante</t>
  </si>
  <si>
    <t>…a dos. D. Manuel Mercadillo uno: D. Ma nuel Rodríguez uno: D. Manuel Yolis dos: D. Bernardino 1 erremos uno: D. Valentín Bustamante dos: D. Joaquín Suarez uno: D Juan de Dios dos: D. Bernardo Bustamante uno: D. Donato Cañas dos: la viuda de Chicarro uno. Total 305 pares de zapatos y 30 rs. En el primer corteo de la lotería de vales Reales, celebrado el dra i.° de Agosto dJ año p.rado de 1S15 , salieron premiados con ocho vales cada rno los nú-nero* &gt; 8 1 \ i…</t>
  </si>
  <si>
    <t>Bustamante, Francisco de Paula</t>
  </si>
  <si>
    <t>Francisco de Paula Bustamante</t>
  </si>
  <si>
    <t>…o dia, correspondiendo los niños agraciados con recitar graciosa y oportunamente composiciones poéticas alusivas al intento. Terminó la función con pronunciar unos versos heroicos D. Francisco de Paula Bustamante , cadete agraciado del Real cuerpo de Artillería, quien lle nó las esperanzas de todos , haciéndose acreedor á los aplausos del público, y á que se le distinguiese con el premio correspondiente á su mérito. Villada 28 de Octubre. El ayuntamiento de esta villa…</t>
  </si>
  <si>
    <t>Bustamante, Valentín</t>
  </si>
  <si>
    <t>Valentín Bustamante</t>
  </si>
  <si>
    <t>…o reales: D. Benito Hermosino dos pares de zapatos: D. Ignacio Lorenzana dos. D. Manuel Mercadillo uno: D. Ma nuel Rodríguez uno: D. Manuel Yolis dos: D. Bernardino 1 erremos uno: D. Valentín Bustamante dos: D. Joaquín Suarez uno: D Juan de Dios dos: D. Bernardo Bustamante uno: D. Donato Cañas dos: la viuda de Chicarro uno. Total 305 pares de zapatos y 30 rs. En el primer corteo de la lotería de vales Reales, celebrado el dra i.° de Agosto dJ año p.rado de 1…</t>
  </si>
  <si>
    <t>Bustillo, Josef Fuentes González</t>
  </si>
  <si>
    <t>Josef Fuentes González Bustillo</t>
  </si>
  <si>
    <t>…es de aquella cruzada. S. M. se ha dignado conceder los honores de ministro de! supremo conse jo de Indias, á consulta de la cámara del expresado consejo de 23 de Mar zo último, á D. Josef Fuentes González Bustillo, regente que ha sido de la Real audiencia de Quito, en considera :ion de sus méritos y servicios. A virtud de providencia del Sr. D. León de 1» Cimira Cirio, del cornejo de S. M., corregidor interino de esta villa, y en contorjvdid de lo acordado en Ja junta…</t>
  </si>
  <si>
    <t>Bustos, Josef Martines de</t>
  </si>
  <si>
    <t>Josef Martines de Bustos</t>
  </si>
  <si>
    <t>Gaceta de Madrid n.º 95</t>
  </si>
  <si>
    <t>…de Junio de 1816 = YO EL REY.=r Yo D. Alfonso de Ibarra, Secretario del Rey nuestro Señor, lo hice escribir por su mandado =El Almirante Duque de Vera zúa. == Don Víctor Rascón. = D. Josef Martines de Bustos ^D. Sancho de Llamas, ss D. Amonio AlcaU Gali&amp;no. En atención á los dilatados y buenos servicios d.' D Josef Ramón Caxide Tabeada , tesorero de egército que era del de Castilla la Viej- , y comi sario ordenador honorario, se ha servido S. M. conferirle la ’O…</t>
  </si>
  <si>
    <t>Bustos, Josef Martínez de</t>
  </si>
  <si>
    <t>Josef Martínez de Bustos</t>
  </si>
  <si>
    <t>…hecho acreedora su lealtad, y el amor que siempre ha profesado á sus Príncipes.” El dia ii del presente fueron presentados á cumplimentar á S.M. ,á nom bre de la villa de Almazan, D. Josef Martínez de Bustos, ministro del su premo consejo de Hacienda , y el Dr. D. Leandro Antonio Gonzalo , deán de la Real iglesia de Logroño; y el primero habló á S.M. en estos términos: ,,Señor: La poco menos que arruinada villa de Almazan por las tropas del mas inhumano de los ti…</t>
  </si>
  <si>
    <t>…mbién in formarse particularmente de las ruinas de la villa por las tropas francesas, y con deseos de su alivio. En seguida pasaron al cuarto del Sr. Infante D. Cirios, y el mismo Don Josef Martínez de Bustos dijo: ,, Sermo. Sr.: La antigua villa de Almazan viene en nosotros á los pies de V. A. llena de gozo por el enlace de V. A. con la Serma. Sra. Infanta de Portugal Doña Marta. Francisca de Asís: el cielo aumente con la augus ta Esposa y Sobrina las virtudes qu…</t>
  </si>
  <si>
    <t>Butrón, Fernando</t>
  </si>
  <si>
    <t>Fernando Butrón</t>
  </si>
  <si>
    <t>…za, y en seguida salió á recibir á S. A. el Sermo. Sr. Infante Generalísimo con el general inspector conde de Villariezo, los subinspectores de ambas divi siones mariscal de campo D. Fernando Butrón, brigadier D Ignacio Balanzar , el de igual clase D. Vicente de Vargas, secretario de la inspección , y de mas ayudantes. S. A. fue recibido en el orden de parada, y seguido de e*ta numerosa comitiva corrió toda la línea, hasta el momento que se dignó lle gar…</t>
  </si>
  <si>
    <t>Buzzoni, Carlos</t>
  </si>
  <si>
    <t>Carlos Buzzoni</t>
  </si>
  <si>
    <t>…l Ignacio Fantoni, D. Eusebio Domingo de Urquíio, D. J &lt; se f Vidal y Garri ga, D. Francisco Arger é hi,ps, D. Agustín Alecrín, D. Domingo Pérez é hijo, D. Micuel Alvarez de Pazos^D. Carlos Buzzoni, D. Josef Ventura Al» ¡, D Fidel M» rago y D. Jai me Ordeig, tenedores de un vale Real de 6c o pesos, creación de i.° de Setiembre, nám. 2927 , para que en el término de 30 dias, coníaJos desde el 2a de Agosto último, acudan al referido juzgado y citada escri…</t>
  </si>
  <si>
    <t>Bvuneti, Juan</t>
  </si>
  <si>
    <t>Juan Bvuneti</t>
  </si>
  <si>
    <t>…ginal de Alonso Cano, que se halla en S. Gines de Madrid, grabada por D. huís Noseret, á 8 rs.— Estampa de Sta. Mjría Magdalena, copiada del ori ginal de Guido Reni, y grabada por D. Juan Bvuneti, á 8 r$.~Otra ídem del mismo Guido Rcni, grabada por D. Alfonso García Sanz, í 6 rs.rzEl Apostola do , colección de 28 estampas, con la Sacra Familia, los Evangelistas y los Docto res de la Ictlesia , grabadas todas por D. Juan Antonio Carmonu , á 5 rs. cada…</t>
  </si>
  <si>
    <t>C'vril, Tesorero</t>
  </si>
  <si>
    <t>Tesorero C'vril</t>
  </si>
  <si>
    <t>…la Administración de su cargo, con expre sión clara del paraye ó puntos en que se hallen , para que cotí este previo co nocimiento podamos formalizar los libramientos á favor del Señor Tesorero C'vril en egercicio, según «previene la Real orden inserta, v cuyo importe ¡cobrar*. Y. a ia presentación de ellos; dando aviso á esta Dirección gene ra’ da* haberlo asi ejecutado. D ios guarde á V. muchos años. Madrid 20 de Agosto de 1816.</t>
  </si>
  <si>
    <t>C, J.</t>
  </si>
  <si>
    <t>J. C</t>
  </si>
  <si>
    <t>…i.° „Catecismo político arreglado á la Constitución de la Monarquía española para ilustración del pueblo, instrucción de la juventud, y uso de ■las escuelas de primeras letras por D. J. C. enn Córdoba, en i la imprenta Real de /D.: Rafael García Domínguez , año de i 812. El 2 ° Catecismo pa triótico ó breve exposición de fas obligaciones naturales, civiles y religiosas de un buen español, compuesto por un Párroco del arzobispado de Tole do: Mad…</t>
  </si>
  <si>
    <t>C, Juan Antonio</t>
  </si>
  <si>
    <t>Juan Antonio C</t>
  </si>
  <si>
    <t>…1* rancia Luís xv , grabada per D. Blas Ainetiler, i 4o rs*__La pesca del Cocodrilo , original deí mismo, cribada por D. PrdsoMo á 40.—El Cristo de la Paz, dibujada y grabada per D. Juan Antonio C.armera, í 20----Jtsus, María y Josef, original de Murillo , gis inda per D. Juan Aun.pío Car mona , i 1 2.„_ Nuestra Señera de la Concepción , oEinai de Mateo Cerezo, gra bada por el mismo, á 8.„_ Lis cuatro Partes dei numdo , por ¡os origin.iles de jor*i«in q…</t>
  </si>
  <si>
    <t>1012</t>
  </si>
  <si>
    <t>1012 8 rs. cada una. Estampas en cuartilla Ae marea mayor. El Niño Jesús de Pasión, grabado por D. Juan Antonio C mirona, á 4 rs.r^Las cuatro estacionas del año, inventadas por D. Manuel Salvador Carmona, y grabadas por D. Jum Antonio Carmona, á 8 rs. rzColección de 20 cabezas devotas, copi ¡s de originales de varios célebres pintores, grabadas por D. Josef Navia, á 2 rs…</t>
  </si>
  <si>
    <t>Ca</t>
  </si>
  <si>
    <t>…de Potes á D. Mariano Muñoz Gómez Henriquez: para la de Cervera del Rio Pisuerga á D. Josef Joaquín Yagiie: para la de Mairena de Alcor á D. Miguel Gordo: para la de Villadiego á D. Ca simiro de la Piedra y Urrutia.: para la de Morata á D. Antonio Evaristo de Haro: para la de Granadilla á D. Feliciano Centeno: para la de Villagarcía á D. Josef Martínez Sarabia: para la de Arroyo del Puerco á D. Pedro Alzorriz Morgado : para la de Monteagudo…</t>
  </si>
  <si>
    <t>Ca.-</t>
  </si>
  <si>
    <t>…ñora, y.; de A, S.;su; digna Her mana, y realización dé sus respectivos desposorios con S. M. nuésrro augusta Soberana y S. A.;R. el Senuov Sr*. Infante IÍv Carlos,, á expensas de;Doña Ca.-</t>
  </si>
  <si>
    <t>Caamaño, Andrés Aguiar y</t>
  </si>
  <si>
    <t>Andrés Aguiar y Caamaño</t>
  </si>
  <si>
    <t>El dia 12 de Noviembre ultimo falleció á los 84 años, 9 meses y 23 dias de edad el limo. Sr. D. Andrés Aguiar y Caamaño, del consejo de S. M., obispo de Mondoñedo, caballero de la Real y distinguida orden española de Carlos ni. Después de haber recibido en S. Salvador de la Cerbana, su pa tria, la educación correspondiente al lustre de su familia , pasó á la universi dad de Sa…</t>
  </si>
  <si>
    <t>Caballero, Gabriel</t>
  </si>
  <si>
    <t>Gabriel Caballero</t>
  </si>
  <si>
    <t>…muchas dificultades para sujetarse ¿ un género de estudio tan «irido corno escabroso, resolvieron que los niños de sus escuelas júHicas, coi fíjeos al cuidado del maestro de ellas D. Gabriel Caballero, profesor de un mérito póco común, celebrasen en cada un año dos exámenes público* , premiando en el ultimo de ellos á los que se manifestasen mas adelantados v aprovecha dos en aquel género de doctrinas, á las que su zeloso maestro l &gt;s desuñase. Con efecto,…</t>
  </si>
  <si>
    <t>Caballero, Josef Jurado</t>
  </si>
  <si>
    <t>Josef Jurado Caballero</t>
  </si>
  <si>
    <t>…mez de Aranaa y Carrillo: otra de la villa de Baena, que se componía también de ?u alcalde mayor D. Loren zo Casaux , dé D. Alfonso Josef de Vida, regidor de La misma villa , y de D. Josef Jurado Caballero, síndico procurador general de la misma: otra de la villa de Luque, de la que fueron individuos su alcalde mayor D. Fernando Rod riguez y Luque, alcalde ordinario, y D. Ignacio Ortiz González, di putado del común, juez comisario de la santa hermandad de Ciuda…</t>
  </si>
  <si>
    <t>Caballero, Josef Perez</t>
  </si>
  <si>
    <t>Josef Perez Caballero</t>
  </si>
  <si>
    <t>í f'3 Agosto de 181 f , y compuesta del Excmo. Sr. conde de Miranda , nifyordomo mayor de S. M., presidente * y de los Sres. D. Josef Perez Caballero , del consejo supremo de Hacienda , con honores y antigüedad del deCasrilla , de cano; D. Bernardo Riega, de este consejo y cámara ; el conde de Torremuzquiz , del consejo y cámara de Indias ; D. Juan Paez de la Cadena, del de Guerra; D. Diego María Badiilos,…</t>
  </si>
  <si>
    <t>…Dada en Palacio á 19 de Julio de i8r6.=rYO KL REY.=Yo D. Marcelo de Ondarza, Secretario del Rey nuestio Señor , lo hice escribir por su mandado. =E1 Almirante Duque dé Veragua. = D. Josef Perez Caballero. — Francisco López de Alcaraz.^ Tomóse razón de esta Real cédula * escrita en las cuatro fojas antecedentes tji los libros de la Contaduría mayor de Cuentas de S. M., como se manda. Madrid ¿o de Julio de 1816- = Ambrosia de Plazaola. =Josef de Baquero. = Tomó…</t>
  </si>
  <si>
    <t>Caballero, Josef Ruiz Castro y</t>
  </si>
  <si>
    <t>Josef Ruiz Castro y Caballero</t>
  </si>
  <si>
    <t>…Angel Govantes Fernandez de Angulo: para la última plaza de oidor de la audiencia de Galicia á D. Manuel Losada Cadórniga: para la última plaza de alcalde dei crimen de Granada á D. Josef Ruiz Castro y Caballero: para la última plaza de alcalde del crimen de Galicia á D. Mi guel Antonio Vigil de Quiñones: para la de ministro del Consejo Real, va cante por muerte de D. Manuel de León Santos de San Pedro, árD. Josef de Montemayor, regente de la audiencia de Mallorca: p…</t>
  </si>
  <si>
    <t>Cabañas, Juan Cruz Ruiz de</t>
  </si>
  <si>
    <t>Juan Cruz Ruiz de Cabañas</t>
  </si>
  <si>
    <t>…amilla, vecino y regidor de la ciudad de Ubeda. ORDEN AMERICANA DE ISABEL LA CATOLICA. Grandes Cruces. Al Teniente general D. Antonio Amar, y al R. obispo de Guadalajara de Indias D. Juan Cruz Ruiz de Cabañas. Comendadores. El conde de Santiago de Calimaya, el coronel D. Juan Josef García de Santiago y Machón , ei coronel D. Luis del Aguila, el brigadier de la Real Armada D. Santiago de Irisarri, el brigadier D. Torcuato Trugillo, el capítan de Navio D. Domingo Mo…</t>
  </si>
  <si>
    <t>Cabanellas, Miguel</t>
  </si>
  <si>
    <t>Miguel Cabanellas</t>
  </si>
  <si>
    <t>…n la portería de las Escuelas Pias del Avapies de esta corte. En la librería de Castillo, frente á las.gradas de S. Felipe el Real,.se hallan de venta las obras siguientes del Dr. D. Miguel Cabanellas, médico de cámara honora rio de S. M., é inspector general de epidemias de los reinos de Valencia y Murcia. Ciencia de la vida, ó nueva teoría sobre las causas de su principio, continuación y fin: obra anterior á la del célebre Bichat, y muy conforme con ella…</t>
  </si>
  <si>
    <t>Cabañero, Antonio</t>
  </si>
  <si>
    <t>Antonio Cabañero</t>
  </si>
  <si>
    <t>…ación un lugar preferente al de los demas cóircurrent s. El dia i.° destinado para el examen de los alumnos del aula de latinidad , al cargo del P. Fr. Juan Chor ro, el corregidor D. Antonio Cabañero pronunció un discurso análogo á las circunstancias: en los dias 2.0, 3.° y 4.0 fueron examinados los discípulos de las tres escuelas, bajo la dirección de sus respectivos maestros D. Juan Car vajal, Miguel Cabrera y Baltasar Paya. Fs imposible explicar la agr…</t>
  </si>
  <si>
    <t>Cabeza, Bernabé</t>
  </si>
  <si>
    <t>Bernabé Cabeza</t>
  </si>
  <si>
    <t>204</t>
  </si>
  <si>
    <t>…uno de los endosantes; apercibido que si no lo hiciese se sustanciará en rebeldía en los estrados de la audiencia sin mas citarle ni emplazarle. Hallándose vacante por renuncia de D. Bernabé Cabeza la relatoría que egercia en el supremo consejo de la Guerra, se ha acordado por los señores de él se fijen edictos para que los relatores, y abogados de los demas consejos chancillerías y au diencias que quisieren hacer oposición á dicha relatoría^ que se hal…</t>
  </si>
  <si>
    <t>Cabeza, Josef</t>
  </si>
  <si>
    <t>Josef Cabeza</t>
  </si>
  <si>
    <t>320</t>
  </si>
  <si>
    <t>…nuevas operaciones por el rio Magdalena; y como la nave gación en este y los buques en que se hace son tan distintos de los que se usan en la mar, dispuse que el alférez de navio D. Josef Cabeza navegase en él, para que enterándose de todo y de los recursos que suministra, pu diese ponerme á su tiempo en disposición de poder dar órdenes que no se resintieran de mis conocimientos, lo que ha desempeñado á mi satisfacción; contribuyendo mucho á que nuev…</t>
  </si>
  <si>
    <t>Cabezas, Josef</t>
  </si>
  <si>
    <t>Josef Cabezas</t>
  </si>
  <si>
    <t>…los alféreces de navio D. Ramón Londoño , D. Manuel Mieres y D. Juan Bautista Martínez: el de tenientes de fragata graduados á los alféreces de navio D Vicente Sánchez Cerquero y D. Josef Cabezas, pi loto de la clase de primeros'de la armada: el de alféreces de navio á los de fragata D. Juan Montano, con la antigüedad á este de la promoción de 29 de Mayo del año pasado de 1815 , D.-E legarlo, de los Cuetos, D. Josef Quesada , D. Esteban Croquer, D. An…</t>
  </si>
  <si>
    <t>Cabezón, Domingo</t>
  </si>
  <si>
    <t>Domingo Cabezón</t>
  </si>
  <si>
    <t>…io de D. Juan González Merlo, vecino que fue de la mis ma, por quien se hallan reclamados dos rales de 600 pesos,creación de Mayo,núms. 399700 y 390268, se cita, llama y emplaza á D. Domingo Cabezón y D. Jua¡n de la Cruz de Tena, vecinos de Sevilla, por quienes resulta haber sido presentados á su renovación, á fin de que si se contemplan con derecho legítimo á ellos comparezcan por si, 6 cor medio de sus respectivos apoderados, á deducirle como corresponde «1 júz…</t>
  </si>
  <si>
    <t>Cacares, Gregorio de</t>
  </si>
  <si>
    <t>Gregorio de Cacares</t>
  </si>
  <si>
    <t>…ádiz de la Reina nuestra Señora y de la Serma. Sra. In fanta Doña Maria Francisca de Asís, cuando el coronel D. Josef Agus tín de Llano, el coronel graduado teniente coronel mayor D. Gregorio de Cacares y oficialidad del regimiento de Pavía, cuarto de dragones, acuar telado en esta ciudad, llenos de gratitud al Todopoderoso por tan singular beneficio, se apresuraron á dar á su divina Magestad las mas humildes gra cias , acompañando estas de cuantas demostrac…</t>
  </si>
  <si>
    <t>Cáceres, Julián de</t>
  </si>
  <si>
    <t>Julián de Cáceres</t>
  </si>
  <si>
    <t>…a saber el paradero de D* Francisco Martin Vargas, vecino que fue de la ciudad de Avila, ó de sus herederos, para comunicarles un asunto que les intere sa, para lo cual acudirán á D. Julián de Cáceres, que vive en esta corte, calle del Conde, plazuela de S. Xavier, núm. 4, cuarto principal. Los cuerpos de caballería subscritos al reglamento del egerciclo y maniobras de esta arma, como también los que se hayan subscrito particularmente, acudirán á re coger…</t>
  </si>
  <si>
    <t>Cadenas, Bernardo</t>
  </si>
  <si>
    <t>Bernardo Cadenas</t>
  </si>
  <si>
    <t>…to- D. Joaquín Escudero llamó á- los que habían sido premia dos con respecto á su clase y mérito, que fueron con los premios- prime ros D. Joaqurn Cañed'o , D. Leo na rdo-García , D. Bernardo Cadenas, Don Joaquín Vargas y D. Mantiél Ribera: con los segundos D. Juan García Cefedonó’ Casado, D. Francisco. Canillas, D-. Máximo de Vargas y Don‘Ge»Bíuo Salgado , D. Pedia Gómez y D. Pedro Miguel; y con los tetcetoi</t>
  </si>
  <si>
    <t>Cadórniga, Manuel Losada</t>
  </si>
  <si>
    <t>Manuel Losada Cadórniga</t>
  </si>
  <si>
    <t>…Gerónimo Zemborain: para la plaza de alcaide mayor de la audiencia de Asturias á D. Angel Govantes Fernandez de Angulo: para la última plaza de oidor de la audiencia de Galicia á D. Manuel Losada Cadórniga: para la última plaza de alcalde dei crimen de Granada á D. Josef Ruiz Castro y Caballero: para la última plaza de alcalde del crimen de Galicia á D. Mi guel Antonio Vigil de Quiñones: para la de ministro del Consejo Real, va cante por muerte de D. Manuel de…</t>
  </si>
  <si>
    <t>Cagide, Josef</t>
  </si>
  <si>
    <t>Josef Cagide</t>
  </si>
  <si>
    <t>7</t>
  </si>
  <si>
    <t>…ñalado de la Real mano de S. M.=En Palacio á 18 de Diciem bre de 1815. El Rey nuestro Señor se ha servido nombrar para el empleo de coronel del regimiento provincial de Monterey á D. Josef Cagide, teniente coronel que era de la cuarta división de granaderos provinciales de Galicia: para el empleo que este deja al teniente coronel D. Cárlos de Vargas, capitán del regimiento provincial de Ronda; y para coronel del provincial de Laredo á D. Jacinto María…</t>
  </si>
  <si>
    <t>Caí, Manuel Salvador</t>
  </si>
  <si>
    <t>Manuel Salvador Caí</t>
  </si>
  <si>
    <t>…:"*. ra á Sta. Isabel, del original de Rafael de Urbino, grabada por D l ueban I'oix : a 20 rs.~El sacamuelas charlatán, del original de Teodoro Roe! pintor flamen co, grabada por D. Manuel Salvador Caí me na*, á 30 rs.rr l),cz v seis estampas de la escuela de ¿ cabailo, grabadas por diferentes profesores acreditados-. á 11 rs cada una. = Tres vistas del anfiteatro de Murviedro, dir.i o as por el autor cíe las obser vaciones sobre el remo de Valencia D. Jost…</t>
  </si>
  <si>
    <t>Caicedo, Josef de Mesia y</t>
  </si>
  <si>
    <t>Josef de Mesia y Caicedo</t>
  </si>
  <si>
    <t>…emigio de la Santa y Ortega, á D. Diego Antonio Navarro Martin de Villodres. Asimismo se ha servido S. M. conferir plaza de oidor en la Real audien cia de México, por promoción de D. Josef de Mesia y Caicedo á regente de la propia, á D. Francisco Antonio de Velasco, alcalde electo del crimen de ella: la fiscalía del crimen de dicha audiencia de México, vacante por trasla ción á la de Goatemala de D. Juan Ramón de Oses, á D. Josef Ignacio de Berrazuera ; la fhcalí…</t>
  </si>
  <si>
    <t>Calabtfi, Julio RufTo de</t>
  </si>
  <si>
    <t>Julio RufTo de Calabtfi</t>
  </si>
  <si>
    <t>…e la villa de Huetos. La justicia y escribano de la villa de Millana. El cura párroco y ayuntamiento de Cañaveruelas. hladrid 22 de Julio. El dia 7 del corriente llegó á Madrid el Sr. D. Julio RufTo de Calabtfi, Príncipe de Scilla, embajador extraordinario de S. M. el Rey de las í Dos Sicilaas: y en 9 del mismo tuvo el honor dé presentar sus credenciales á S. M., por quien fue recibido con aquel agrado y complacencia propia de los estrechos vínculos de amistad y par…</t>
  </si>
  <si>
    <t>Calderón, Juan Rodríguez</t>
  </si>
  <si>
    <t>Juan Rodríguez Calderón</t>
  </si>
  <si>
    <t>164</t>
  </si>
  <si>
    <t>…ue del general O-Donell en ei egército de Cataluña, para comunicarle un asunto que pue de serle de importancia. La persona que lo supiese tendrá' la bondad de avisarlo al teniente coronel D. Juan Rodríguez Calderón, calle de los Remedios, núm, 22, cuarto secundo. La persona que supiere del paradero ó existencia de Doña Ursola Feardielo de Urquinaona, ó de sus herederos si hubiese fallecido, se servirá avisarlo en esta corte á D. Eugenio Mena, bajada de la plazuela de St…</t>
  </si>
  <si>
    <t>Calderón, Pedro</t>
  </si>
  <si>
    <t>Pedro Calderón</t>
  </si>
  <si>
    <t>…Córdoba , el gran du que de Alba, Arias Montano, D. Francisco Quevedo y Villegas, y D. Juan de Ferreras. —Cuaderno 3.0: Hernán Cortés, Garcilaso de la Vega, D. Alonso de Ercilla, D. Pedro Calderón de la Barca, Miguel de Cervantes Saavedre, y D. Jo&gt;sef Patino.— Cuaderno 4.0: D. Antonio Agustín, D. Sancho Dávila, D. Juan de Austria, D. Alvaro de Bazan, Antonio de Nebrija, y D. Pedro Menendez Avilés.zzCuaderno 5 °: D. Juan de Austria, Fr. Luis de Granada,…</t>
  </si>
  <si>
    <t>Calderón, Rodrigo</t>
  </si>
  <si>
    <t>Rodrigo Calderón</t>
  </si>
  <si>
    <t>…as finas, á 24 rs. en pasta. Se hallaran en las librerías de B.run, frente á las gradas de S. Felipe, y de Rodríguez, calle de las Carretas. Nicimíento, vida, prisión, y muerte de D. Rodrigo Calderón, marques de Sie te Iglesias, conde de la Oliva &amp;c., por D. Gerónimo Gascón de Torquemada, apo sentador de S. M. y de la cámara del Sermo. Sr. Infante D. Carlos, su amigo y tes tigo de vi ta á todo lo que refiere: un tomito en 8.° á 6 rs. en pasta y 4 en rústi…</t>
  </si>
  <si>
    <t>Calera, Andrés</t>
  </si>
  <si>
    <t>Andrés Calera</t>
  </si>
  <si>
    <t>…litar de Segovia; á Tos caballeros cadetes D. Eaureano, ü£uloaga y del Arco , D. Luis ,C^s.ti.llá y de Castilla ,, D. Fran-, ciscó Castilla y/4e Castilla p.j.Bartoloméy Spldevilla D. Andrés Calera, yiRosas., D.; juáin itiéVI&gt;ios.1Dig^"rdenMojíes, D., Jo§ef Vernaci y; Aguado ,&lt; D. Rasrion tQrtii rdatMon$eUía.n¡ól D. ¡Pedro: . Whirte» y Fleming, D. Miguel Whirte y Flemifig^ D. «Trinidad Caraveo y Lavalle, D. Alejan dro Ainirola y Pal vía-, D. Eusebio Fer…</t>
  </si>
  <si>
    <t>Calixto</t>
  </si>
  <si>
    <t>…ro, ocho careases, 28 caballos, tres muías y otras varias cosas, hasta la correspondencia del cabecilla Correa. Entre los gefes muertos io fue el cabecilla Peralta. La división de D. Calixto solo sufrió la desgra cia de dos hombres heridos. Sigue un oficio del gobernador de Veracruz, con un parte que recibió del comandante del cantón de Thcotalpan D. Juan Bautista Topete, avi sándole de haber mandado una división de 114 hombres al mando del te ni…</t>
  </si>
  <si>
    <t>Calleja, Féix M-iú</t>
  </si>
  <si>
    <t>Féix M-iú Calleja</t>
  </si>
  <si>
    <t>…mente de mi conciencia y del deseo del bien general de u d&lt; s. Dios guarde á V. E. muchos años. México Diciembre n de i W15. = Excmo. 6r. = Josef María Morelos. =sExcmo. Sr. virey D. Féix M-iú Calleja. Bando de indulto publicado en esta capital el 2% del corrietre. D- Fé ix María Calleja del Rey &amp;c. Después de los repe.id s ir Jul os concedidos por este superior Gobierno á los que s;n la mas . «e ca». a ”¡ apariencia de razón, y solo por efecto de su ambic…</t>
  </si>
  <si>
    <t>Calleja, Féix Mana</t>
  </si>
  <si>
    <t>Féix Mana Calleja</t>
  </si>
  <si>
    <t>…se divulguen en e! modo y ti* arpo que uniere pe r conveniente. Dios guarde a V. E. muchos años. Id ex ico Diciembre io re i$i Excmo. Sr. = Josef María Morelos. = Excmo. Sr. virey D. Féix Mana Calleja. Excmo. Sr.: Por lo que pueda importar á la pacificación de mi patria, suplico ¿ V. E. que al sencillo manifiesto que le dirigí ayer se añada ene parr fi : Por último, en este memento en que por la infinita misericordia de Dire las verdades ha» disipado n is…</t>
  </si>
  <si>
    <t>Calleja, Félix María</t>
  </si>
  <si>
    <t>Félix María Calleja</t>
  </si>
  <si>
    <t>…les el premio que fuere de su superior agrado. ,, Dios guárde á V. É. muchos áños. Atenango del Rio ó de Noviembre de 1815. = Excmo. St.„= Eugenio de Villasana. =Excmo. Sr. vi-iey D. Félix María Calleja.” El Excmo. Sr. virey, satisfecho de la puntualidad, zelo y valor con que este gefe y Villasana han cumplido sus órdenes en unión de la bizarra tropa que mandan , ha dispuesto dar los premios convenientes en nombre de nues tro augusto Soberano , y para elío h…</t>
  </si>
  <si>
    <t>…y órdenes posteriores, gozan de terminadas clases en Jas de la Península de igual especie; y habiendo tenido presente lo que sobre este punto ha expuesto el Virey de Nueva España Don Félix María Calleja, con motivo de la duda ocurrida á los Ministros de la Tesorería general de México al tiempo de ajustar al batallón i.° Americano, el parecer del Inspector general de América D. Francisco Xavier Abadía, y la circunstancia de que los sueldos y prest asignados á…</t>
  </si>
  <si>
    <t>Calleja, Juan Antonio</t>
  </si>
  <si>
    <t>Juan Antonio Calleja</t>
  </si>
  <si>
    <t>…rmino de 30 dias ptscisos, á los here deros del canónigo de Cuenca D. Juan Bautista López Raez para que comparezcan en el citado tribunal á deducir su derecho contra los bienes de D. Juan Antonio Calleja, sobre restitución de lo robado á su causante la noche del 18 de Marzo de 18(4, bajo la calidad ordinaria de que si dejasen pasar este término no serán oídos: al efecto podrán acudir por la escribanía de cámara del cargo del Sr. D. Ignacio An tonio Martínez.…</t>
  </si>
  <si>
    <t>Cálvelo, Andrés</t>
  </si>
  <si>
    <t>Andrés Cálvelo</t>
  </si>
  <si>
    <t>…ontinuará.') Por providencia de los Sres. del Real y supremo Consejo de Castilla, y su sala de Provincia, se cita, llama y emplaza á D. Pedro Gómez de Rozas, vecino de esta corte, D. Andrés Cálvelo, D. Manuel de Entrambasaguas, D. Manuel Cano, D. Luis de Nestrosa , O. Antonio Castillo de Lerin, apoderados del conde de Vistaflorida, de D. Josef Manuel de Trevilla, D. Josef Rubiano y otros consortes, acreedoies á la testamentaria de D. Manuel Rivas Aibear…</t>
  </si>
  <si>
    <t>Calvillo, María Teresa</t>
  </si>
  <si>
    <t>María Teresa Calvillo</t>
  </si>
  <si>
    <t>…mbrarle brigadier de caballería de sus egércitos con la antigüedad de 24 de Abril de ib 10. El teniente de fragata de la Real armada D. Ramón Tamayo, como hijo y único heredero de Doña María Teresa Calvillo , viuda de D. Ramón Ta mayo, oficial que fue de la contaduría principal de la renta del tabaco, ha hecho á S. M. el donativo de 9459 rs. 24 mrs. vn., procedentes de la pen sión que tenía dicha viuda de 3500 rs. en el monte pió de oficinas, cuya cantidad alcan…</t>
  </si>
  <si>
    <t>Calvo, Antonio Merino y</t>
  </si>
  <si>
    <t>Antonio Merino y Calvo</t>
  </si>
  <si>
    <t>…Sánchez: para la de Cañete de las Torres á D. Indalecio Coro nel: para la de Orce á D. Francisco Saturio de Puerta: para la de Bonillo á D. Jcaquiu González: para la de Aimanza á D. Antonio Merino y Calvo: para la de Quesada á D. Dionisio González: para la de Palma del Rio á D. Cristóbal Benitez: para ía de Salas de los Infantes á D. Sandalio de Or ne y Garav : para la de Villalba de Alcor á D. Pedro Brenes Lobato: para la del Viso de Alcor á D. Antonio María…</t>
  </si>
  <si>
    <t>Calvo, Luis Bartolomé</t>
  </si>
  <si>
    <t>Luis Bartolomé Calvo</t>
  </si>
  <si>
    <t>…er pretcnsión á dicho magisterio ha de estar aprobado por el Consejo, y con esta circunstancia remitirá su memorial al ayuntamiento de dicha villa, ó á. su apoderado en esta corte D. Luis Bartolomé Calvo,‘qúeyive'callé del Pez, núm. 3. En la villa de Angui'ano,' provincia de Burgos, se halla vacante la cátedra de latinidad: tiene de dotación 200 ducados pagados por meses, casa de balde para vi vir el preceptor, y ademas 8 rs. mensuales por cada alumno, bien s…</t>
  </si>
  <si>
    <t>Calvo, Román Lorenzo</t>
  </si>
  <si>
    <t>Román Lorenzo Calvo</t>
  </si>
  <si>
    <t>…orio término de 6o días, contados desde esta fecha, que. por primero, segundo, tercero y último se les con cede, acudan á dicho juzgado privilegiado y escribanía de él, que egerce D. Román Lorenzo Calvo, que lo es de cámara de dicho supremo consejo de la Guerra, por medio de procurador con poder bastante á deducir el derecho de que crean hallar se asistidos; con apercibimiento que pasado sin haberlo hecho les parará el perjui cio que haya lugar. En ia viiia…</t>
  </si>
  <si>
    <t>…ntorio término de 60 dias, contados desde esta fecha, que por primero, se gundo, tercero y último se Ies concede, acudan á dicho juzgado privilegiado y escribanía de él que egerce D. Román Lorenzo Calvo, que lo es de cámara de di cho supremo consejo de la Guerra por medio de procurador, con poder bastante, á deducir el derecho de que respectivamente crean hallarse asistidos; con apercibi miento que pasado sin haberlo hecho les parará el perjuicio que haya lu…</t>
  </si>
  <si>
    <t>5)4 timo ¿e les concede, acudan á dicho juzgado privilegiado, y escribanía de ¿1 , que cgcrce D. Román Lorenzo Calvo, que lo es de cámara de dicho supremo consejo de la Guerra, por medio de procurador con poder bastante á deducir el derecho de que respectivamente crean hallarse asistidos; con apercibimiento que pasado sin ha berlo hecho les pirará el perjuicio que haya luga…</t>
  </si>
  <si>
    <t>968</t>
  </si>
  <si>
    <t>…lo egecuten en el término de 40 dias, que empezaron á correr y contarse desde 31 de Agosto último, acudiendo i presentar sus títulos y grados á la escribanía de cámara de cargo de D. Román Lorenzo Calvo, escribano de cámara del ex presado Consejo. A consecuencia de Real orden de S. M. se ha señalado el dia 13 de Oc tubre próximo para celebrarse en las oficinas del Crédito público en Badajoz los primeros reinares de la dehesa de la Plata , sita en término de…</t>
  </si>
  <si>
    <t>…a corte el dia 15 de Junio último, para que en el preciso término de 30 dias, que por primero se les concede, acudan á dicho juzgado privilegiado y escribanía del mismo que ejerce D. Román Lorenzo Calvo, que lo es de cámara de dicho Consejo supremo de ia Guerra , por medio de procurador de les Reales Consejos con poder bastante á de ducir el derecho que respectivamente juzguen hallarse asistidos; con apercibimiento que pasado dicho término sin hacerlo íes pa…</t>
  </si>
  <si>
    <t>…Antonio Hernández, para que dentro del preciso tér mino de 10 dias, que por tercero y ultimo se les concede, acudan á dicho juzgado privilegiado y escribanía del mismo al cargo de D. Román Lorenzo Calvo, que lo es de Cámara de dicho Supremo Consejo, por medio de procurador, con poder bas tante á deducir el derecho de que crean hallarse asistidos; con apercibimiento que pasado dicho término sin hacerlo, se harán y determinarán dichos autos de abintes tato con…</t>
  </si>
  <si>
    <t>Calzada</t>
  </si>
  <si>
    <t>…e Enero dicen de Fasto lo siguiente: De Popayan ?e ha recibido por conducto seguro una noticia exicta del estado del reino. En Chi ta, que está dos dias distante deTunja, atacó el general Calzada al insurgen te Urdaneta, quien perdió toda su gente, habiendo muerto macho?, y entre los prisioneros se cuentan los franceses Servier y Tufort, que sin demora fue ron pasados por las armas. Esta noticia, la aproximación de los espinóles vencedores en Chita, y…</t>
  </si>
  <si>
    <t>Calzadilla, Josef</t>
  </si>
  <si>
    <t>Josef Calzadilla</t>
  </si>
  <si>
    <t>…igual licuor la de la villa de Hinojosa del Duque, partido de la Serena, compuesta deí corregidor y presidente de aquel ayuntamiento D. Eugenio Jabalquinfo y Portillo, del regidor D. Josef Calzadilla , y del escribano D. Josef Navarro Berrocoso, quienes después de besar las'Reales manos de S. M. y A. les manifestaron los expresivos sen timientos de fidelidad y amor que animan á aquellos habitantes, á cuyas lea les demostraciones correspondieron S. M. y A.…</t>
  </si>
  <si>
    <t>Calzadilla, María</t>
  </si>
  <si>
    <t>María Calzadilla</t>
  </si>
  <si>
    <t>…ados, recibió una medalla de oro de cuatro duros, y un egemplar ia colección de muestras de D. Torcuato Torio, y otro premio igual Doña María Sosa por la misma razón. A la maestra Doña María Calzadilla se le dió una medalla de plata para empeñar su aplicación. Habiendo adjudicado el premio í los dibujos de cuerpo entero de Nico lás Romero y de Josef Cabrera ,y no siendo mas que una la medalla de ora de dos duros que debia darse, el director añadió de suyo o…</t>
  </si>
  <si>
    <t>Cam, Juan de</t>
  </si>
  <si>
    <t>Juan de Cam</t>
  </si>
  <si>
    <t>…dos á '2o rs. y 90 en efectivo 1050 : el gremio de cereros 370 : el de cedaceros 74: el arte de cerragería 280: el de tintoreros 715. Personas que han contribuido por separado, El Sr. D. Juan de Cam pos , corregidor, 5122 rs. y 4 mrs. : D. Rafael Valcárcel ofrece los réditos de un Real juro que se le están debiendo, y sin perjuicio de la liquidación que debe formarse en la contaduría general de distribución de Real hacienda, importa 49117 en créditos: D.…</t>
  </si>
  <si>
    <t>Camacho, Juan</t>
  </si>
  <si>
    <t>Juan Camacho</t>
  </si>
  <si>
    <t>…y D. Melchor Castaños, por su zelo y trabajos en la formación y des empeño de las baterías, en que no han reposado dia y noche. „ Al teniente coronel del Real cuerpo de ingenieros D. Juan Camacho y al capitán de zapadores D. Sebastian Díaz les estoy muy reconocido, al pri mero porque dirigió la acción en que se derrotó á los enemigos en la isla dei Barú con ei capitán del batallón del Rey D. Simón Sicilia, habiéndose tam bién acreditado en otras opera…</t>
  </si>
  <si>
    <t>…uadrón del regimiento de húsares de Fernando vil, D. Antonio Casano , sargento mayor de Artillería graduado de teniente coronel , D. Manuel Barreiro", capitán de Artillería ídem , D. Juan Camacho, capitán de Ingenie ros ídem, D. Ildefonso de Sierra, teniente coronel del regimiento infantería de la Victoria , D. Rafael de Zúñiga, teniente coronel de milicias disciplina das de Sta. Marta, al teniente coronel D. Manuel Zequeira, gobernador in terino de S…</t>
  </si>
  <si>
    <t>Cámara, Rafael Bautista</t>
  </si>
  <si>
    <t>Rafael Bautista Cámara</t>
  </si>
  <si>
    <t>…las cruces deTalavera, segundo egército y estrella del Norte, y gobernador político y militar de la ciudad de Almagro y su partido, que con D. Manuel de Ortega,capitán retirado, y D. Rafael Bautista Cámara forma ban la diputación, á nombre de la cabeza y demas pueblos del campo de Calatrava. El primero arengó á S. M. y A. , quienes quedaron satisfechas del afecto y fidelidad de aquellos naturales: dicha diputación siguió hasta Man zanares , término de dicho cam…</t>
  </si>
  <si>
    <t>Camarón, Josef</t>
  </si>
  <si>
    <t>Josef Camarón</t>
  </si>
  <si>
    <t>…afael Estere y otros: á 1 a rs. cada una.rzLa plegaria de amor, dibujada y grabada por D. Blas Ametller: á 16 rs.r=El amor maligno, por el original de Aníbal Caracci, dibujada por D. Josef Camarón, y grabada por Don Rafael Esteve: á 16 rs.zz Retrato del V. Fr. Sebastian Sillero, del original de Don Gregorio Ferro, grabada por D. Manuel Salvador Carmona: á 10 rs. ~Retrato de Carlos n, del original de Claudio Coello, grabado por D. Luis Nose^et: i 8 rs.=…</t>
  </si>
  <si>
    <t>…Real Calcografía, sita en la «mprenta Real. Estampa¿ en cuartilla de marca mayar. Cuadernos del tomo segun dóle trages de España, del original del Ticiano, copiados y grabados por D. Josef Camarón, iluminadas á 20 r$. izrldem sin iluminar á 6. rz Retrato de D. Juan Palomino, grabado por D. Ton»s Engrúdanos, á 2 rs. zf Retrato de D. Rafael Mengs, a 2 rs zr:Trece estampas de varios'pensamientos, inventados y grabados al 3§ua fuerte por D. Ramón Fayeu, á…</t>
  </si>
  <si>
    <t>Cambrone</t>
  </si>
  <si>
    <t>…des preparativos 4e guerra contra Cristóbal. Las hostilidades de bían principiar inmediatamente p or el ataque de S. Marcos y de losConaives. Ei dia 25 se vió la causa for mada al general Cambrone, y se declaró por</t>
  </si>
  <si>
    <t>…con tra uno, que no es culpable de haber atacado á la Francia y su Gobierno á mano armada; 3,0 que no es cómplice de haberse apoderado del poder con violencia. En consecuencia el general Cambrone está absuelto de la acusación j pe ro no se le pondrá en libertad hasta que pasen 24 horas. Idem El 22 del corriente llegó á Francfort la Princesa Esferazy, que por París debe dirigirse á Londres, en donde se unirá con su esposo ministro de Aus tria cerca de…</t>
  </si>
  <si>
    <t>Campaya, Joaquín Martínez</t>
  </si>
  <si>
    <t>Joaquín Martínez Campaya</t>
  </si>
  <si>
    <t>…e la de Canarias, Asimismo se ha dignado nombrar S. M. para el corregimiento de letras de la ciudad de Avila al auditor de guerra D, Mariano Ruiz Lorenzo: para el de Tordesillas á D. Joaquín Martínez Campaya: para el de Montejaque á D. Félix Fernandez Aviles: para el de Villamartin á D. Nicolás Díaz Molin; y para el de Rueda del Almirante á D. Dámaso Megía Girón. También se ha servido el Rey nombrar para la vara de alcalde mayor de la ciudad de Berlanga á D. Jose…</t>
  </si>
  <si>
    <t>Campesino, Ignacio</t>
  </si>
  <si>
    <t>Ignacio Campesino</t>
  </si>
  <si>
    <t>…felicitar á S. M. por su con tratado y augusto enlace los Sres. Dr. D. Pedro Pertierra y Alvarez, chan tre de la Real iglesia colegiata de Sta. María de Arbas del Puerto, y el Dr. D. Ignacio Campesino; el-primero de los cuales arengó á S. M. en los tér minos siguientes: ; ¡-.V ,, Señor : El abad y cabildo dé vuestra Real iglesia colegiata de Sta. Ma ría de Arbas dei Puerto, en cuyo nombre y como comisionados ef Dr,Don Pedro Pertrerra&lt; y1 A’lvarez, canónigo…</t>
  </si>
  <si>
    <t>Campillo, Agustín González del</t>
  </si>
  <si>
    <t>Agustín González del Campillo</t>
  </si>
  <si>
    <t>…cas la sangre de los antiguos caciques, pues sin guerreros, sin armas, y con pocas facultades, animados sus pocos haoitantes por el valeroso é intrépido caudillo su gober nador el coronel D. Agustín González del Campillo, han resistido cinco años las repetidas invasiones de los insurgentes, que en crecido número han inten tado muchas veces apoderarse de aquella vuestra ciudad, siendo siempre re chazados con mucha pérdida, como lo publica la gaceta de México de 9 de Mayo del a…</t>
  </si>
  <si>
    <t>Campillo, Joicf del</t>
  </si>
  <si>
    <t>Joicf del Campillo</t>
  </si>
  <si>
    <t>…onde de Lemo&gt;.,el Mtro. Vicente Espinel, D. Jorge Juan, y D. Antort o de Uiloa. —Cua derno 17: D Pablo- de Sant* Marta, el P. Diego Lainez, Fr. Gerommo Graban de la M«drc de Dios, D. Joicf del Campillo, el cardenal D. Francisco de Mcndo-</t>
  </si>
  <si>
    <t>Campo, Anselmo del</t>
  </si>
  <si>
    <t>Anselmo del Campo</t>
  </si>
  <si>
    <t>…l á D. Tuan Galban Valiente, y para el de Castrojeriz á L&gt;. Francisco Fernandez ina: para la vara de alcalde mayor de Algarinejo á D. Jo* f V-n-nz de T jada: para la de Crecente á D. Anselmo del Campo: para la de Oáa a \j. Anto nio Rojo y Gandía: para la de Trigueros á D. Josef María Herrera: para la de Villarubia de los Ojos á D. Salvador Gramaje: para la Je Ayamot te á D. Juan de Padilla y Ortiz: para la vara segunda de teniente de asúrente de la ciudad…</t>
  </si>
  <si>
    <t>Campo, Antonio del</t>
  </si>
  <si>
    <t>Antonio del Campo</t>
  </si>
  <si>
    <t>…o de Vilches en el mismo reino, compuesta de Juan Bautista López Monroy, D. Juan del Campo, D. Manuel del Moral, D. Alonso Molina, D. Fran cisco Martínez Hervas, D. Josef de Lara, D. Antonio del Campo , D. Si món Matías de Mesa, D. Tomas Gallego , D. Juan de la Herrera y Godino y D. Francisco Herrera y Navarrete : todos los cuales en nombre de las corporaciones y pueblos que representaban manifestaron á S. M. y A. la sa tisfacción que les cabía*por ver ya…</t>
  </si>
  <si>
    <t>Campo, Francisco</t>
  </si>
  <si>
    <t>Francisco Campo</t>
  </si>
  <si>
    <t>…la univerddaJ de ia ciudad de Almagro con todas las prerojgacivas y distinciones que gozaba al tiempo de su supresión el año de 1807. El Rey nuestro Señor se ha servido conceder á D. Francisco Campo, -maestro tintorero y fabricante de paños en la ciudad de Cuenca, el privile gio de que pueda colocar el escudo de las armas Reales sobre las puertas de su fabrica en atención á los méritos y servicios que ha contraido en las fá bricas Reales, y ¿ la constant…</t>
  </si>
  <si>
    <t>Campo, Josef Romero</t>
  </si>
  <si>
    <t>Josef Romero Campo</t>
  </si>
  <si>
    <t>…sobre Rougemont de Lowemberg, de París: otra de 500 pesos fuertes dada en Cartagena en io.de Agosto de 1808 por Juan Francisco Martin á la or den de Doña María Antonia López sobre D. Josef Romero Campo , de Cá diz : otra de 1800 rs. dada en Cádiz á 29 de Noviembre de 1808 por Ra món Manuel Laífore á orden de D. Feliciano Antonio de Puyada sobre D. Santiago Angel de Velasco: otra de 160 id, dada en Vitoria á 11 de Enero de 18 it por Bagnere hermanos á la ord…</t>
  </si>
  <si>
    <t>Campo, Juan del</t>
  </si>
  <si>
    <t>Juan del Campo</t>
  </si>
  <si>
    <t>…iños y niñas todos los años, y ofreciendo premiar á los que mas se adelantasen en escribir, leer, doctrina y costura; y á mayor abundamiento se mandaron fijar edictos por el único alcalde D. Juan del Campo, previniendo á los pa dres y madres de familia que serian castigados con rigor si no enviaban sus niños á las escuelas, con otras disposiciones que le dictó su zelo por este tan interesante ramo. En efecto el 2 del corriente se celebraron en esta vá.a los pri…</t>
  </si>
  <si>
    <t>…Segovia, y los regidores D. Miguel Vico y D. Francisco del Corral; y otra de la villa y cabildo eclesiástico de Vilches en el mismo reino, compuesta de Juan Bautista López Monroy, D. Juan del Campo, D. Manuel del Moral, D. Alonso Molina, D. Fran cisco Martínez Hervas, D. Josef de Lara, D. Antonio del Campo , D. Si món Matías de Mesa, D. Tomas Gallego , D. Juan de la Herrera y Godino y D. Francisco Herrera y Navarrete : todos los cuales en nombre de las…</t>
  </si>
  <si>
    <t>Campo, Manuel Martínez del</t>
  </si>
  <si>
    <t>Manuel Martínez del Campo</t>
  </si>
  <si>
    <t>…o. y Excmo. Sr. cardenal Cebrian, patriarca de las Indias; el Excmo. Sr. inquisidor general de estos reinos , y los Sres. D. Tomas Apari^ ció Santin, colector general de Espolios; D. Manuel Martínez del Campo, del supremo Consejo de la Inquisición, sumiller de cortina de S. M., y audi tor de Rota en la corte de Ronva ; D. Gabriel de Hevia y Noriega , del mismo Consejo de la Inquisición, y D. Cayetano Campos , teniente principal cura de palacio, y honorario del mis…</t>
  </si>
  <si>
    <t>Campo, Miguel del</t>
  </si>
  <si>
    <t>Miguel del Campo</t>
  </si>
  <si>
    <t>…virey por el Sr. comandante general del egército del Sur el brigadier D. Josef Moreno y Daoiz. „ Excmo. Sr.: Con fecha it del actual me dice el comandante de las ar mas de Jalapa D. Miguel del Campo lo que copio: i, Comandancia militar de Jalapa-----El Sr. general de este egército y provincia con fecha 9 del corriente me dice lo que sigue: j, A las nueve de la noche del dia de ayer abandonaron los enemigos la inexpugnable fortificación de Puente del Rey,…</t>
  </si>
  <si>
    <t>Campománes, Francisco Fernandez de</t>
  </si>
  <si>
    <t>Francisco Fernandez de Campománes</t>
  </si>
  <si>
    <t>…uado matri monio, el Excmo. Sr. conde de Ahamira marques de Astorga, grande de España de primera clase, y canónigo titular y perpetuo por su ca:a de la santa iglesia de León, y el Sr. D. Francisco Fernandez de Campománes, arcediano de Maycrga en la misma, y auditor asesor de la Nunciatura Apos tólica , en representación del venerable deán y cabildo de dicha santa iglesia; y dijeron entre otras cosas lo siguiente: „'E1 cabildo de vuestra santa iglesia de León, penetrado de los…</t>
  </si>
  <si>
    <t>Campomanes, Josef Arguelles</t>
  </si>
  <si>
    <t>Josef Arguelles Campomanes</t>
  </si>
  <si>
    <t>…M. por su concertado enlace con Iá Serma. Sra. Infanta de Por tugal Doña María Isabel el Excmo. Sr. marques de Campo Sagrado, secretario de Estado y del despacho de ia Guerra , y D. Josef Arguelles Campomanes, individuo de la diputación general de dicho principado ¿ y el pri— mero arengó á S. M. en los términos siguientes : . .! * b ^ . ,, Señor: El principado de Asturias , cuna de la defensa de la ^religión y del trono, tiene la honra de felicitar á V. M. por su…</t>
  </si>
  <si>
    <t>Campos, Cayetano</t>
  </si>
  <si>
    <t>Cayetano Campos</t>
  </si>
  <si>
    <t>…l supremo Consejo de la Inquisición, sumiller de cortina de S. M., y audi tor de Rota en la corte de Ronva ; D. Gabriel de Hevia y Noriega , del mismo Consejo de la Inquisición, y D. Cayetano Campos , teniente principal cura de palacio, y honorario del mismo Consejo, dignidades y prebendados de la Sta. Primada iglesia de Toledo, tuvieron la honra en el dia 17 de Octubre de ofrecerse á los pies de SS. MM., presentarles cartas de su cabildo , felicitarles…</t>
  </si>
  <si>
    <t>Campuzano, Francisco María</t>
  </si>
  <si>
    <t>Francisco María Campuzano</t>
  </si>
  <si>
    <t>…dia io del corriente tuvieron la honra de ser admitidos á felicitar á S. M. por su augusto enlace á nombre de la ciudad de Logroño el Excelen tísimo Sr. marques de Monasterio y el Sr. D. Francisco María Campuzano, gobernador de las aduanas de Cantabria j el primero de los cuales dijo á S. M.: „ En este tan deseado como dichoso enlace con una Princesa que ofrece todo un conjunto de gracias y virtudes, ve la ciudad de Logroño consolidar se para muchos siglos la era de n…</t>
  </si>
  <si>
    <t>Campuzano, Francisco María de</t>
  </si>
  <si>
    <t>Francisco María de Campuzano</t>
  </si>
  <si>
    <t>…a de felicitar á SS. MM. por su augusto enlace, en nombre de la Real sociedad patriótica Riojana, el Esecmo. Sr. marques de Monasterio, como presidente de su diputación eri corte; D. Francisco María de Campuzano, como director de la misma so ciedad; D. Martin Fernandez iNavarrete, como secretario de la diputación,, y D. Vicente Eulate, individuo de ella; el primero de los cuales dijo á SS. MM.: „Señor: La sociedad patriótica Riojana, de quien somos los represen tante…</t>
  </si>
  <si>
    <t>Canabes, Pedro Antonio</t>
  </si>
  <si>
    <t>Pedro Antonio Canabes</t>
  </si>
  <si>
    <t>…, y teniente de corregidor de esta capital, dada por la escribanía del número de D. Cristóbal de Vicuña, se cita, llama y emplaza á D. Mariano Lanals, D. Be nito Capó y Paigsener, D. Pedro Antonio Canabes, apoderado del Dr. D. Pedro Antonio Arnér, de D. Bartolomé Amér y D. Pedro Francisco Morro, y á D. Bar tolomé Valentín Sorteja, tenedores de seis vales Reales de 300 pesos, creación de i.® de Setiembre, señalados con los números 57459» 57610» 58548, 58960, 59…</t>
  </si>
  <si>
    <t>Canales, Pedro González de</t>
  </si>
  <si>
    <t>Pedro González de Canales</t>
  </si>
  <si>
    <t>1426</t>
  </si>
  <si>
    <t>…a * el Exento, é limo. Sr. D. Francisco kequena, teniente general de los Reales egércitos, gran cruz de la orden militar de S. Hermenegildo, del consejo y cantara de Indias &amp;c., y D. Pedro González de Canales , caballe ro maestrante de la Real de Ronda, condecorado con la flor de Lis por S. M. Cristianísima j y el primero dijo: „Señor: La vuestra villa de) Rio, que en el dia 20 de Setiembre anterior tuvo ia dicha de que S. M. la Reina nuestra Señora y Scrtna. Sra.…</t>
  </si>
  <si>
    <t>Cañas, Donato</t>
  </si>
  <si>
    <t>Donato Cañas</t>
  </si>
  <si>
    <t>…uno: D. Ma nuel Rodríguez uno: D. Manuel Yolis dos: D. Bernardino 1 erremos uno: D. Valentín Bustamante dos: D. Joaquín Suarez uno: D Juan de Dios dos: D. Bernardo Bustamante uno: D. Donato Cañas dos: la viuda de Chicarro uno. Total 305 pares de zapatos y 30 rs. En el primer corteo de la lotería de vales Reales, celebrado el dra i.° de Agosto dJ año p.rado de 1S15 , salieron premiados con ocho vales cada rno los nú-nero* &gt; 8 1 \ iao;£ jugados en esta…</t>
  </si>
  <si>
    <t>Cañas, Manuel de</t>
  </si>
  <si>
    <t>Manuel de Cañas</t>
  </si>
  <si>
    <t>…mandante de marina de Cumaná, al Excmo. Sr. Secretario de Estado y del despacho universal de este ramo, que con la de 31 de Enero anterior le había dado parte el teniente de navio D. Manuel de Cañas, comandante de la go leta Ferro leña, de todas sus operaciones desde que llegó á su crucero del N. de aquella isla, reducido á tener en continuas alarmas á los insurgentes, so bre que les quemó la casa de vigía y de guardia, recogiendo antes el plano de señal…</t>
  </si>
  <si>
    <t>Cañed'o, Joaqurn</t>
  </si>
  <si>
    <t>Joaqurn Cañed'o</t>
  </si>
  <si>
    <t>…yen seguida el primer secretado del patronato- D. Joaquín Escudero llamó á- los que habían sido premia dos con respecto á su clase y mérito, que fueron con los premios- prime ros D. Joaqurn Cañed'o , D. Leo na rdo-García , D. Bernardo Cadenas, Don Joaquín Vargas y D. Mantiél Ribera: con los segundos D. Juan García Cefedonó’ Casado, D. Francisco. Canillas, D-. Máximo de Vargas y Don‘Ge»Bíuo Salgado , D. Pedia Gómez y D. Pedro Miguel; y con los tetcetoi</t>
  </si>
  <si>
    <t>Caneda, Juan</t>
  </si>
  <si>
    <t>Juan Caneda</t>
  </si>
  <si>
    <t>…los niños con sentido y ortografía, en cuya ciase fue pre miado D. Josel Nogueira: se vieron los escritos de los de esta clase, y ana liza Joí con mi lurez se adjudicó el premio á D. Juan Caneda; y al lin se ha instruido el publico y ei ayuntamiento de la exactitud del maestro, entre gado todo a la educación lina de los niños, á quienes ha instruido en la doc trina de Fieuri, y aun de Pouger, en leer, escribir, y en los principios de aritmética; por…</t>
  </si>
  <si>
    <t>Canelas, Julián</t>
  </si>
  <si>
    <t>Julián Canelas</t>
  </si>
  <si>
    <t>…............................................................ £•' 48' ‘ 12",&gt; Medidas de las distancias de los cuernos y partes claras del so13 -duran te el eclipse, observadas por D. Julián Canelas con un cata torzal de Dollond de triple objetivo} t pie 2,70 pulgadas de focas y 2 pulga das de abertura} teniendo adoptada un helionietto elíptico de su uso, di vidida en de pulgada’ Distancias de los cuernos. Horas. ' Minutos. Segundos. Pulgadas. Décimas; V…</t>
  </si>
  <si>
    <t>…' Hidrografía................................................ 40o 25/ N. Longitud oriental de Cádiz........... ........... io' 22n de tiempo. Hallándose de tránsito en esta corte D. Julián Canelas para su destino eti la Isla de León, tendrá particular satisfacción en que le comuniquen las ob servaciones de este eclipse que se hayan hecho en otras partes de la penínsu la, parapublicarlas con el resultado de sus cálculos. II—IIIM.IM m .fin— —MI» ........…</t>
  </si>
  <si>
    <t>Canelas, Julián Ortiz</t>
  </si>
  <si>
    <t>Julián Ortiz Canelas</t>
  </si>
  <si>
    <t>I29? El eclipse parcial de sol ocurrido este dia ha sido observado en la direc ción de hidrografía de esta corte por los capitanes de navio D. Julián Ortiz Canelas, director del Real observatorio astronómico de marina de la ciudad «e $. Fernando , y D. Felipe Bauza , que lo es de dicho establecimiento hi drográfico, quienes para la mejor determinación del eclipse calcularon anti cipadamente todas sus fases r y para la o…</t>
  </si>
  <si>
    <t>…eta. Observación hecha‘én la casa déla Dirección de hidrogaíia de esta cor te del eclipse parcial de luna, ocurrido en la noche del dia 4 del corriente, por los capitanes dé navio D. Julián Ortiz Canelas y D. Felipe Bauzá, con acromáticos de doble objetivo 3 pies, 7 pülgadas de focus y 2£ pulgadas de abertura ¿ teniendo aplicados los tubos terrestres que ampliíican 30 veces. Tiempo medio. , Principio del eclipse en los anteojos.......................................... 6h 5i'…</t>
  </si>
  <si>
    <t>Cañete, Pedro Vicente</t>
  </si>
  <si>
    <t>Pedro Vicente Cañete</t>
  </si>
  <si>
    <t>TI?2 iistelítéoáttMi tle la Ac Lima: para la. fiscalía de Iq .civil de la audiencia de Charcas á D. Josef Alvarez Acevedo y Salazar: para .una plaza de endeu de Ja de Quito á D. Pedro Vicente Cañete, por traslación á otra del Cuzco de D. Migqel: Otertfñji ’ para otra .dé oidor de la jnjswia audiencia de Quito 4 D. Jya$¡B¡aprt&amp;$ y í^ayja , por promoción de D. Santiago Corbalan á otra del Cuzco: para la. plaza de regente de la. audiencia de Lima á D. Franc…</t>
  </si>
  <si>
    <t>Canillas, Lázaro</t>
  </si>
  <si>
    <t>Lázaro Canillas</t>
  </si>
  <si>
    <t>D. Felipe Crespo , D. Blas Domínguez, D. Joaquín Lumeras, D. josef García, D. Lázaro Canillas y D. Tomas Asensio. D. Manuel Fernandez, D. Bernardo de la Iluerga y D. Andrés Redonzo lo fueron igualmente con unos lazos de distinción. Todas estas condecoraciones, colocadas en ricas bandejas, con las medallas de plata puestas en lazos de distintos co lores, fueron distribui…</t>
  </si>
  <si>
    <t>Canipománes, Francisco Fernandez de</t>
  </si>
  <si>
    <t>Francisco Fernandez de Canipománes</t>
  </si>
  <si>
    <t>…pasado tuvieron la honra de presentarse á S. R. M. los Sres. D. Miguel Alfonso Villagomez, caballero de la Real y distinguida or den de Cirios m, y consejero en el de Castilla, y D. Francisco Fernandez de Canipománes, dignidad de la santa iglesia de León , y auditor asesor de la Nunciatura Apostólica, para Felicitar á S. M. en representación del muy ilustre ayuntamiento de la ciudad capital y provincia de León, con el plausible mo tivo de su efectuado matrimonio con la Re…</t>
  </si>
  <si>
    <t>Canivell, Ignacio</t>
  </si>
  <si>
    <t>Ignacio Canivell</t>
  </si>
  <si>
    <t>…nel del Real cuerpo de ingenieros D. Josef Parreño; Don Juan Antonio de Rojas Queipo, racionero de la santa iglesia de Caracas; Don Domingo de Mier y Mioño, maestrante de Sevilla; D. Ignacio Canivell, consejero de Hacienda; D Josef Cesáreo de la Rosa, medio racionero de la santa iglesia de Guadalajara de Indias; D. Lúeas de Ontañon y Prado, teniente del regimiento de húsares de Veracruz , y D. Joaquín Marta Ferrer, capi tán del regimiento de voluntarios d…</t>
  </si>
  <si>
    <t>Cano, Antonio</t>
  </si>
  <si>
    <t>Antonio Cano</t>
  </si>
  <si>
    <t>237</t>
  </si>
  <si>
    <t>…bandonado á sus habitantes mucha parte de los cabecillas que los han engañado, y algunos de sus secua ces , en unos buques corsarios que tenían en sus puertos, he dispuesto que el brigadier D. Antonio Cano tome posesión de ella, dando aviso al general Mo rillo que se halla en Copique. Avisólo á V. para la satisfacción de ese pú blico; y dirija V. copia de este oficio al gobernador de Maracaibo___ Por una posdata de una carta del secretario de la capitanía gener…</t>
  </si>
  <si>
    <t>…untos mas avanzados, y á poco tiempo lo egecuté yo, y en mi compañía el general Enrile y el coronel de artillería' 15. Gabriel de Torres, pasando órdenes sin la menor detención al brigadier D. Antonio Cano, situado en el punto de Ternera, yá los demas de la línea, para que aceleradamente se acercasen todas las tropas á la ciudad. Ai tiem po de entrar en ella fui informado de que los enemigos trataban de volver á desembarcar, con cuya noticia corrí rápidamente s…</t>
  </si>
  <si>
    <t>…misión de subsistencias, han desempeñado sus encargos con una actividad y zelo'que ha interesado mucho al servicio, y merecen sé les tenga en consideración para sus ascensos. „ El brigadier D. Antonio Cano, que ha estado mandando la división del ala aerecha en Ternera, ha trabajado con el zelo infatigable que le es carac terístico, sin haber querido separarse de la línea para restablecer su salud, 2 pesar de haber sufrido mucho en la enfermedad de que ha sido a…</t>
  </si>
  <si>
    <t>…ral. Al instante hice marchar los cazadores á las órdenes del te niente coronel D. Francisco Warleta en unión del comandante del escua drón delPerú D. Ignacio Landazuri ; mandé al brigadier D. Antonio Cano siguiese con toda la fuerza dé su cantón y la de Warletá hasta encontrar re sistencia, y no hallándola hasta-entrar en la plaza. Dispuse qué él coronebde la Victoria siguiese con su Regimiento, y en este orden avanzó toda la línea á la ciudad en menos de hora…</t>
  </si>
  <si>
    <t>Cano, Benito</t>
  </si>
  <si>
    <t>Benito Cano</t>
  </si>
  <si>
    <t>…se. Pastoral de nuestro santísimo padre Benedicto xiv siendo cardenal arzobispo de la santa iglesia de Bolonia, é instrucciones eclesiásticas para su diócesi: sexta im presión por D. Benito Cano: 2 tomos en 4.0 Se hallará á 24 rs. á la rústica en el despacho de libros deXa'oorda, calle Mayor, portal de Manguiteros. Los sacerdo tes podrán comprarlo por la mitad de su precio, celebrando ademas una misa. Instituciones juris naturae, et geutium secundum…</t>
  </si>
  <si>
    <t>Cano, Cipriano Tellez</t>
  </si>
  <si>
    <t>Cipriano Tellez Cano</t>
  </si>
  <si>
    <t>…ias pasadas. Madrid 21 de Junio. El día 8 del corriente la diputación de las villas y lugares del valle de la Cueza y del arcipreste y clero de su partido, compuesra del prebitero D. Cipriano Tellez Cano, condecorado por S. M. con la cruz roja militar de las primitivas cruzadas , canónigo electo de la santa iglesia catedral de Za mora, y del teniente coronel D. Eugenio Tellez Cano . tuvo el honor de fe licitar á S. M. con motivo de su augusto tratado nuevo en…</t>
  </si>
  <si>
    <t>Cano, Eugenio Tellez</t>
  </si>
  <si>
    <t>Eugenio Tellez Cano</t>
  </si>
  <si>
    <t>…bitero D. Cipriano Tellez Cano, condecorado por S. M. con la cruz roja militar de las primitivas cruzadas , canónigo electo de la santa iglesia catedral de Za mora, y del teniente coronel D. Eugenio Tellez Cano . tuvo el honor de fe licitar á S. M. con motivo de su augusto tratado nuevo enlace , habiendo Aungr.do el primero á S. M. en los términos siguientes: „ Señor : Los representantes de las villas y lugares del valle de la Cueza y del venerable arcipreste y cler…</t>
  </si>
  <si>
    <t>Cano, Leónde la Cámara</t>
  </si>
  <si>
    <t>Leónde la Cámara Cano</t>
  </si>
  <si>
    <t>…as Continuará todos los lunes, miércoles y viernes, no siendo festivos. t A instancia del P, procurador de las Escuelas Pías del Avapies de está corte sé háh formado autos ante el Sr. D. Leónde la Cámara Cano, del consejo de S. 'M;, teniente primero de corregidor dé esta herbica villa, y escribanía de número de Don Claudio Sanz, ert razbn cíe que se declaren de su pertenencia diferentes vales Rea les retenidos en la oficina de renovación, entre otros tres de á 300…</t>
  </si>
  <si>
    <t>Cano, Manuel</t>
  </si>
  <si>
    <t>Manuel Cano</t>
  </si>
  <si>
    <t>…al y supremo Consejo de Castilla, y su sala de Provincia, se cita, llama y emplaza á D. Pedro Gómez de Rozas, vecino de esta corte, D. Andrés Cálvelo, D. Manuel de Entrambasaguas, D. Manuel Cano, D. Luis de Nestrosa , O. Antonio Castillo de Lerin, apoderados del conde de Vistaflorida, de D. Josef Manuel de Trevilla, D. Josef Rubiano y otros consortes, acreedoies á la testamentaria de D. Manuel Rivas Aibear, vecino y del comercio que fue de esta corte…</t>
  </si>
  <si>
    <t>Cano, Pedro</t>
  </si>
  <si>
    <t>Pedro Cano</t>
  </si>
  <si>
    <t>…z del Aguila: para la de Alarcon á D. Alonso Ramón Rubio: para la de Alaejos á D. Juan Rabanal y Hevia: para la de Torrelobaton á D. Eugenio Hernández Borbon: para la de Siruela á D. Pedro Cano: para la de Teba á D. Juan Alonso de Prado: para la de la Coruña á D. Manuel Fernandez .Duran: para la de Miranda del Castañar á D, Francisco Cornsgo: para la de Fuente de Cantos á D. Roque Naranjo: para la de Jarandilla á D. Josef González: para la de Salas…</t>
  </si>
  <si>
    <t>Canova</t>
  </si>
  <si>
    <t>…s austríacos de mil en mil pasos piquetes de tropas para mantener la policía. Idem jcl. Se disputa mucho en nuestras academias y tertulias sobre los honores que se han de hacer al caballero Canova, y el modo de recibir las preciosidades artísticas que trae de Francia, sobre cuyos puntos se han publicado diversos programas, aunque hasta ahora no se ha adoptado ninguno. Parece cierto que las estatuas se depositarán en el coliseo, y las pinturas en la igl…</t>
  </si>
  <si>
    <t>Cánovas, Josef María Pau y</t>
  </si>
  <si>
    <t>Josef María Pau y Cánovas</t>
  </si>
  <si>
    <t>…edondo, contador de la tesorería general; D. Antonio Josef Melgarejo , vecino de la villa de S. Cle mente ; D. Lorenzo Delgado, presbítero y comisario del Sto. Oficio de Se villa; D. Josef María Pau y Cánovas, vecino de Huesca; D. Ramón Anto nio Pico,.contador de la provincia de la Mancha; D. Josef de Alburruza, coronel de los Reales egérciros; D. Manuel Hernández , comisario ordenador, y regidor de la ciudad de S. Juan de Puerto-Rico; barón de Ortiz, digni dad de…</t>
  </si>
  <si>
    <t>Canseco, Pedro Diez</t>
  </si>
  <si>
    <t>Pedro Diez Canseco</t>
  </si>
  <si>
    <t>…ras: para el de Montejaque á Don Josef Moreno Ramírez : para el de Jodar á D. Florencio García Colmenero: para el de Setenil á D. Josef París y Romero, y reponer en el de Dueñas á D. Pedro Diez Canseco: para la vara de alcalde mayor de Roa á D. Do mingo Fuentenebro : para la de Potes á D. Mariano Muñoz Gómez Henriquez: para la de Cervera del Rio Pisuerga á D. Josef Joaquín Yagiie: para la de Mairena de Alcor á D. Miguel Gordo: para la de Villadiego á D. Ca…</t>
  </si>
  <si>
    <t>Cantalapiedr, Josef</t>
  </si>
  <si>
    <t>Josef Cantalapiedr</t>
  </si>
  <si>
    <t>…uno:D. Santiago Treve uno: D. Juan Hechilla uno: D. Ricardo Muñoz uno: D. Marcos Unzue uno: D. Manuel García ur.o: D. Juan Ocon uno: D. Manuel Cono uno: D. Fernando Carrillo uno: D. Josef Cantalapiedr» uno: D. Tomas Medina uno: D. Josef Salinas uno: D. Fernando Acuña uno: D. Nicolás Suarcz dos: D. Josef Robles uno: D. Blas López cuatro: el mar ques de Villadangos dos : e! marques de Castrojanillos dos: D. Josef Quiño nes dos: D. Claudio Quijada dos: D. Ber…</t>
  </si>
  <si>
    <t>Cantarero, Juan</t>
  </si>
  <si>
    <t>Juan Cantarero</t>
  </si>
  <si>
    <t>…z y Montes 40. D. Francisco Carrillo del Valle, administrador general ,2411 rs. y 26 mrs. D. Antonio de Ramos y Ximenez 200 rs. D. Francisco Rafael González 60. Catalina Prados 6. D. Juan Cantarero 60. D. Joaquín Obrero 400. D. Diego Bernia 100. D. Pedro Herrera 200. D. Antonio Velasco ioo. D. Manuel Estaquero 120. D. Ra fael Salinero, presbítero, 60. Doña Rosalía de Negrete 20. El colegio de San Roque 500. El convento de S. Pablo, religiosos dominicos…</t>
  </si>
  <si>
    <t>Cantero, Miguel</t>
  </si>
  <si>
    <t>Miguel Cantero</t>
  </si>
  <si>
    <t>…El contador del crédito público 48. El deán de aquella santa iglesia 40 El arcediano de Avila 5 . El doctoral 23. El maestrescuela 40. D. Josef Tejero 20. D. Fernando Cerrudo 20. D. Miguel Cantero 70. D Andrés Calvedo 40. D. Victoriano Vacas 46. D. Juan Ser na 40. D. Felipe Raguimido 40. D. Diego Veruega 44^ E! lectoral 23. Don Julián Ga.scueña 46. D Antonio Arguello 48. D. Ramón Orachea 48. Don Fernando Perez 2o. Sr. Corrales, racionero de aquella san…</t>
  </si>
  <si>
    <t>Cantos, Francisco de</t>
  </si>
  <si>
    <t>Francisco de Cantos</t>
  </si>
  <si>
    <t>…do del Consejo supremo de Almirantazgo; á D. Juan de Dios Topete , gefe de Escuadra de la Real Armada; á D*. Josef Mulier, gefe de Escuadra , é in geniero director de Marina, y á D. Francisco de Cantos, intendente del de partamento de Cartagena. A brigadier el capitán de Navio D. Antonio Vacaro. A capitanes de Navio los de Fragata D. Benito Vivero y D. Manuel Moscoso. Para la graduación de esta clase D. Estéban Gotnendio.</t>
  </si>
  <si>
    <t>Capellán, Van</t>
  </si>
  <si>
    <t>Van Capellán</t>
  </si>
  <si>
    <t>…u¿ia goleta correo. Total de buques ingleses 30: idem de artillería 776 cañones: ídem de muertos 129: idem 691 heridos. , Holandeses. Seis fragatas, al mando del vice-almirante el barón Van Capellán , con 276 cañones. Total de su pérdida 13 muertos y 52 heridos. Total general de ambas escuadras: 1052 cañones, 142 muertos y 743 heridos, ALEMANIA. Spira 4 de Setiembre. El proyecto del nuevo arreglo de la provincia bávara del Rhin está ya concluido: y aprob…</t>
  </si>
  <si>
    <t>Capellen, Vande</t>
  </si>
  <si>
    <t>Vande Capellen</t>
  </si>
  <si>
    <t>…UNI DOS. La Haya 2 6 de Noviembre. Una carta de Marsella del 10 de Noviembre dice que una fragata y un bergantín marroquíes habían apresado dos buques de los Países-Bajos. El vice almirante Vande Capellen expidió el 23 de Octubre último des-de Gibraltar el navio de línea Guillermo r, la fragata Melampus y el bergantín Irene, y S. E. debía dar la vela aldia siguiente á bordo del navio el Principe de Orange, para reunirse con su escuadra en la altura de Tánger,…</t>
  </si>
  <si>
    <t>Capetillo, Antonio de</t>
  </si>
  <si>
    <t>Antonio de Capetillo</t>
  </si>
  <si>
    <t>…edir las ordenes con venientes para noticia del comercio y de todos los demas á quienes corres ponda su cumplimiento. Palacio 30 de Diciembre de 1815* En atención á los méritos de D. Antonio de Capetillo , administrador de correos de la Coruña, y particularmente á los que ha contraido con mo tivo de la sublevación de D. Juan Díaz Porlier, se ha dignado S. M*‘ conde corarle con los honores de comisario ordenador. El teniente general duque de Sedavi ha cedido e…</t>
  </si>
  <si>
    <t>Capiran</t>
  </si>
  <si>
    <t>…de aquel cuerpo pasó á la ciudad de Salamanca, su patria, y fue destinado en clase de ayu dante mayor de1 batallón de soldados cumplidos que creó en dicha ciudad el Exce lentísimo Sr. Capiran general D. Gregorio de la Cuesta; y habiendo salido para la batalla de Uclés en el año de 1809, fue herido y hecho prisionero en ella, y con ducido á Madrid, de donde se fugó, y volvió á reunirse al egército del expresado Excmo. Sr. Capitán general en Despeña…</t>
  </si>
  <si>
    <t>Capitán</t>
  </si>
  <si>
    <t>…lo expresado por este general, pueda hacerlo bajo su firma en el término de un mes, dirigiéndose á la comisión establecida por la Real orden citada, y cuyo presidente es el Excmo. Sr. Capitán general D. Joa quín Blake. El dia 23 de Octubre del año próximo pasado de 18x5 falleció en esta</t>
  </si>
  <si>
    <t>Gaceta de Madrid n.º 74</t>
  </si>
  <si>
    <t>625</t>
  </si>
  <si>
    <t>…uuus aragoneses* ARTICULO DE OFICIO. Circular ele ia Subdelegación de Pósitos. A consecuencia de lo prevenido en la Real orden comunicada por el Mi nisterio de la Gueira al Excmo. Sr. Capitán general de Valencia y Murcia con fecha 6 de Abril próximo, por la que S. M. se sirvió mandar que mien tras se arregla el plan de subsistencias para las Tropas usase de los caudales que hubiese en la Provincia, perteneciesen al fondo que quisiera, represento e…</t>
  </si>
  <si>
    <t>…grabadas por él mismo, á 200 rs.rzUn viacrucis, in ventado por D. Vicente López, y grabado por D. Miguel Gamborino, á 40 rs. {Se continuará.') En virtud de providencia del Excmo. Sr. Capitán general de Castilí? la Nue va , dada con acuerdo de su auditor de guerra en 23 de Agosto de este año en los autos de abintestato que se siguen1 en su juzgado con motivo del fallecimiento del Excmb. Sr. D. Casimiro Luis Gonzaga Pignaieli, conde que fue de Fuen…</t>
  </si>
  <si>
    <t>…do para la batalla de Uclés en el año de 1809, fue herido y hecho prisionero en ella, y con ducido á Madrid, de donde se fugó, y volvió á reunirse al egército del expresado Excmo. Sr. Capitán general en Despeñaperros: desde entonces n© ha habido mas noticia. F,1 que la tenga de su existencia ó fallecimiento se servirá comunicarla en Salamanca á D. Francisco Mateo, del comercio de ella, y en Madrid á D. Lope Diez de Aux, que vive en la calle de la…</t>
  </si>
  <si>
    <t>Capítulo</t>
  </si>
  <si>
    <t>…inas de vapor para el desagüe de minas se ha.— lia casi concluida, y dentro de breve se verán sus-efectos.. Madrid r i de Diciembre,. El dia 7 del corriente celebro el Rey nuestro Señor Capítulo general de la Real distinguida orden española de Carlos m en la iglesia de S. Francisco el Grande, á la que pa'-ó en gran ceremonia en compañía del Sermo. Sr. In fante D. Carlos desde la pieza que le estaba destinada para vestirse el man to , é hicieron su pr…</t>
  </si>
  <si>
    <t>Car</t>
  </si>
  <si>
    <t>…arsenales y escuadras, comisiones rodas de la mayor confianza, conferidas por lo común á oficiales del mayor concento. Del que se adquirió en su cabal desempeño provino el que el Sr. D. Car las iii en 1781 le nombrase director de la importante fábrica de artillería de - la Cavada, que entonces se hallaba en el mas deplorable estado, cuyo res tablecimiento fio á su zelo y acreditado tino en cuanto se habia oue^to á su cargo: el acierto con que co…</t>
  </si>
  <si>
    <t>…, fundada por la generosidad de! Rey D. Fe lipe v de Borbon , aumentada por D. Fernando vi , enriquecida singular mente por D. Carlos in , y distinguida con varios privilegios por D. Car los iv , recibe hoy el alto honor de verse favorecida por la augusta Persona de V. M. y AA. , y no puede menos de ofrecer á S. R. P. los mas sinceros y tiernos sentimientos de su respeto y de su gratitud. Si las ideas solas , la per suasión y esperanza de que…</t>
  </si>
  <si>
    <t>…aña á reclamar la suma referida. Continuación de las estampas que se venden en la Real Calcografía, sita en la imprenta Real. Estampas en cuartilla de mprca mayor. Retrato del Rey D. Car los iv, grabado por Selma, á 6 rs. ~Ochenta estampas, que forman un cuaderno, de los caprichos de Goya, grabadas por él mismo, á 200 rs.rzUn viacrucis, in ventado por D. Vicente López, y grabado por D. Miguel Gamborino, á 40 rs. {Se continuará.') En virtud de…</t>
  </si>
  <si>
    <t>Car, Dn’ue de S.</t>
  </si>
  <si>
    <t>Dn’ue de S. Car</t>
  </si>
  <si>
    <t>…el de G &gt;yeneche, conde de Guaqui, ac.'»i larvado dd Excmo. Sr. D. Juan de la Cruz de Henestro4a , y del segundo .i b&gt;oe¡. ntisimo Sr. conde de .Sta. Coloma , en nombre del Excmo. Sr. Dn’ue de S. Car los, acompañado del Excmo. Sr. conde de Puñoenros-tr'’. hi Incido y rumo roso concurso de todas clases de personas que concurrieron á p'-eset.ci.ir e re acto, di i con su religioso respeto nuevo esplendor á la magostad de tan augus ta y santa ceremonia. Los s…</t>
  </si>
  <si>
    <t>Car, Juan</t>
  </si>
  <si>
    <t>Juan Car</t>
  </si>
  <si>
    <t>…pronunció un discurso análogo á las circunstancias: en los dias 2.0, 3.° y 4.0 fueron examinados los discípulos de las tres escuelas, bajo la dirección de sus respectivos maestros D. Juan Car vajal, Miguel Cabrera y Baltasar Paya. Fs imposible explicar la agradable sorpresa y completa satisfacción que camó á los circunstantes la soltura, facilidad y despejo con que los niños respondieron á las preguntas que les hicieron sobre las materias de su in…</t>
  </si>
  <si>
    <t>Car, Juan Aun.pío</t>
  </si>
  <si>
    <t>Juan Aun.pío Car</t>
  </si>
  <si>
    <t>…inal deí mismo, cribada por D. PrdsoMo á 40.—El Cristo de la Paz, dibujada y grabada per D. Juan Antonio C.armera, í 20----Jtsus, María y Josef, original de Murillo , gis inda per D. Juan Aun.pío Car mona , i 1 2.„_ Nuestra Señera de la Concepción , oEinai de Mateo Cerezo, gra bada por el mismo, á 8.„_ Lis cuatro Partes dei numdo , por ¡os origin.iles de jor*i«in que existen en el Reai Pa ¡¿icio de Madrid, grerad^s p&lt; r e! mismo, a 40. __ D &gt;s cuadernos d…</t>
  </si>
  <si>
    <t>Caracciolo</t>
  </si>
  <si>
    <t>…Varias juntas, bajo la dirección del marques Tommasi, ministro de Justicia é interino del Inte rior y del Culto, trabajan en la formación de un nuevo código civil y crimiríal. El cardenal Caracciolo, á quien está agregado el abate Guidi en calidad de teólogo, hace algún tiempo que se halla en esta capital, y está encargado por la corte romana de poner en orden los asuntos eclesiásticos del reino, y de hacer un nuevo concordato con este gobierno. Venecia…</t>
  </si>
  <si>
    <t>Caracholi, Juan Josef</t>
  </si>
  <si>
    <t>Juan Josef Caracholi</t>
  </si>
  <si>
    <t>…e parte de haber sido arrollada y prisionera la avanzada de mi retaguardia, después de haber muerto á su co mandante el capitán de cazadores D. Marcelino Aragón y su subalterno el teniente D. Juan Josef Caracholi, por lo que adopté la resolución de bus carlo , ordenando al comandante Reboredo se inclinase sobre su izquierda para proteger la marcha del batallón de cazadores, mientras que yo con el de partidarios me dirigía de frente. A pocos momentos de haber salido de…</t>
  </si>
  <si>
    <t>Carafa, Juan</t>
  </si>
  <si>
    <t>Juan Carafa</t>
  </si>
  <si>
    <t>…as de Sta. Teresa de Jesús y de S. Cayetano Thiene, fundador y patriarca de los clérigos regulares, en cuartilla de marca mayor, dibuja das por D. Antonio Guerrero, y grabadas por D. Juan Carafa, y otras muchas de igual tamaño, á 3 rs. cada una. Nota. En la noticia del nuevo método de enseñar la música á los ciegos de nacimiento de uno y otro sexo, que se publicó en la gaceta del 23 del pasado, entiéndase que D. Mariano Castro rio solo auxilió en est…</t>
  </si>
  <si>
    <t>Carborell, Francisco</t>
  </si>
  <si>
    <t>Francisco Carborell</t>
  </si>
  <si>
    <t>…ico y ventajoso de destilar el vino por el apanto de O. Juan Jordana, con la lámina del: aparato y su explicación, y una tabla de los diferentes grados del aguardiente, por el Dr. D. Francisco Carborell, catedrático de química, publi cado de orden de la Real junta de Gobierno del comercio de Cataluña. Se venden en la librería de Martínez , frente á S. Felipe el Reai, y en Barcelona en la de Brusi. Kota. Fu la gneera del, jueves &lt;y de Setiembre, donde dice D.…</t>
  </si>
  <si>
    <t>Cardano, Felipe</t>
  </si>
  <si>
    <t>Felipe Cardano</t>
  </si>
  <si>
    <t>…tuvo rruy particularmente en Jas estampas que representan en cuatro hojas las vistas del castillo de Vaíencei, que se graban de orden de £&gt;. M. por el grabador del establecimiento D. Felipe Cardano, y servirán para transmitir a la posteridad ia memoria del sitio donde S. M. y AA. estuvieron por espacio de cinco años privados de su libertad, y separados con rigor y tiranía de su amable patria y de sus constantes y fieles vasallos. Examinaron asimismo S,…</t>
  </si>
  <si>
    <t>Carde, Pedro</t>
  </si>
  <si>
    <t>Pedro Carde</t>
  </si>
  <si>
    <t>…eral en gefe del del Alto-Perú.” Madrid 24 de Abril. En 19 del corriente felicitaron al Rey nuestro Señor, á nombre del ca bildo catedral de la santa iglesia de Sevilla, el Excmo. Sr. D. Pedro Carde nal de Gravina, nuncio apostólico, arcediano de Carmona, y canónigo , y el limo. Sr. D. Francisco Yañez Bahamonde, canónigo de la misma santa iglesia, y comisario general de Cruzada 5 y el primero dirigió á S. M. el si guiente discurso: „Señor: el cabildo cat…</t>
  </si>
  <si>
    <t>Cárdenas, Josef de</t>
  </si>
  <si>
    <t>Josef de Cárdenas</t>
  </si>
  <si>
    <t>…ente de Bombarda al teniente de Brulot graduado D. Nicolás Cardoso. A la graduación de subtenientes dd primer regimiento Real de Marina d los sargentos primeros D. Cárl os Valero, D. Josef de Cárdenas, D. Josef Usero, D. Domingo Apodaca, D. Benito Molina, D. Ramón López y D. Manuel Perea. En el tercer regimiento A D. Andrés Rodríguez. EN EL CUERPO DE PILOTOS. DEPARTAMENTO DE CADIZ. A tenientes de Navio los primeros pilotos graduados de tenientes de Fragata…</t>
  </si>
  <si>
    <t>Cárdenas, Vicente</t>
  </si>
  <si>
    <t>Vicente Cárdenas</t>
  </si>
  <si>
    <t>…l dicho ayuntamiento compuesto de los regidores D. Pablo López, el capitán D. Dionisio Amelo, D. Máximo de Avila y D. Rafael Bautista Ca ntara , y los diputados D Manuel Ahugetas, D. Vicente Cárdenas, D. Joscí Rodriguez y D. Francisco Fernandez Calvillo , y el sindico persenero Don Bernardo González, con su procurador síndico el Lie. 1). Fraru en Joscfde Torre, pasó tn cuerpo al templo , que estaba surruosamente adornado , &gt; con asistencia de los cabildos…</t>
  </si>
  <si>
    <t>Cardoso, Nicolás</t>
  </si>
  <si>
    <t>Nicolás Cardoso</t>
  </si>
  <si>
    <t>…gadas de artillería Real de Marina d comisario pro vincial al capitán de Bombar da D. Josef Hilarión de Molina. A graduación de teniente de Bombarda al teniente de Brulot graduado D. Nicolás Cardoso. A la graduación de subtenientes dd primer regimiento Real de Marina d los sargentos primeros D. Cárl os Valero, D. Josef de Cárdenas, D. Josef Usero, D. Domingo Apodaca, D. Benito Molina, D. Ramón López y D. Manuel Perea. En el tercer regimiento A D. Andrés…</t>
  </si>
  <si>
    <t>Careaga, Josef María</t>
  </si>
  <si>
    <t>Josef María Careaga</t>
  </si>
  <si>
    <t>…o prisioneros, y les quitó porción de cerdos, 33 caballos ensillados y siete en pelo, cuatro lanzas, dos carabinas y dos pistolas. El comandante de Toluca ha dirigido un parte del capitán D. Josef María Careaga, en que dice haber perseguido á los cabecillas Epitasio, Pascasio y Robles en las inmediaciones deS.BartoloméOsolotepec el 8 de Octubre, ha biéndoles apurado tanto el alcance, que Epitasio y Robles perdieron nueve caballos, y este último parte de su ropa. Del…</t>
  </si>
  <si>
    <t>Carero, Vicente García</t>
  </si>
  <si>
    <t>Vicente García Carero</t>
  </si>
  <si>
    <t>580 Por providencia del Sr. D. Vicente García Carero, del consejo de S. M., su alcalde de casa y corte, refrendada de D. Cárlos Rodríguez de Moya, se ha man. dado traer al pregón por el término de la ley una vara de alguacil de casa y corte, que perteneció á D. Santiago Pcrez, estimada en 74O rs. incluso el pag…</t>
  </si>
  <si>
    <t>Cario</t>
  </si>
  <si>
    <t>676</t>
  </si>
  <si>
    <t>…caracterizan lo muy gratos que le eran los sentimientos de los habitantes de la ciudad de Fuenterabía. Kn seguida se dirigieron dichos diputados al coarto del Sermo. Sr. Infan te D. Cario*, á quien felicitaron con el misino motivo diciendo: „ Sermo. Sr.: La muy noble, muy leal, muy valerosa y muy siempre fiel ciudad de Fuenterabía, reconociendo las. distinguidas virtudes de V. A.R., toos encarga le felicitemos por su enlace con la Serma. Sra.…</t>
  </si>
  <si>
    <t>Cários</t>
  </si>
  <si>
    <t>…sión, manifestada por tan afectuoso mensage.” S. M. lo oyó con particular agrado, y recibió la lista benignamente. Al dia siguiente fueron admitidos por S. A. el Sermo. Sr Infante Don Cários, á quien el primero dijo lo que sigue: Sermo.. Sr.: La abadesa y comunidad de Huelgas, cerca de Burgos, que tiene la singular honra de contar entre sus monja* y-abadesas perpe tuas 14 Infantas , han dirigí !o continuas oraciones al Todopoderoso por el feliz a…</t>
  </si>
  <si>
    <t>…a en larga unión de la Reina nuestra Señora 'para la felicidad de todos sus fieles y leales vasallos.’' Los'mismos comisionados felicitaron con igual motivo al Sermo. Si. In fante D. Cários. ; ¿ • Los diputados comisionados por la ciudad de Vitoria D. Ignacio María de Ala-va, teniente general de la Real armada, y ministro deí Supremo Con sejo de Almirantazgo, y D. Raimundo Ettenhard y Salinas, arcediano de TIuete en la santa iglesia de Cuenca, y…</t>
  </si>
  <si>
    <t>Cárl</t>
  </si>
  <si>
    <t>…graduación de teniente de Bombarda al teniente de Brulot graduado D. Nicolás Cardoso. A la graduación de subtenientes dd primer regimiento Real de Marina d los sargentos primeros D. Cárl os Valero, D. Josef de Cárdenas, D. Josef Usero, D. Domingo Apodaca, D. Benito Molina, D. Ramón López y D. Manuel Perea. En el tercer regimiento A D. Andrés Rodríguez. EN EL CUERPO DE PILOTOS. DEPARTAMENTO DE CADIZ. A tenientes de Navio los primeros pilotos g…</t>
  </si>
  <si>
    <t>Carlos</t>
  </si>
  <si>
    <t>…a moral para la juventud española, con un discurso de la aplicación de la filosofía á ios asuntos de la religión: escrita por el Dr. D. And es Piquer, médico de cámara que fue del Sr. D. Carlos ni: tercera edición: dos tomos en 4.0 encua dernados en un volúmen de 700 páginas: su precio 28 rs. en pasta. Se hallará en la librería de Baylo, calle de las Carretas. EN LA IMPRENTA REAL.</t>
  </si>
  <si>
    <t>…ta corte y á la diputación de lo$ remos él Real decretó siguiente: „Por el amor á su familia, por el interes de la Corona y por la felicidad de sus pueblos quiso mi augusto Abuelo D. Carlos m,de gloriosa memoria, unir en matrimonio á mi amada Hermana la Infanta Doña Carlota Joaquina con el Infante D. Juan, hoy Príncipe del Brasil , y á mi Tío el Infante Don íjabriel con la Ihlañta Doña Mariana Victoria, hijos esta y el referido In fante D. Juan…</t>
  </si>
  <si>
    <t>Cárlos</t>
  </si>
  <si>
    <t>…ulio, va á reedificarse y restituirse ai cuito ca tólico. S. S. estuvo ayer en la iglesia de los Santos Apóstoles, y después de ha ber hecho oración fue á visitar al .Rey padre el Sr. D. Cárlos iv. GRAN BRETAÑA. Londres 2_p de Enero. El 24 llegaron á Ramsgate muchos buques con varios destacamentos de infantería, artillería de á caballo, y dragones desmontados que vienen de Francia. Idem 2 de Febrero. El arzobispo de Cantorberi, el lord canciller, el…</t>
  </si>
  <si>
    <t>…pciones en las calles llamadas antes la Mayor y de Ballesteros; la primera se denomina ya con el precioso título de calle Real de S. Fernando, y la segunda del Sermo. Sr. Infan te D. Carlos; habiendo colocado por su propia mano, ayudado de las de más autoridades y las .primeras personas dei pueblo, una lápida en cada una de ellas, que constantemente recuerde este rasgo de amor e' infatigable zelo en obsequio de V. M. de p rte de un oficial que t…</t>
  </si>
  <si>
    <t>…Señalado de la Real mano. = En Palacio á 19 de Febrero de 1816. = A Don Manuel López Araujo. Con fecha de 2/ de Febrero se ha servido S. M. expedir la Real órden siguiente: ,, El Sr. D. Cárlos iv, á consulta de la cámara, hecha eti 14 de Abril dé 1804 sobre instancia del R. obispo de Málaga1, en que exponía los perjuicios que experimentan las iglesias en el culto, con motivo de retardar mucho tiem po la toma de posesión los nombrados en beneficios…</t>
  </si>
  <si>
    <t>…s. Se hallará á 5 rs. en el despacho de la imprenta Real. Las obras de Hipócrates mas selectas, traducidas al castellano por el Dr. D. An drés Piquer, médico de cámara que fue del Sr. D. Cárlos ni.: tercera impresión. Deseando el traductor ocuparse en cosas que trajesen utilidad al público, pensó que nada podia hacer mas conducente á los adelantamientos de... la verdadera medicina, ni mas á propósito para sanar á los enfermos que el hacer inteligibl…</t>
  </si>
  <si>
    <t>…os mundos que V. M. tan justamente manda sus hijos y nietos hasta la consumación de los siglos.” En seguida pasó la misma diputación al cuarto de S. A, R. el Sermo. Se ñor Infante D. Carlos, á quien felicitó con igual motivo. ARTICULO DE OFICIO. Circular del Ministerio de Guerra. Enterado el Rey nuestro Señor de una exposición hecha por el Inspec tor general de Infantería, en que le hacia presente la escandalosa deserción de los individuos que p…</t>
  </si>
  <si>
    <t>…de V M. para la resolución de un enlace en que no puede menos de admirarse, por una parte la sabia y religiosa política con que V. M.,á imitación de su augusto Abuelo el inmor tal Sr. D. Cárlos m, ha dirigido un negocio de tanto interes para el estado, y de no menos para la sacrosanta religión católica romana que profesamos, y por otra el digno egemplo de gratitud que ofrece V. M. á la faz del uni verso con el hecho de haber desde luego fijado sus m…</t>
  </si>
  <si>
    <t>…matrimonio ajustado con ja ,Serma. Sra. Infanta de Portugal Doña María Isabel Francisca ; y habien do merecido con la autorización de S. M. igual distinción al Sermo. Sr. In fante D. Carlos para que contraiga el suyo respectivo con laSerma. Sra. In fanta Doña María Francisca de Asís, remitiendo á S. E. los correspon dientes poderes, para que á su tenor desempeñe tan elevado carácter, autoT rizándole igualmente para el recibimiento de dichas Sjer…</t>
  </si>
  <si>
    <t>…matrimonio de la princesa Federi'aGuillerma, hija del Príncipe Luis, con el Príncipe Leopoldo de AnhaJt-Dessau. S. A. R. el gran duque heredero de Meckiembourg-Strelitz y S. A. el duque Cárlos, de la misma casa, acaban de llegar á esta corte. Parece que se confirma la noticia de una reunión amistosa de los tres grandes Soberanos del Norte en la Bohemia. Nuestro Monarca irá ciertamen te en el verano á Toeplitz y á Pirmont, como también los príncipes…</t>
  </si>
  <si>
    <t>…eniente de Reales guardias Walonas; arengan do el primero en estos términos: „Señor*. Por la villa de Mancha Real, en el reino de Jaén, venimos á cumplimentar á V. M. y Sr Infante D. Carlos por los enlaces contratados con la excelsa casa de Portugal. „E1 pueblo, Señor, que nos comisiona conservo su fidelidad á la legítima dinastía de España, aun en los momentos mas amargos que le ofreció la dominación intrusa; sus habitantes miraron siempre con…</t>
  </si>
  <si>
    <t>…lescas, calle ancha de Majaderitos, á 4 rs. á la rústica. Las obras de Hipócrates mas selectas, traducidas al castellano por el Dr. Don Andrés Fiquer, médico de cámara que fué del Sr. D. Carlos ni: tercera impresión; 3 tomos en 4.0 á 48 rs. en pasta. Se hallarán en la librería de Bailo, calle de las Carretas. En el almacén de estampas de la calle Mayor, frente á la casa del conde de Olía te, se vende la estampa nueva de Sta. Ana, acompañada de la Sa…</t>
  </si>
  <si>
    <t>…ió con su constancia y previsión , y supo unir á tan grandiosas ideas la mas exacta y bien entendida economía por su sabia y acertada ad ministración. __Satisfecho cada dia mas el Sr. D. Carlos in del cabal des empeño de su ministro, no dudó el encargarte también de la secretaría de Estado y del Despacho universal de Indias al fallecimiento de D. Josef Gálvez, que desempeñó desde 1787 á 1790. Aun recuerdan Jas Américas la obra de su ministerio en la…</t>
  </si>
  <si>
    <t>…oña Constanza, de D. Fernando iv; Do ña María, de D. Alfonso xi; Doña Beatriz, de D. Juan i; Doña Isabel, de D. J uan ii; Doña Juana, de D. Henrique iv; Doña Isabel, del Emperador D. Carlos v, primero entre los Reyes de este nombre; Doña María, de Don Felipe ii, y Doña María Bárbara, de D. Fernando vi. „Gloria es, Señor, de vuestra corona , y testimonio de la liberalidad de vuestro predecesor D. Alfonso i de Castilla , el origen de la casa Real…</t>
  </si>
  <si>
    <t>…omisión las; demostraciones públicastde regocijo que esten en su posibilidad y les dic ta su zelo con el plausible motivo del casamiento de S. M. y el del Serenísi mo Sr. .Infante D. Carlos ¿ manifiestan sus deseos de extenderlas como cuer po, ya que np sea de un modo correspondiente á lo grandioso del objeto, á lo mepos fie manera que tengan alivio los dignos defensores de los derechos del trono,, y algunas jóvenes que interesan á la religión y…</t>
  </si>
  <si>
    <t>…ion , \ d«. n i el oi aúo* de vida yrríi prc*-} cridad de esta nu i-arquía.” S. M ít dLró inaiitl lar su Real Hgradtciiriti’.to. En seguida pasó al c* aito dei Sermo. Sr. inlai re D. Carlos, y arengó á S. A. del ir.t do sipuiene: ,,Sermo. Sr.: L.*s n erii dedes de Castilla (a Vieja me han elegido como ú uno de su* naturales para felicitar á Y. A. por su concertado enlace con la Se rica. Sra. In-ajira Deña María Francisca de Asís, y asi tengo el…</t>
  </si>
  <si>
    <t>…y este concepto que no duda merecer de V. M. es y será siempre el premio mas cumplido de su lealtad.” En seguida, habiéndose dirigido al cuarto de S. A. R. el Sermo. Sr. In fante D. Carlos, dijo el mismo: ,, Sermo. Sr.: Si Jaén mira con razón como un acontecimiento fausto y glorioso el enlace del augusto Hermano de V. A. R. el Rey nuestro Señor con la casa Real de Portugal, porque en él se estrechan mas y mas los vín culos que unen á estas dos…</t>
  </si>
  <si>
    <t>…distinguido en todos tiempos. El plausible motivo del nuevo enlace de V. M. con la Se renísima Sra. Infanta de-Portuga! Doña María Isabel, y el de los Serenísi mos Sres. Infantes; D. Carlos y Doña María Frakcisca rf .Vis, es cier tamente una satisfacción que llena los deseos de esta ciudad. Creería incurrir en la nota de la mas ingrata , si no elevase á V. M. sus justos sentimientos para felicitarle en asunto de tanta alegría para la España. No siendo posible expresar…</t>
  </si>
  <si>
    <t>…r 5* de latitud, que representa un triunfo romano , colocado en ia escalera del consejo del Almi rantazgo, admirado de los inteligentes naturales y extrangeros: la estatua del Rey D. Carlos 111 colosal, vaciada de bronce, colocada en la plaza de Bur gas : de orden del consejo en 1783 pasó á la villa de Rentería , donde hizo un grupo de la Asunción; otro de la Santísima Trinidad, colosales, cuatro ángeles vaciados de bronce y tres bajos relieves:…</t>
  </si>
  <si>
    <t>…bildo que había dado este paso, el mas im portante entre todas las transacciones políticas de un grande imperio , por se guir las huellas que le dejó trazadas su augusto Abuelo el Sr. D. Carlos in, de siempre grata memoria, en aumento de ia religión y prosperidad de la patria. ¡Objetos verdaderamente grandes, Señor,y dignos de ocupar el alma de un Monarca padre de los pueblos , si quiere hacer su felicidad , y llevar los al colmo de la verdadera glo…</t>
  </si>
  <si>
    <t>…estar de los pueblos confiados á su dirección, ¿con cuánta mas justi cia no reclama la humanidad doliente aquella influencia benéfica y protecto ra? Penetrado mi augusto Abuelo el Sr. D. Carlos 111 de estos sanos princi pios , de Ja importancia de estas atribuciones'verdaderamente Reales, y ha biendo conocido por una experiencia demasiado amarga á su magnánimo corazón, que los establecimientos donde el hombre desvalido va á buscar el remedio de sus…</t>
  </si>
  <si>
    <t>…es pies, y felicitarle por su vuelta á ocupar el trono de sus mayores , como ahora lo hacen con el plausible y faustoso motivo de los concertados enlaces de V. M. y dtl Sr Infante D. Carlos con las S.rmas. Sras. Infintas de Portugal. ,,Si esta conducta observada por Cáceres mereciese La aprobación de V. M , y se dignase aceptarla , será para sus naturales el dia mas glorioso aquel en que les ileuue esta noticia , porque no aspiran á otra cova.’…</t>
  </si>
  <si>
    <t>…escrito en castellano para la mas fácil inteligencia de los principiantes que se dedican á la medicina y cirugía: por el Dr. D. Andrés Piquer, mélico de cámara que fue de S. M el Sr. D. Carlos 111a un tomo en 4.0 en pasta : su precio 16 rs. Se hallará ea Ja librería de Bailo, calle de las Carretas. Eduardo en Escocia, ó la terrible noche de un proscripto: drama en tres actos j en pro-a, representado en el coliseo de la Cruz el 2 1 de Mayo de 1816-…</t>
  </si>
  <si>
    <t>…circulares y otras providencias expedidas por el Consejo Real desde ei año de 1760 Hasta el de 1804 inclusive, en 4 tomos en 4.0 ti primero contiene las respectivas al reinado del Sr. D. Cárlos m, con un retrato de cate Monarca, y los otros tres las del Sr. D. Carlos jv hasta fin del cita do año de 1804, en que cesó la publicación de esta obra por el Real decreto pro hibitivo con que principia la novísima recopilación. Aunque es cierto que en esta s…</t>
  </si>
  <si>
    <t>…unciar el discurso siguiente: „Señor: La Real Biblioteca, fundada por la generosidad de! Rey D. Fe lipe v de Borbon , aumentada por D. Fernando vi , enriquecida singular mente por D. Carlos in , y distinguida con varios privilegios por D. Car los iv , recibe hoy el alto honor de verse favorecida por la augusta Persona de V. M. y AA. , y no puede menos de ofrecer á S. R. P. los mas sinceros y tiernos sentimientos de su respeto y de su gratitud. S…</t>
  </si>
  <si>
    <t>…ole procurando que puedan em pezarse pronto tanto dichos canales de Urscl como el de Manresa.” En seguida pasó dicho diputado á hacer ig al entrega á los Sermos. Se ñores Infantes D. Carlos y D. Antonio, quienes manifestaron apreciar la atención de la junta de comercio de Cataluña, asi como el zelo que la dirige en procurar la prosperidad del estado por unos medios tan directos como preferentes. ARTICULO DE OFICIO. Habiendo resuelto S M. que se vista la cort…</t>
  </si>
  <si>
    <t>…pliego de marca mayor. Nuestra Señora de las Angustias , grabada por D. Juan Antonio Carmona, á 5 rs. ~ Nuestra Señora del Sagrario, grabada por el nmmo, i 5 rs. = Retiato del Rey D. Carlos iv , grabado i una linca por D. Juan B uncli,, á 8 rs. n Dos estampas de la obra del Salustio, por D. Manuel Salvador Carmona , á 8 rs. cada una. (Se continuará. ) Quien quisiere hacer postura á una casa sita en esta corto y su calle de la Mon tera, señalada…</t>
  </si>
  <si>
    <t>…clima feraz y por las virtudes y genio de sus habitantes merece obtener en tre las naciones de Europa. Acto continuo el alumno D. Juan Lujan, teniente del regimiento del In fante D. Carlos, disertó sobre la siguiente proposición: el comercio colonial no ha sido útil solamente á algunos comerciantes particulares , sino á todas las clases del estado. Lo egecutó oportunamente. En seguida algunos de los señores concurrentes le opusieron varios repa…</t>
  </si>
  <si>
    <t>1037</t>
  </si>
  <si>
    <t>…llos al grado de prosperidad de que son susceptibles en inmortal gloria de su amado Rey Fernando vii. Los mismos comisionados tuvieron la honra de felicitar al Serme. Sr. In ferné D. Carlos al siguiente dia en los términos siguientes: ,,Sermo. Sr.: Los fieles habitantes de Viilarobiedo se ofrecen á L. P. de V. A. Sérma., y os saludan, celebrando con respetuosos parabienes el pre cioso advenimiento de la muy digna Esposa de V. A. Serma.-escogida…</t>
  </si>
  <si>
    <t>…ntestó con su bondad característica que las aceptaba , y añadió: „que Tarragona se había portado bien.” Al dia siguiente felicitaron los mismos comisionados al Sermo. Sr. Infan te D. Carlos con igual motivo en estos términos: ,,Sermo. Sr.: La ciudad de Tarragona, que tanto ha manifestado su he roísmo con lo que ha hecho y padecido en defensa de la santa religión y del trono de la augusta casa española de Borbon, nos ha comisionado para que á su…</t>
  </si>
  <si>
    <t>…s 62: idem 200 fanegas de trigo al precio que corría de 108 rs. 21600: el dia de S. Cárlos del año anterior, con el plausible motivo dé los dias dé S. Á. R. el Sermo. Sr. Infan te D. Cárlos, Hermano mayor de este Real cuerpo, se dieron dotes de 100 -ducados para socorrer cuatro doncellas huérfanas, importantes 4400 rs. : el -ilustre colegio de abogados 3620: el cuerpo de relatores 1800: el de escriba nos de cámara 2100: el de porteros de idem 29…</t>
  </si>
  <si>
    <t>…erida Esposa la Reina; y no pudiendo gozar completamente de la felicidad que me prepara este dia , tanto mas célebre por el dichoso enlace de mi amado y augusto Hermano el Infirme D. Carlos con la Infanta Doña María Francisca , sin aliviar antes en cuanto permitan las leyes y la situación del reino la suerte de los desgracia dos que gimen bajo el peso de sus crímenes, he venido en conceder indulto general á los delincuentes que sean capaces de é…</t>
  </si>
  <si>
    <t>…muchos y cordiales obsequios que había prestado á S. M. di cho pueblo á su tránsito para esta corte. Igual diligencia de atención y respeto practicaron con eí Serme. Sr. In fante D. Carlos por el mismo objeto, y S. A. se dignó dar las muestras mas verdaderas de su Real complacencia por los homenages de un pueblo tan.-re comendable* ARTICULO D E O F í C I O* Circular del Consejo Real. ' ’ ‘ . 1 Enterado el Rey de que muchos de los.que abiertamen…</t>
  </si>
  <si>
    <t>…as solida de felicidad ; pe ro hoy que advierten y admiran su dichoso y deseado enlace con Doña Ma ría Isabel, hija de los ilustres Reyes de Portugal, y el del Sermo. Sr. In fante D. Carlos con Doña María Francisca de Asís, se glorían al consi derar satisfechos ya sus votos, y llenos completamente sus deseos. ¡ Quiéra el cielo que el cetro español se perpetúe en los sucesores de los Barbones y Braganzas, para que triunfe en esta península la rel…</t>
  </si>
  <si>
    <t>…ividuos de este cuerpo habían padecido ti abajos y persecuciones por ser fieles á su legítimo Soberano. Los mismos comisionados felicitaren con igual motivo al Sermo. Sr. In fante D. Cárlos, haciendo presente que era inexplicable el jíibilo de todos los individuos de la Hermandad al ver que su Gefe y Señor había contraído tan acertado enlace con la Serma. Sra. Infanta Doña María Francisca de Asís. Asimismo felicitaron dichos comisionados en el p…</t>
  </si>
  <si>
    <t>…virtudes serín el ornato de su sexo, y harán la felicidad de V. M. y de toda la Monarquía.” Los mismos comisionados felicltaroncon igual motivo á SS. A A. el Serrno. Sr. Infa nte D. Carlos y á su augusta Esposa. El mismo dia 8 tuvo igual honor la diputación de la provincia de Gui púzcoa compuesta de los Excmos. Sres. duque de Granada , vizconde de Zolina, y los Sres. D. Juan Ignacio de Ayestarán y D. Ramón María de Moya, quienes manifestaron en…</t>
  </si>
  <si>
    <t>…itir los sinceros votos de este su pueblo, hijos de su acendrada lealtad y amor hácia su Real Persona.” Los mismos comisionados felicitaron con igual motivo al Sermo. Sr. In fante D. Carlos. En el dia ii del corriente el colector general de Espolios y Vacantes D. Tomas Aparicio Santin, D. Gabriel de Hevia y Noriega, del supremo Consejo de la Inquisición, y D. Vicente Ruiz de Albillos, juez en el tribunal</t>
  </si>
  <si>
    <t>…la C.imara. El conde de Peralada, embajador de España, tuvo ayer una audiencia particular del Rey, en que presentó las cartas de aviso del matrimonio del Rey su amo y del Infante D. Cárlos, hermano del Rey de España , con las Sermas. Sras. Infantas de Portugal Doña María Isabel Francisca y Doña Ma ría Francisca de Asís.</t>
  </si>
  <si>
    <t>…l motivo. ARTICULO DE OFICIO; El Rey nuestro Señor se ha dignado expedir el Real decreto siguiente: Con fecha de 21 de abril del año pasado de 1792 tuvo á bien mi augusto Padre el Sr. D. Carlos iv expedir el decreto siguiente; „Para que la Reina, mi muy amada Esposa, tenga un modo mas de mostrar su benevolencia á las. personas nobles de su sexo que se distinguieren por sus servicios, prendas y calidades, hemos acordado establecer y fundar una orden…</t>
  </si>
  <si>
    <t>…solo-individuo de aquella ciudad que dudase por un momento el defender los derechos de V. M.” ; En seguida pasaron dichos comisionados al cuarto de S. A. el Sermo. Se ñor Infante D. Carlos, á quien felicitaron con igual motivo. El dia 15 de Octubre tuvieron la honra de felicitar á S. M. por su au gusto enlace, á nombre de la villa de Tordehumos, en Castilla la Vieja, el Excmo. Sr. duque del Infantado, presidente del Real y supremo Consejo de Ca…</t>
  </si>
  <si>
    <t>…y de sus verdaderos deseos de que es te enlace reproduzca la época feliz de los Fernandos é Isabeles.” Inmediatamente tuvieron la honra de felicitar á S. A. el Sermo. Sr. In fante D. Carlos con el mismo objeto, y de merecer á S. M. y A. pruebas las mas recomendables de su consideración á aquella ciudad. El dia 18 del pasado tuvieron la honra de felicitar a! Rey nuestro Señor y al Sermo. Sr. Infante D. Carlos por sus efectuados matrimonios, á nom…</t>
  </si>
  <si>
    <t>…roicos esfuerzos con que ha logrado salvar la religión, la patria y el trono de V. M.” Los mismos comisionados tuvieron la honra de felicitar con igual motivo al Sermo. S. Infante D. Cárlos. El dia 24 del pasado-felicitaron á S. M., á nombre de la ciudad de Ta rifa , el teniente general de los Reales egércitos D. 'Francisco de Copons y Na— via, regidor perpetuo de su ayuntamientogran Cruz de la Real orden espa ñola de Cárlos ni, y de la militar…</t>
  </si>
  <si>
    <t>…M. lo oyó con particular complacencia; y dando pruebas de gratitud, recibió la exposición benignamente. Los mismos comisionados felicitaron con igual motivo al Sermo. Sr. In ferné D. Carlos. ARTICULO DE OFICIO. Circular de la Dirección general de Rentas,, Por el Ministerio de Hacienda con fecha 16 del actual se nos ha comu*nicado la Real orden siguiente: El Sr. Secretario de Estado del Despacho de Hacienda de Indias con fe cha del 13 de este mes…</t>
  </si>
  <si>
    <t>…por la particular estimación que le merecen las personas de que ce había valido para felicitarle. Los mismos comisionados.pasaron en seguida á la cámara del Sermo. Se ñor Infante D. Carlos, á quien reprodujeron iguales obsequios y enhorabue nas por su matrimonio, que recihió S. A. con demostraciones de la mayor complacencia. ARTICULO DE O PICIO. Circular del Ministerio de Hacienda. Habiéndose dignado el Rey nuestro Señot erigir una cátedra de a…</t>
  </si>
  <si>
    <t>…or Capítulo general de la Real distinguida orden española de Carlos m en la iglesia de S. Francisco el Grande, á la que pa'-ó en gran ceremonia en compañía del Sermo. Sr. In fante D. Carlos desde la pieza que le estaba destinada para vestirse el man to , é hicieron su profesión , y recibieron el collar de mano de S. M. en Ja forma establecida los -Excmos. Sres. marques de Campo-Sagrado , D. Josef Luis de Souza , marques de Vilíafranca , D. Gaspa…</t>
  </si>
  <si>
    <t>…o efecto , no cesará de dirigir al Omnipotente, autor de toda felicidad, las mas fervientes oraciones.” Los mismos comisionados felicitaron con igual motivo al Sermo. Sr. In fante D. Cárlos. ARTICULO DE OFICIO. Circulares de la Dirección general de Rentas. 1.a Para que esta Dirección pueda obrar con el conocimiento debido en mu chas de las operaciones de la Renta de Salinas, es indispensable que V*. pa se á nuestras manos á la mayor brevedad una…</t>
  </si>
  <si>
    <t>…abios á V* M., ofreciendo juntamente ei tributo de nuestra mayor sumisión y respero.” Los mismos comisionados tuvieron la honra de felicitar con igual motivo al Sermo, Sr- Infante D. Carlos y á su augusta Esposa. En el dia 8 del mismo tuvieron el honor de presentarse á besar la Rea! mano de S. M., y de felicitarle con el plausible motivo de su efectuado ma trimonio con la Reina nuestra Señora Doña María Isabel de Braganza el Lie. D. Antonio Cast…</t>
  </si>
  <si>
    <t>…útil entretenimiento. Consta de dos tomitos, y se vende en la imprenta Real á 28 rs. vn. á la rustica y 34 en pasta. Retratos del Rky nuestro Señor y su augusto Hermano el Infante D. Carlos, pintados por L&gt;. Vicente López, primer pintor de Cámara de S. M., y dibujados por 1). Amonio Gu jrrero, grabados en cuartilla de marca mayor por D. Manuel Albuerne y D Mr nucí Alegre. Se vende» en el almacén-de estampas de la calle Ma yor, frente á ia casa d…</t>
  </si>
  <si>
    <t>…restableció la cátedra pública del Real jardín Botánico, donde se explicase por principios, asistió S. M. el día que se principió el curso acompañado de los Sermos. Sres. Infantes D. Cárlos y D. Antonio , animó con su presencia á los discípulos, y los estimuló con pre mios á la aplicación. El profesor D. Antonio Sandalio de Arias, deseoso de corresponder á la confianza del Monarca, y animado por los Sermos. Sres. Infantes hasta el punto de asistir personalme…</t>
  </si>
  <si>
    <t>…dose durante el discur so que medió de 22 años en las campañas de Lombardía y Portugal. En 1782 se halló en el sitio de Gibraltar desempeñando por orden expresa de la Magestad del Sr. D. Cárlos 111 el servicio de coronel, cuya sola graduación ob tenía. Condecorado sucesivamente con los grados y empleos de brigadier, mariscal de campo, teniente general, y con el mando en gefede la Real bri gada de Carabineros, se halló en la penúltima guerra contra l…</t>
  </si>
  <si>
    <t>Cárlos, Infante Doil</t>
  </si>
  <si>
    <t>Infante Doil Cárlos</t>
  </si>
  <si>
    <t>…toy muy satisfecho de los sentimientos de fidelidad que siempre ha manifestado la ciudad de Xerez hacia mi Persona y familia.” En el mismo dia y seguidamente felicitaron ál Sermo. Sr. Infante Doil Cárlos con igual motivo. ARTICULO DE OFICIO. JEl Rey nuestro Señor se ha servido expedir los decretos siguientes: r.° ,,Condescendiendo con las reiteradas instancias de D. Manuel López Araüjo, dirigidas á que le exonere del despacho de la Secretaría de Estado de Ha…</t>
  </si>
  <si>
    <t>Cárlos, InfanteiDt</t>
  </si>
  <si>
    <t>InfanteiDt Cárlos</t>
  </si>
  <si>
    <t>…sar la mano al Rey nuestro Señor , y felicitaíle por su concertado matrimonio con la Serma. Sra. Infanta de Portugal .Doña María Isabel Francisca. Reunido en el cuarto del Sermo. ‘Sr. InfanteiDt Cárlos, presidido por S. A*R., é incor porado en él el Sermo. Sri Infante D. Antonio, ^asó de ceremonia y formai00 ai de S. M., quien á poco tiempo sé'presento á recibir este homenage de fidelidad, de amor y de respeto. El; Sermo. SrvInfante D.¡Cirios aproximán dose…</t>
  </si>
  <si>
    <t>Carlos, O.</t>
  </si>
  <si>
    <t>O. Carlos</t>
  </si>
  <si>
    <t>…r: La ciudad de Jaca felicita á V. M. por su acertado enlace con la Sra. Doña María Isabel de Braganza, enlace muy conforme á la úl tima recomendación de vuestro augusto Abuelo el Sr. O. Carlos 111, nunca bastantemente celebrado , y del cual espera España los grandes bienes que calculó su notoria política. Que V. M, reine, no para aumentar dominios, porque la grandeza de España no los necesita, sino para conservar los que posee en tranquilidad, just…</t>
  </si>
  <si>
    <t>Cárlos-</t>
  </si>
  <si>
    <t>…d que le consagraron sus pueblos, y reiteran á los pies de V. M. la ciudad dé Ecija y sus comisionados.” En seguida tuvieron la honra de felicitar á S. A R. el Sérmo. Sr. Infan te D. Cárlos- con el mismo- objeto, y de merecer á S. M. y A. las mas be nignas pruebas de aprecio á aquella ciudad.. ARTICULO1 DE’ OFTCro. Cintilar del Ministerio-de Guerra o. En vista de Io&gt; que: ha expuesta &amp; S. M. su Consejo- Supremo de la Guer-</t>
  </si>
  <si>
    <t>Carmena, Juan Antonio</t>
  </si>
  <si>
    <t>Juan Antonio Carmena</t>
  </si>
  <si>
    <t>…venden en la Real Calcografía, sita en la, imprenta Re d. li. t itnp.ti en medio pliego de marca rna'ior. Un Mece Homo y una 1) Morosa , por otigmaies del Ticiano , y grabadas por D. Juan Antonio Carmena, Cjd i ur.a 6 1-'._Santiago, patrón ele E.paña , del original d; Morólo, grabada por ei misino, 6 ij _Ua vendimiador v una vendí viadora , por oCglua’es drl propio autor, g;a'-..J • * p^r el mbmo, cada una 4 rs—C.ii-,to cru.ilícido, pintado por VeHzq ¡e/, gra…</t>
  </si>
  <si>
    <t>…mpas en cuartilla demarca mayor. Muestras de escribir por Don Domingo Servidori, grabadas por D. Lorenzo Mansilla, á real cada una.:z:Estampa de la Iglesia triunfante, grabada por D. Juan Antonio Carmena, á g rs. — Es tampa de la alegoría de la misa, grabada por el mismo, á 3 rs.z: ü Madre del di vino Redentor, dibujada por A. Ciraroli, y grabada por D. Juan Bruneti, á 6 rs.zz: El Salvador del mundo, del original de Aníbal Carachi, grabado por el mismo, á 6 r…</t>
  </si>
  <si>
    <t>Carmona, Juan Antonio</t>
  </si>
  <si>
    <t>Juan Antonio Carmona</t>
  </si>
  <si>
    <t>…lcografía, sita «n la imprenta Real. Estampas en medio pliego de marca mayor. Jesús N.izarero, como H venera en el convento de ^Padres Trinitarios descalzos de Madrid, grabado por D. Juan Antonio Carmona, á 5 rs.zrS. Lorenzo y S. Sebastian, giabadas per el mismo, i 5 rs. cada una.^Fl divino Pastor y divina Pastera, cr^badis per e¡ mis ino, á 5 rs.“Nuestra Señora del Rosario, grabada por el misino , á 5 rs.“Nuestra Señora de Atocha, grabada por el mismo, á 5 r…</t>
  </si>
  <si>
    <t>…ica. Au/.i. En la gaceta núm. tía , folio 98^,, en el anuncio de las estampas de la Real Cal cogratia , donde dice el Santísimo Sacramento, grabado por el mbino, léase grabado por D. Juan Antonio Carmona ; y lo mismo nuestra péñora de-la Soledad de la Victoria. KN LA IMPRENTA REAL.</t>
  </si>
  <si>
    <t>…Continuación de las estampas que se venden en la Real Calcografía, sita en U imprenta Real. E.t.impas en medio pliego de marca mayor. Nuestra Señora de las Angustias , grabada por D. Juan Antonio Carmona, á 5 rs. ~ Nuestra Señora del Sagrario, grabada por el nmmo, i 5 rs. = Retiato del Rey D. Carlos iv , grabado i una linca por D. Juan B uncli,, á 8 rs. n Dos estampas de la obra del Salustio, por D. Manuel Salvador Carmona , á 8 rs. cada una. (Se continuará.…</t>
  </si>
  <si>
    <t>Carmona, Jum Antonio</t>
  </si>
  <si>
    <t>Jum Antonio Carmona</t>
  </si>
  <si>
    <t>…la Ae marea mayor. El Niño Jesús de Pasión, grabado por D. Juan Antonio C mirona, á 4 rs.r^Las cuatro estacionas del año, inventadas por D. Manuel Salvador Carmona, y grabadas por D. Jum Antonio Carmona, á 8 rs. rzColección de 20 cabezas devotas, copi ¡s de originales de varios célebres pintores, grabadas por D. Josef Navia, á 2 rs. cada una. {Se continuará.) Se vende una casa sita en esta corte y su calle de Cabestreros, señalada con el m'im. 8 de la manz.…</t>
  </si>
  <si>
    <t>Carmona, Manuel Salvador</t>
  </si>
  <si>
    <t>Manuel Salvador Carmona</t>
  </si>
  <si>
    <t>…de Aníbal Caracci, dibujada por D. Josef Camarón, y grabada por Don Rafael Esteve: á 16 rs.zz Retrato del V. Fr. Sebastian Sillero, del original de Don Gregorio Ferro, grabada por D. Manuel Salvador Carmona: á 10 rs. ~Retrato de Carlos n, del original de Claudio Coello, grabado por D. Luis Nose^et: i 8 rs.= Retrato del P. Fr. Francisco de los Santos, del original de Claudio Coello, graba do por D. Luis Noseret: á 8 rs. zrEl sueño de Jesús, del original de Antoni…</t>
  </si>
  <si>
    <t>…ra Señora del Sagrario, grabada por el nmmo, i 5 rs. = Retiato del Rey D. Carlos iv , grabado i una linca por D. Juan B uncli,, á 8 rs. n Dos estampas de la obra del Salustio, por D. Manuel Salvador Carmona , á 8 rs. cada una. (Se continuará. ) Quien quisiere hacer postura á una casa sita en esta corto y su calle de la Mon tera, señalada con el núm. *3 , manz. 543, que tiene de sitio 659*! P^s, tasada últimamente en 358693 rs. vn., lo egecutarj en el término de…</t>
  </si>
  <si>
    <t>1012 8 rs. cada una. Estampas en cuartilla Ae marea mayor. El Niño Jesús de Pasión, grabado por D. Juan Antonio C mirona, á 4 rs.r^Las cuatro estacionas del año, inventadas por D. Manuel Salvador Carmona, y grabadas por D. Jum Antonio Carmona, á 8 rs. rzColección de 20 cabezas devotas, copi ¡s de originales de varios célebres pintores, grabadas por D. Josef Navia, á 2 rs. cada una. {Se continuará.) Se vende una casa sita en esta corte y su calle de Cabestrero…</t>
  </si>
  <si>
    <t>…encia, dibujada por D. Antonio Josef Cavanilles, y grabada por D. Tomas En grúdanos, á 5 rs.tnSeis estampas del poema de la música, dibujadas por D. Greor'10 Ferro, y grabadas por D. Manuel Salvador Carmona, D. Fernando Sclma y ) Joaquín Ballester, á 16 rs. rrrCuatro estampas de devoción, dibujadas por Doaf Mariano Maella, y grabadas por D. Manuel Salvador Carmona y T). Joaquín Ballester, á 8 rs. ( Se continuará Por providencia del Sr. D. León de la Cámara Cano,…</t>
  </si>
  <si>
    <t>Carmonu, Juan Antonio</t>
  </si>
  <si>
    <t>Juan Antonio Carmonu</t>
  </si>
  <si>
    <t>…grabada por D. Alfonso García Sanz, í 6 rs.rzEl Apostola do , colección de 28 estampas, con la Sacra Familia, los Evangelistas y los Docto res de la Ictlesia , grabadas todas por D. Juan Antonio Carmonu , á 5 rs. cada es tampa. ~La misma colección en 8.°, grabada por el mismo, á 20 rs. (Se continuará.') Se venden dos casas y diferentes tierras en el lugar de Vailecas y su término, £ •aber: una en la calle que llaman del Mesón nuevo, tasada en 1 1360 rs. 30 m…</t>
  </si>
  <si>
    <t>Carnerero, Rosa Abad y</t>
  </si>
  <si>
    <t>Rosa Abad y Carnerero</t>
  </si>
  <si>
    <t>…dias, contados desde 2 del cor riente, concurran á dicho juzgado y referida escribanía á acreditar su legítima perte nencia; entendidos que de no hacerlo se declarará por de la de Doña Rosa Abad y Carnerero. La persona á quien pertenezca una egecutoria ganada por D. Francisco de Mia ses en la Real chancillena de la ciudad de Valladolid, en contradictorio juicio con los marqueses de Añavete y otros, sobre la sucesión de los mayorazgos fundados por D. Gonzalo de M…</t>
  </si>
  <si>
    <t>Carnot</t>
  </si>
  <si>
    <t>…l Prosna, pertenezca á la Prusia. La primera propo sición fue acogida favorablemente por el Emperador de Rusia; pero la se gunda fue desechada á instancias del Gobierno polaco. El general Carnot ha obtenido permiso para vivir en Magdeburgo; pero no podrá alejarse de la ciudad sin una orden especial. AUSTRIA. Vtena 6 de Noviembre. ¡ No es posible formarse una idea exacta del impulso que han dado al co mercio y á la industria los preparativos de las gr…</t>
  </si>
  <si>
    <t>Caro, Juan Zapata y</t>
  </si>
  <si>
    <t>Juan Zapata y Caro</t>
  </si>
  <si>
    <t>…la ciudad de Arcos de la Frontera, y estando equi vocados los apellidos de otros, se advierte que los sugetós nombrados fueron Don Mateo Francisco de Rivas, D. Antonio María Alcx, D. Juan Zapata y Caro, Don Josef María Obregon y D. Pedro Josef Zapata. EN LA IMPRENTA REAL.</t>
  </si>
  <si>
    <t>Caro, Manuel</t>
  </si>
  <si>
    <t>Manuel Caro</t>
  </si>
  <si>
    <t>…ogía, calografía, gramática castellana, ortografía, aritmética y urbanidad ; habiéndose hecho dignos del aplauso del lucidísi mo concurso y de los premios que se Ies distribuyeron D. Manuel Caro, D, Ildefonso Lucas, D. Josef de Neira , D. Antonio Montero, D. Antonio Rodríguez, D. Antonio Villar., D. Antonio Ulloa y D. Antonio Cartnona. Para dar fin á este acto D. Cristóbal Romero García, cura mas antiguo y beneficiado propio de lá Encarnación de esta…</t>
  </si>
  <si>
    <t>Carpintero, Luis</t>
  </si>
  <si>
    <t>Luis Carpintero</t>
  </si>
  <si>
    <t>…usto enlace. En el mismo dia tuvieron la honra de felicitar á S. M., á nombre de la ciudad de Calatayud , el Excmo. Sr. duque de Híjar, el coronel graduado de los Reales egércitos D. Luis Carpintero, gobernador militar y político de dicha ciudad , D. Mariano Lobera, consejero de guerra jubilado, y D. Ma riano Beaumont y Bretón ,abogado de los Reales Consejos,y regidor perpe tuo del mismo pueblo; quienes dijeron á S. M.: ,,No ha habido dia mas feliz para…</t>
  </si>
  <si>
    <t>Carral, Felipe Neri</t>
  </si>
  <si>
    <t>Felipe Neri Carral</t>
  </si>
  <si>
    <t>…ocho medallas de plata (ias que en su anverso tenían esculpidas las armas de Talavera y año, y en el reverso este lema: progressui in litterú) á ios mas sobresalientes, que fueron D. Felipe Neri Carral, D. Antonio Resino, D- Joseí Rodríguez, D. Simón de Sousa, D. Manuel García Santander, D. Mariano Martin, Doa Juan de Baños y D. Josef Portales, con sentimiento de no haber hecho mas para premiar los restantes, que creyó dignos todos de sus benéficas in tenci…</t>
  </si>
  <si>
    <t>…y casas consistoriales, donde en virtud de convire se hallaban reunidas las autoridades de esta villa, señores párrocos, comunida des religiosas y demás personas de todas clases. D. Felipe Neri Carral abrió el acto con un sucinto y elegante discurso, en el que expuso las ventajas que nacen de la instrucción. En seguida dieron una completa noticia de la doctrina cristiana: explicaron los principales su cesos de la historia sagrada, dividida en siete edades…</t>
  </si>
  <si>
    <t>Carral, Ramón Agustín</t>
  </si>
  <si>
    <t>Ramón Agustín Carral</t>
  </si>
  <si>
    <t>…l de reparar el edificio del establecimiento, y restablecer la educación de la juventud, confiando el desempeño de la cáte dra de latinidad y humanidades al benemérito é instruido profesor D. Ramón Agustín Carral. Deseando este dar al público un claro testimonio del zelo que le anima én la educación de la juventud que se le ha confiado, presentó á exámenes públicos á sus alumnos en número de 40 ,bajo los auspicios y presidencia de su ilustre ayuntamiento y casas consi…</t>
  </si>
  <si>
    <t>Carranque, Juan María</t>
  </si>
  <si>
    <t>Juan María Carranque</t>
  </si>
  <si>
    <t>…D. Fernando Tazo y D Francisco Lanza Treiles; graduación de oficiales primeros á los segundos D. Josef Franco Sánchez y D. Francisco Calvo; graduación de se gundos á ios terceros D. Juan María Carranque y D. Angel Torredemer; graduación de terceros á los cuartos D. Manuel Trugillo y D. Jacinto Bota na; graduación de cuartos á los quintos D. Josef Fernandez Nuñez y Don Nicolás Arias Mandia , y graduación de quintos á los meritorios D. Josef Suarez Albanell y D. Alejandro de la Cal…</t>
  </si>
  <si>
    <t>Carranza, Manuel Benito</t>
  </si>
  <si>
    <t>Manuel Benito Carranza</t>
  </si>
  <si>
    <t>…gencia que los individuos nombrados por S. M. para formar dicha Junta son D. Tosef de Imaz, Director general de Rentas» D. Juan López de Peñalver, D. Francisco Durango y Ortuzir, D. Manuel Benito Carranza, Vista de la Aduana de C:í iiz , y D. Vicente Iturriria» Vista de la de la Corana.” Lo que traslado á V. S. 1. de Real orden para que disponga el Consejo su cumpli miento en la parte que corresponde.” Publicada ftn el Consejo pleno la antecedente Real orden»…</t>
  </si>
  <si>
    <t>Carranza, Ramón de</t>
  </si>
  <si>
    <t>Ramón de Carranza</t>
  </si>
  <si>
    <t>…l cumplimiento de nuestros respectivos deberes, y de este modo habremos correspondido dignamente al aprecio con que S. M. nos distingue.” Acto continuo, por el escribano de Cámara D. Ramón de Carranza se dio cuenta del expresado Real decreto de 9 de Agosto, que se mandó guar dar y cumplir; y después de haberse declarado por legalmente instalada di cha suprema junta, se dio principio al despacho de los negocios propios de su atribución, y concluido se levan…</t>
  </si>
  <si>
    <t>Carrasco, Francisco</t>
  </si>
  <si>
    <t>Francisco Carrasco</t>
  </si>
  <si>
    <t>…Pe dro Espina 11 5. D. Manuel García 46. D. Francisco Meneses 4. D. Manuel Castellano 22. D. Antonio Salceda 10. D. Félix Mcdinilla 6. D. Manuel Parra 69. D. Juan Martin Parra 4. D. Francisco Carrasco 2. D. Vicente Ximenez 6. Josef Alcaide 8. Miguel Palacios 8. Antonio Garrigos 2. Marga rita Martin 20. Pueblos. Navas del Marques 1500 rs. Arévalo 3100. Cabreros 1937 rs* y 20 mrs. La tierra de la provincia , que entregaron sus procuradores, 2© rs* Cespedosa…</t>
  </si>
  <si>
    <t>Carrasco, Josef García</t>
  </si>
  <si>
    <t>Josef García Carrasco</t>
  </si>
  <si>
    <t>…no y diputado del mis mo ayuntamiento; de los cuales el primero pronunció el di curso siguiente: „Señor: La M. I. y L. villa de Cáceres, provincia de Extremadura, representada por D. Josef García Carrasco, diputado de ella, y su regidor decano el conde de Torre-Arias, tiene la noble satisfacción de poder ha cer presente á V. M. que aunque rodeada por todas partes de bayonetas enemigas, y expuesta á cada paso á sufrir las vejaciones y violencias con que trataba…</t>
  </si>
  <si>
    <t>Carrasco, JosefGarcía</t>
  </si>
  <si>
    <t>JosefGarcía Carrasco</t>
  </si>
  <si>
    <t>…A. por sus concertados enlaces, á nombre de la villa de Cáceres, en la provincia de Ex tremadura, el marques de Santa Marta, vecino de ella,y regidor decano de su ayuntamiento, y D. JosefGarcía Carrasco, vecino y diputado del mis mo ayuntamiento; de los cuales el primero pronunció el di curso siguiente: „Señor: La M. I. y L. villa de Cáceres, provincia de Extremadura, representada por D. Josef García Carrasco, diputado de ella, y su regidor decano el conde d…</t>
  </si>
  <si>
    <t>Carrasco, Pablo Lorenzo</t>
  </si>
  <si>
    <t>Pablo Lorenzo Carrasco</t>
  </si>
  <si>
    <t>…tar á S. M., y besar su Real mano en nombre del cabildo catedral de Cuenca ,D. Guillermo Hoalde, chantre, D. Ramón de Eyaralar, arcediano de Moya, D. Joscf Santibañez, canónigo, y D. Pablo Lorenzo Carrasco, doctoral de la misma iglesia ; y el primero dijo: „Señor: Él cabildo catedral de Cuenca, constante en los sentimientos de lealtad y amor á vuestra Real Persona, que en varias ocasiones he tenido el honor de manifestaros, nos manda que en su nombre felicitemo…</t>
  </si>
  <si>
    <t>Carreño, Ignacio</t>
  </si>
  <si>
    <t>Ignacio Carreño</t>
  </si>
  <si>
    <t>…rocedente de Cartagena de Indias. A saber: ca pitan. D. Matías Padrón, ayudante del mayor general de marina del estado; segundo Joaquín Tasurt, capitán de corsario, mulato; medico D. Ignacio Carreño, capitán de infantería; subteniente D. Antonio Pauno; idem Francisco Urbina ; ídem Manuel Carreño; idem Ignacio Romero; un sargento de morenos, moribun do, murió á su desembarco; Evaristo Poveda, de color, libre; Josef Parra, idem idem; María Damasa de la Con…</t>
  </si>
  <si>
    <t>Carreras, Francisco</t>
  </si>
  <si>
    <t>Francisco Carreras</t>
  </si>
  <si>
    <t>…incipio recitando los alumnos D. Benito de Gracia, D. Bernardo Kstevez,D. Alfonso Berastegui, D. Jost-f y D.Juan Diez Prado, D. Juan y I&gt;. Gerónimo Ortega , D. J osefde la Fuente, Don Francisco Carreras y í&gt;. Josef Seoane las tabulas de Inarte y de Samaniego con exactitud, explicando la moralidad , y haciendo diversas reflexiones sobre Jos mismos alumnos ; en diálogo retiñeron varios pasages de la historia sagra da; hicieron un grande y lucido certamen por l…</t>
  </si>
  <si>
    <t>Carreras, Isidoro</t>
  </si>
  <si>
    <t>Isidoro Carreras</t>
  </si>
  <si>
    <t>…eros D. Joaquín María Prieto y D. Mariano Faquineto ; graduación de terceros á los cuartos D. Tomas Subiela y D. Francisco Sanz Andino Lavaggi; graduación de cuartos á los quintos D. Isidoro Carreras y D. Josef Pajares, y graduación de quintos á los meritorios D. Aquilino Ibérnon y Don Josef María Martinez. POR LA SECRETARIA DE MAYORDOMIA MAYOR. Llaves de Gentileshombre s de camara con ejercicio Al Excmo. Sr. conde de Fuentes , D. Genaro de Perellós y Palafox, conde de Revi…</t>
  </si>
  <si>
    <t>Carreras, Luis</t>
  </si>
  <si>
    <t>Luis Carreras</t>
  </si>
  <si>
    <t>…® [Catecismo político español constitucional que á imitación del de Doctrina cristiana compuesto por el Sr. Reínoso presenta al publico E. D. D. E. A. , en Málaga en la oficina de D. Luis Carreras, año de 1814. Y el 5° Catecis* mo cristiano político compuesto por un Magistrado para la educación de su hijo, y dado á luz por el Ayuntamiento de Antequera para el uso de su s escuelas, impreso en la misma por la viuda é hijos de Calvez, año de 1814;” y habi…</t>
  </si>
  <si>
    <t>Carrere, Diego</t>
  </si>
  <si>
    <t>Diego Carrere</t>
  </si>
  <si>
    <t>…re hermanos á la orden de D. Diego Díaz de Acevedo sobre D. Pedro Baille1 y compañía, de Madrid: otra de dos doblones dada en París en 15 de Julio de 1811 por Seiliá á la orden de D. Diego Carrere á cargo de los señores hermanos Barthel'emy , ce Madrid: otra tercera de 8973 rs. plata, dada en Cádiz el 18 de Octubre de 1808 por Josef Dionisio de ligarte á su orden sobre D. Francisco de Vea Murguía , oe Alcalá, á pa gar en Madrid:, una copia de segunda l…</t>
  </si>
  <si>
    <t>Carrero, Antonio</t>
  </si>
  <si>
    <t>Antonio Carrero</t>
  </si>
  <si>
    <t>…jo y D. Antonio Alonso , tesoreros de egército y Real hacienda de Cádiz. Idem de secretarios del Rey A D. Josef Armesto y Segovia, contador de Resultas de la contaduría mayor, y á D. Antonio Carrero, idem de título. Idem de tesorero de Egército A D. Josef Robelo, depositario de Rentas de Sanlúcar. POR LA SECRETARIA DEL DESPACHO DE MARINA. EN EL CUERPO GENERAL DE LA ARMADA. Cruces pensionadas de la Real y distinguida orden española de Carlos tii. A D. Mig…</t>
  </si>
  <si>
    <t>Carretero, Agustín López</t>
  </si>
  <si>
    <t>Agustín López Carretero</t>
  </si>
  <si>
    <t>…teme me alcalde del Sermo. Sr. Infante D. Cárlos María, que lo es perpetuo, dlgníimo Her mano mayor y protector de la misma, D. JosefGarcía de la Torre, alcal de de casa y corte, D. Agustín López Carretero, asesor de ios Ordenes mi litares , regidores perpetuos en asiento y banco de caballeros de la ciudad de Toledo, y D. Apolinar de Uruñuela, caballerizo de campo de S M., y her manos de la expresada santa hermandad; de los cuales el primero dijo: „ Señor: La S…</t>
  </si>
  <si>
    <t>Carreto, Leonor María del</t>
  </si>
  <si>
    <t>Leonor María del Carreto</t>
  </si>
  <si>
    <t>…nte en Suipacha. En acuerdo celebrado en 15 del corriente por el Excmoí Sr. marques de Malpica y de Man cera , patrono único de las memorias fundadas por las Ex celentísimas Sras. Doña Leonor María del Carreto y7 Doña Teresa JulianaLortocarrero, marquesas que fueron del propio tirulo, se ha servido mandar que habiendo acudido pocas agraciadas á las prebendas de dichas memorias que hayan tomado el estado para que les fue designada , sin embargo del anuncio que al ef…</t>
  </si>
  <si>
    <t>Carril, Agustín</t>
  </si>
  <si>
    <t>Agustín Carril</t>
  </si>
  <si>
    <t>…a misma, ó á sus herederos en ca so de haber fallecido, é igualmente á los herederos del marques de Ba^secourt, ca pitán general que fufe de la provincia de Guipúzcoa , y á los de D. Agustín Carril, escribano que fue de dicha ciudad de S. Sebastian, para que en el término de dos meses, contados desde'esta publicación, se presenten en dicha superioridad a”l se guimiento de los autos que tienen pendientes con el señor fiscal togado sobre ja pre sa y comis…</t>
  </si>
  <si>
    <t>Carrillo, Agustín Gómez de Aranaa y</t>
  </si>
  <si>
    <t>Agustín Gómez de Aranaa y Carrillo</t>
  </si>
  <si>
    <t>…de mayor D. Cristó bal María Antón y de D. Francisco de Paula Bernay : otra de la villa de Rute, compuesta igualmente de su alcalde mayor D. Manuel de Sto. Do mingo y Herrera y de D. Agustín Gómez de Aranaa y Carrillo: otra de la villa de Baena, que se componía también de ?u alcalde mayor D. Loren zo Casaux , dé D. Alfonso Josef de Vida, regidor de La misma villa , y de D. Josef Jurado Caballero, síndico procurador general de la misma: otra de la villa de Luque, de la que…</t>
  </si>
  <si>
    <t>Carrillo, Fernando</t>
  </si>
  <si>
    <t>Fernando Carrillo</t>
  </si>
  <si>
    <t>…uno: D. Antonio Chalanzon uno:D. Santiago Treve uno: D. Juan Hechilla uno: D. Ricardo Muñoz uno: D. Marcos Unzue uno: D. Manuel García ur.o: D. Juan Ocon uno: D. Manuel Cono uno: D. Fernando Carrillo uno: D. Josef Cantalapiedr» uno: D. Tomas Medina uno: D. Josef Salinas uno: D. Fernando Acuña uno: D. Nicolás Suarcz dos: D. Josef Robles uno: D. Blas López cuatro: el mar ques de Villadangos dos : e! marques de Castrojanillos dos: D. Josef Quiño nes dos: D.…</t>
  </si>
  <si>
    <t>Carrillo, Manuel</t>
  </si>
  <si>
    <t>Manuel Carrillo</t>
  </si>
  <si>
    <t>…U-rban , que tantos y tan buenos discípulos presentó en este dia. Los otros dos premios se acordó fuesen dados por suertes entre las dos escue las de la villa, y tocó ef segundo á D. Manuel Carrillo, de edad de siete años, y el tercero á D. Antonio Sánchez , de seis; concluyéndose el.acto con otro discurso que hizo el jóven D. Miguel Granados, de dicha estíbela pía, probando la utilidad de estos actos, y dando gracias al ayuntamiento por el interes que s…</t>
  </si>
  <si>
    <t>Cartagena, Alfonso de</t>
  </si>
  <si>
    <t>Alfonso de Cartagena</t>
  </si>
  <si>
    <t>960 za, y D. Alfonso de Cartagena. = Cuaderno 18: D. Pedro Fernandez de Velasco, Juan Sebastian de Elcano, Fr. Mek h ¿r Canoc, el P. Alfonso Salmerón, D Ber nardo de Valbuena, y D. Felipe Gil de Tabeada. Se vende cada cuaderno con un epítome de la vida de los sujetos retratados á 50 ra., y ca…</t>
  </si>
  <si>
    <t>Carvajal, Joaquín Manuel</t>
  </si>
  <si>
    <t>Joaquín Manuel Carvajal</t>
  </si>
  <si>
    <t>…no.” ' v Asimismo tuvieron la honra de besar da Real máno de S. M., y felicitar le con igual motivo á nombre de la villa ,de Bailen., los comisionados D. Fé lix- Alonso y Calzas y D. Joaquín Manuel Carvajal, el primero de los cua les arengó á S. M. en los términos siguientes: ,,Señor: La villa de Bailen, memorable por. la primer victoria que estre meció al tirano de la Europa en la cumbre de su colosal poder, y á la que -cooperó la constante fidelidad de sus hab…</t>
  </si>
  <si>
    <t>Carvajal, Joséf María</t>
  </si>
  <si>
    <t>Joséf María Carvajal</t>
  </si>
  <si>
    <t>…mifig^ D. «Trinidad Caraveo y Lavalle, D. Alejan dro Ainirola y Pal vía-, D. Eusebio Fernandez , D: Francisco Diaz y Ramí rez, ;D Cruz A íburquérqtié,£iD: JFosef Varelá y Cancela, D. Joséf María Carvajal ;Jiaí artillero' disti^guído' D. Joséf1 dé Tetlería y Jáuiregut, y al cabo ‘ del^ ivil^Eíí11!?^0'..P^ítuiS'YWilés ^Gohiález. - _ K't • JAíi.H ATKUnmi ÁJ. *: sA</t>
  </si>
  <si>
    <t>Carvajal, Juan</t>
  </si>
  <si>
    <t>Juan Carvajal</t>
  </si>
  <si>
    <t>…s id. Vicente Moltó id. Miguel Moltó id. Agustín Pé rez id. Francisco Gosalbes id. Manuel Gosalbes 10. Fernando Sapena id. Vicente Sapena id. Andrés Monlior id. Escuela dd maestro D. Juan Carvajal. Tadeo Abad 20 rs. Joaquín Giner id. Luis Berenguer id. Escuela del maestro Miguel Cabrera. Blas Perez 20 rs. Rafael Llopis id. Tomas Pascual id. Francisco Abargue.s 10. Rafael Llorens id. Escuela del maestro Baltasar Paya. Roque Vilaplana 20 rs. Josef gisber…</t>
  </si>
  <si>
    <t>Cas, Francisco González del</t>
  </si>
  <si>
    <t>Francisco González del Cas</t>
  </si>
  <si>
    <t>…de Turne. El día 28 Je! pasado tuvieron la honra de fe lie ira r á S. M. por so con tratado y augusto enlace á nombre de la ciudad de Soria sus comisionados el mari cal de cam &gt;0 D. Francisco González del Cas tejón y el regidor de la misma ciudad D. Alejo de Oria; el primero de los cuales dirigió a S. M. el discurso siguiente: ,,Señor: A L R. P. de V. M. llenos del mas constante amor hácia su au gusta'Persona D. Francisco González del Castejon, caball. ro de Justi…</t>
  </si>
  <si>
    <t>Cas, Luis López de</t>
  </si>
  <si>
    <t>Luis López de Cas</t>
  </si>
  <si>
    <t>…Salvador López del Pan, del Consejo de S. M. , su alcalde de casa y corte, dada en 5 del corriente mes y año, y refren dada por el escribano de provincia y comisiones de la misma D. Luis López de Cas tro, se cita, llama y emplaza á todos los parientes que se conozcan con derecho ü Jos bienes de Santiago Vilialba, de estado soltero, que falleció abintestado en el lu gar de Viforcos, obispado de Astorga, reino de Galicia, á 7 de Agosto de 1804, para que en…</t>
  </si>
  <si>
    <t>Cas-anides, Jostf Aniomo</t>
  </si>
  <si>
    <t>Jostf Aniomo Cas-anides</t>
  </si>
  <si>
    <t>…badas por diferentes profesores acreditados-. á 11 rs cada una. = Tres vistas del anfiteatro de Murviedro, dir.i o as por el autor cíe las obser vaciones sobre el remo de Valencia D. Jostf Aniomo Cas-anides, y grabados por D. Rafael Esteve y D. Tomas Enguídan* s : a iS rs. cada ur.a.—Vúia en perspecti va de la plaza nueva de la ciudad de . v gec ras, dibujada por ei coronel ce a.iiuexía D. Jcsef Dolz, y grabada por D. Tuinas Engrúdanos, a i 2 rs. {Se cor.t'nuara…</t>
  </si>
  <si>
    <t>Casacuberta, Francisco</t>
  </si>
  <si>
    <t>Francisco Casacuberta</t>
  </si>
  <si>
    <t>…n atrás sus compa ñeros y condiscípulos, los cuales demostráronlas proposiciones'que siguen: D. Francisco Iborra: la agricultura no puede prosperar sin el fomento de'la industria. D. Francisco Casacuberta: el Gobierno debe concurrir á la producción protegiendo, no prescribiendo. D. Miguel Albert: es indispensable en España la construcción de cami nos y canales para fomentar y asegurar su prosperidad. D. Jaime Moré: es absolutamente necesaria la libertad pruden…</t>
  </si>
  <si>
    <t>Casado, Isidro</t>
  </si>
  <si>
    <t>Isidro Casado</t>
  </si>
  <si>
    <t>…en la asistencia con un pueblo dé los.de Ja inmediación que hay de distancia media legua ó legua , de igual vecindariopoco mas ó menos. Los pretendiente» dirigirán su* solicitud á D. Isidro Casado , pro-curador síndico general de la misma villa. , En la gaceta anterior pág. 113, líneas 27 y 28, donde dice con la fuga de Bou apar te de la isla de Sta. Elena, léase de la isla de Elba. EN LA IMPRENTA REAL,</t>
  </si>
  <si>
    <t>Casado, Juan García Cefedonó’</t>
  </si>
  <si>
    <t>Juan García Cefedonó’ Casado</t>
  </si>
  <si>
    <t>…su clase y mérito, que fueron con los premios- prime ros D. Joaqurn Cañed'o , D. Leo na rdo-García , D. Bernardo Cadenas, Don Joaquín Vargas y D. Mantiél Ribera: con los segundos D. Juan García Cefedonó’ Casado, D. Francisco. Canillas, D-. Máximo de Vargas y Don‘Ge»Bíuo Salgado , D. Pedia Gómez y D. Pedro Miguel; y con los tetcetoi</t>
  </si>
  <si>
    <t>Casan, Domingo</t>
  </si>
  <si>
    <t>Domingo Casan</t>
  </si>
  <si>
    <t>…austduo; en Zaragoza con D: Nicolás Barra, en S. Juan de los Pañete»; en ruri.j»a con Doña Antonia JorJá; en Sevilla con D. E»iéban Martí nez, coi red't de número; en Valencia con D. Domingo Casan il , encargado del arregi.- del Real aid.ivo, calle de Juristas, y en Cádiz con D. Josef Guiue ino Pa.a icini. Se halla vacante el partido de cirujano de la villa de Aranzueque, provincia de Guadalajara, distante de Madrid nueve leguas, pueblo de carrera para…</t>
  </si>
  <si>
    <t>Casano, Antonio</t>
  </si>
  <si>
    <t>Antonio Casano</t>
  </si>
  <si>
    <t>…miento que lo constituyen á propósito para el mando, teniendo S. M. en él uno de los mejores oficiales del egército. „No puedo dejar en silencio al sargento mayor del mismo cuerpo Don Antonio Casano, y á los capitanes D. Josef María Barreiro, D. Ignacio Ro mero y D. Melchor Castaños, por su zelo y trabajos en la formación y des empeño de las baterías, en que no han reposado dia y noche. „ Al teniente coronel del Real cuerpo de ingenieros D. Juan Camacho…</t>
  </si>
  <si>
    <t>…el del regimiento infantería de León, y mayor ge neral interino de la del egército , D. Manuel de Villavicencio, comandante de escuadrón del regimiento de húsares de Fernando vil, D. Antonio Casano , sargento mayor de Artillería graduado de teniente coronel , D. Manuel Barreiro", capitán de Artillería ídem , D. Juan Camacho, capitán de Ingenie ros ídem, D. Ildefonso de Sierra, teniente coronel del regimiento infantería de la Victoria , D. Rafael de Zúñi…</t>
  </si>
  <si>
    <t>Casanova, Francisco</t>
  </si>
  <si>
    <t>Francisco Casanova</t>
  </si>
  <si>
    <t>…RR. pre lados de las comunidades religiosas, y otras varias, personas de carácter y literatura; y llegada la hora de las nueve de la mañana dio, principio á los exámenes el alumno D. Francisco Casanova, de la clase de mayores, pro nunciando una elegante oración latina, dando gracias al ayuntamiento por los paternales desvelos con que procura la instrucción pública. Después de lo cual I03 de la misma .clase D. Manuel Miguel, D. Vicente Romeo y D. Ci priano A…</t>
  </si>
  <si>
    <t>Casaprin, Josef Martínez</t>
  </si>
  <si>
    <t>Josef Martínez Casaprin</t>
  </si>
  <si>
    <t>-• El Rey nuestro Señor se há servido nombrar’sargénto miyor del re gimiento provincial de Salamanca al teniente coronel D. Josef Martínez Casaprin, capitán del de infantería de Valencey. S. M. se ha servido conceder la gracia de la cruz supernumeraria de la Real y distinguida orden, de Carlos m á D. .Manuel Pallares, gobernador del Real sitio de Aranjuez, en atención á sus servicios. Habiéndose servido…</t>
  </si>
  <si>
    <t>Casas, Juan</t>
  </si>
  <si>
    <t>Juan Casas</t>
  </si>
  <si>
    <t>99*5 se crean asistidos i dicho vale; en inteligencia de que no haciéndolo se declarará por de la pertenencia de D. Juan Casas, por quítale ha reclamado. Por el presente se cita, llama y emplaza á los censualistas y acreedores á la tes tamentaría de D. Bartolomé del-.Hoyo y Dofia Francisca de Tejada y sus bienes para que acudía á deducirle dentro del término de 1-5 dias, contados des…</t>
  </si>
  <si>
    <t>…an al referido juzgado y citada escribanía á deducir el derecho con que se crean asistidos á dicho vale; en Inteligencia de que no haciéndolo se declarará por de la pertenencia do D. Juan Casas, que Je ha reclamado. Tractatus de vera religione , auctore Ludovico Bailly. El objeto de esta obra , que es demostrar la infalible verdad de nuestra sagrada religión, y combatir la audacia de los incrédulos, manifiesta su importancia-en estos tiempos’, y ia…</t>
  </si>
  <si>
    <t>Casatnayor, Isabel María</t>
  </si>
  <si>
    <t>Isabel María Casatnayor</t>
  </si>
  <si>
    <t>16</t>
  </si>
  <si>
    <t>16 de S. M., alcalde de su Real casa y corte , dada en 2 2 del’pasado , refrendada de Don Luis López de Castro, escribano de provincia y comisiones, á instancia, de Doña Isabel María Casatnayor, se cita, llama y emplaza á los herederos ausentes de Don Juan Francisco Solano, que parece son los hijos de D. Bartolomé Solano, los here deros de D. Alanuel de Solano y Doña Paula Solano, que se halla casada con Don Martin Antonio Guizi, para que en el prec…</t>
  </si>
  <si>
    <t>Casaus, Pablo</t>
  </si>
  <si>
    <t>Pablo Casaus</t>
  </si>
  <si>
    <t>…n te iluminación, en que sobresalían los adornos, colgaduras y geroglíficos con que habían enriquecido la fachada del edificio que ocupa el colegio, y las ca sas de su director el coronel D. Pablo Casaus y demas empleados en este es tablecimiento , extendiéndose esta á todas las plazuelas que conducen al edificio, en cuyo centro se hallaba colocado el retrato de S M. bajo un rico dosel, adornado con tal gusto que daba un realce increíble á los demás adornos.…</t>
  </si>
  <si>
    <t>Casaviella, Justa</t>
  </si>
  <si>
    <t>Justa Casaviella</t>
  </si>
  <si>
    <t>786</t>
  </si>
  <si>
    <t>…ones ¿ una de las huérfanas de los militares 6 patriotas que hubieren muerto en defensa de ia justa causa de la nación, ha cabido en suerte del primer extracto de la de este dia ¿ Doña Justa Casaviella, hija de D. Ramón, capitán que fue del regimiento de infantería de Guadalajara, muerto en el campo del honor. La extracción siguiente se egecutará el dia 19 de Agosto. ARTICULO O E OFICIO. El R 11Y nuestro Señor se ha servido expedir el decreto siguiente: Par…</t>
  </si>
  <si>
    <t>Cáseo, María del Rosario</t>
  </si>
  <si>
    <t>María del Rosario Cáseo</t>
  </si>
  <si>
    <t>…ones á una de las huérfanas de los militares ó patriotas que hubieren muerto en defensa de la justa causa de la nación, ha cabido en suerte del primer extracto de Ja de este dia á Doña María del Rosario Cáseo, hija de D. Josef, teniente que fue del regimiento de infantería de Jaén , muerto en el campo del honor. La extracción siguiente se egecutará el dia 27 de' Mayo. ARTICULO DE OFICIO. Circular del Ministerio de Hacienda. Con esta fecha comunico á los Intendente…</t>
  </si>
  <si>
    <t>Caserillo, Félix Josef María</t>
  </si>
  <si>
    <t>Félix Josef María Caserillo</t>
  </si>
  <si>
    <t>…yuntamiento y clero, se dignaron admitir también á su presencia una diputación de la villa de Espejo, compuesta de su alcalde mayor D. Josef Pascual y Bayot y de su regidor decano D. Félix Josef María Caserillo, los cuales en nombre de los leales vecinos de aquella villa ofrecieron á S. M. y A. R. los mas sinceros homenages de respeto y sumisión. El mismo dia habiendo llegado S. M. y A. R. á la ciudad de Andujar, cuyo ayuntamiento , clero y demas corporaciones se ap…</t>
  </si>
  <si>
    <t>Cases, Tadeo Soler y</t>
  </si>
  <si>
    <t>Tadeo Soler y Cases</t>
  </si>
  <si>
    <t>…onsejo Real á D. Pedro de la Puente, corregidor político de la ciudad de Lorca; y á consulta de la Cámara se ha servido S¿ M. conceder honores de ministro del mismo Consejo Real á D. Tadeo Soler y Cases, al calde de su Real Casa y Corte. S. M. se ha servido conceder á la comunidad de religiosos dominicos del convento deNtra. Sra. de Atocha la gracia de cuatro títulos de Castilla , dos de ellos libres de lanzas y medias anatas., para que invierta# su moqueta,…</t>
  </si>
  <si>
    <t>…ios senti mientos de amor y lealtad que animan á tan benemérita oficialidad. El dia 14 de Noviembre último tuvieron el honor de felicitar á S. M., á nombre de la ciudad de Lérida, D. Tadeo Soler y Cases, alcblde decano de la sala de corte, y ministro honorario del supremo consejo de Castilla, Don Francisco Fu lgbsio, teniente segundo de Reales guardias Waionas,y D. Ig nacio Bufalá, guardia de la Persona del Rey ; el primero de los cuales dijo: ,,Señor : La d…</t>
  </si>
  <si>
    <t>Casi</t>
  </si>
  <si>
    <t>…es parará el perjuicio que haya lugar.Por la audiencia del Sr. D. Joaquín de Almazan y Ximeno, del consejo de S. M., teniente corregidor de esta villa, y escribanía del número del Sr. D. Casi miro Antonio Gómez, del consejo de S. M., su secretario, se están siguiendo autos por parte de la congregación de presbíteros de S. Felipe Neri de la ciudad de Al calá de Henares sobre la pertenencia de 14 vales Reales, de la creación de Se' tiembre, á saber:…</t>
  </si>
  <si>
    <t>Casimi</t>
  </si>
  <si>
    <t>…rá en el despacho de la imprenta Real. Por el juzgado del Sr. D. Joaquín-de Almazan y Ximeno , del consejo de S. M., teniente corregidor de esta villa, y escribanía del número del Sr. D. Casimi ro Antonio Gómez, del consejo de S. M., su secretario, se siguen autos por parte de D. Josef de Villegas, vecino y del comercio de la ciudad de la Coruña, como heredero de su hermano D. Sebastian de Villegas, sobre la pertenencia de dos vales Reales de á 300…</t>
  </si>
  <si>
    <t>…curso que corresponda. . , &gt; . ^ t,, , Por el juzgado del Sr. D. Joaquín de.‘"Almazan y Ximeno, delConsejo de S. M., teniente corregidor de esta villa de Madrid, y escribanía dél Sr. D. Casimi ro Antonio Gómez, se venden con Real facultad una casa en S. Sebastian de Gui púzcoa, y su calle Mayor, tasada en 30669 rs.: un solar de otra casa en dicha ca lle, con paredes de mimpostería, en 33730 rs.: un solar y paredes de otra casa, núm. 259 , en la pro…</t>
  </si>
  <si>
    <t>Casta, Pedro</t>
  </si>
  <si>
    <t>Pedro Casta</t>
  </si>
  <si>
    <t>…de la audiencia. r f. t i ; ¡ * . , Nota. En el aviso publicado en la gaceta del 27 del pasado, solicít'áñdo $‘rtbér él paradero de Dona María Fort y Doña María Gregoria, viuda dé D. Pedro Casta ñeda, aquella madre y ésta hérmaira dé D. Francisco Vison ..natural de Barcelona donde se dice qué esté fue primer-capitán de inválidos hábiles de ata plaza, léase de esta corte. . ‘ *• i v________ : • _______________________ ; • ■ - ■ • 11 ■ - ' - •- ■ —EN L…</t>
  </si>
  <si>
    <t>Castaños, Francesco Xavier der</t>
  </si>
  <si>
    <t>Francesco Xavier der Castaños</t>
  </si>
  <si>
    <t>…en los diarios de esta capital. Se verificó el acto literario en el referido dia, presidiéndole di cha Real junta, y habiéndose dignado honrarle con su presencia el Excelen tísimo Sr. D. Francesco Xavier der Castaños, capitán general de este ege'-rcitQj y principado. El salón de la casa-lonja, á pesar de su capacidad ,. apenas pu- ? ao contener el numeroso*.cuanto-lucido y escogido con.cutso, que ál &lt;paso‘ que no podía dejar de ¡mpoaer á. u»Qr¡jóvenes queestaban bien pene…</t>
  </si>
  <si>
    <t>Castaños, Francisco Xavier</t>
  </si>
  <si>
    <t>Francisco Xavier Castaños</t>
  </si>
  <si>
    <t>…la distinguida conducta que tuvieron en aquella batalla las tropas de la primera división le obligan á manifestar á V. M., valiéndose'de las palabras literales del general en gefe D. Francisco Xavier Castaños, y del divisionario D. Teodoro Reding, que habiendo va deado los 9© hombres de que se-'-componía entre infantería y caballería el caudaloso rio Guadalquivir por el vado que llaman del Rinco , desalojaron ¿ los enemigos de los puestos fortificados que tenían á…</t>
  </si>
  <si>
    <t>…. Sr. = El marques de Cápmany.= Ramón de Manresa. = Josef Antonio de Ferrer. = Por acuerdo de la muy ilustre ciudad de Gerona:= Juan Perez Claras , secretario. r= At Excelentísimo Sr. D. Francisco Xavier Castaños, capitán general de los Reales egércitos; capitán general en gefe del egército de la derecha. Madrid i.° de Marzo. ARTICULO DE OFICIO'. El Rey nuestro Señor se ha servido expedir el decreto siguiente: Para que se realicen1 mis benéficas Reales intenciones en…</t>
  </si>
  <si>
    <t>…u^ lada: Consideraciones generales sobre las ciencias y las artes. El Rey ha ma nifestado al autor su agradecimiento. ESPAÑA. ' . Barcelona j de Marzo. "i. . ; ; J ' ' "El Ex.cmo, Sr. D. Francisco Xavier Castaños &gt; capitán general de esté t principado s ha mandado publicar el edicto siguióme: „Mi primer objeto al tiempo de encargarme del mando de este vasto principado ha sido la seguridad pública. Por una consecuencia forzosa de las pasadas circunstancias existe en Ca…</t>
  </si>
  <si>
    <t>1342 vo de su augusto casamiento, á nombre de la ciudad de Montero , el Exce lentísimo Sr. D. Francisco Xavier Castaños, capitán general de ios Reales egircitos, regidor perpetuo preeminente de aquel ayuntamiento , y el Sr. Don Federico de Bernuy y Balda, caballero de justicia del orden de S. Juan; el primero de los cuales arengando á S. M. dijo entre otras cosas lo siguiente:…</t>
  </si>
  <si>
    <t>Castaños, Melchor</t>
  </si>
  <si>
    <t>Melchor Castaños</t>
  </si>
  <si>
    <t>…iquito, con el nombre de Maortua, en la misma TierraBomba, con cuatro piezás; cuya pronta y perfecta construcción se debió á la actividad y conocimientos dél capitán dé artillería D. Melchor Castaños. ,, Desde él dia 14 de Noviembre hasta el f de Diciembre no hubo nove- * dad particular, y se emplearon nuestras tropas en reunir pertrechos y demas * necesario para la batería que pehsábá formar sobre la punta del' Manzanillo, ^ con d fin de atacar decididam…</t>
  </si>
  <si>
    <t>…mejores oficiales del egército. „No puedo dejar en silencio al sargento mayor del mismo cuerpo Don Antonio Casano, y á los capitanes D. Josef María Barreiro, D. Ignacio Ro mero y D. Melchor Castaños, por su zelo y trabajos en la formación y des empeño de las baterías, en que no han reposado dia y noche. „ Al teniente coronel del Real cuerpo de ingenieros D. Juan Camacho y al capitán de zapadores D. Sebastian Díaz les estoy muy reconocido, al pri mero por…</t>
  </si>
  <si>
    <t>…apitanía general del NuevoReino de Granada, y D. JosefMaría Ramírez, secretario de la misma , la cruz de comendadores de la Real orden americana de Isabel la Católica: al capi tán D. Melchor Castaños, teniente de Artillería, la cruz de caballero de lá misma orden : al Dr. D. Josef Oderiz* teniente vicario general del egército, una canongía en Valencia ó Sevilla : al capellán D. Manuel Ortíz una canongía de Caracas, y al ilustre cabildo de la ciudad de Sta…</t>
  </si>
  <si>
    <t>Castejon, Francisco González del</t>
  </si>
  <si>
    <t>Francisco González del Castejon</t>
  </si>
  <si>
    <t>…misma ciudad D. Alejo de Oria; el primero de los cuales dirigió a S. M. el discurso siguiente: ,,Señor: A L R. P. de V. M. llenos del mas constante amor hácia su au gusta'Persona D. Francisco González del Castejon, caball. ro de Justicia del dicten de S. Juan, gentilhombre de cámara con entrada, mariscal de campo de los Reales egéreños, y D. Alejo Miguel de Ciria , abogado de los Reales consejos, regidor de vuestra leal ciudad de Soria, sus comisionado*» y apode rados…</t>
  </si>
  <si>
    <t>Castejon, Ildefonso</t>
  </si>
  <si>
    <t>Ildefonso Castejon</t>
  </si>
  <si>
    <t>El capellán mayor dé S. Segundo 30. D. Martin Uria 20. D. Ju?to Sarrandeg ;i 24. El capellán mayor de Sta. Ana 12. D. Francisco Illera so. Don Ildefonso Castejon 24. D. l omas Landias 20. D. Vicente Evaristo Blasco 20. D. Gaspar Arribas 24. D. Damian González de Salazar 160. El beneficiado de S. Vicente 4^0. Pedro Seguir 6. D. Joaquín Zagonero 20. D. Francisco Villegas 2. D Josef Pavat 23. El R. P. general de Gerónimo…</t>
  </si>
  <si>
    <t>Castellano, Manuel</t>
  </si>
  <si>
    <t>Manuel Castellano</t>
  </si>
  <si>
    <t>…Josef Brochero 40. D Manuel Palomares 30. Don Pabio Aviles 23 D. Joaquín Delgado 69. D. Sebastian Zahonero 60. D. Pe dro Espina 11 5. D. Manuel García 46. D. Francisco Meneses 4. D. Manuel Castellano 22. D. Antonio Salceda 10. D. Félix Mcdinilla 6. D. Manuel Parra 69. D. Juan Martin Parra 4. D. Francisco Carrasco 2. D. Vicente Ximenez 6. Josef Alcaide 8. Miguel Palacios 8. Antonio Garrigos 2. Marga rita Martin 20. Pueblos. Navas del Marques 1500 rs. Aréva…</t>
  </si>
  <si>
    <t>Castellar, Joaquín Dolz del</t>
  </si>
  <si>
    <t>Joaquín Dolz del Castellar</t>
  </si>
  <si>
    <t>…ue sean mas dignos y á propósito para obtener las becas. Madrid 30 de Marzo de i8ió.=:Por acuerdo de la junta. = Santos Sánchez. ARTICULO DE OFICIO. El Rey se ha servido nombrar á D. Joaquín Dolz del Castellar para~‘el</t>
  </si>
  <si>
    <t>Castellarnau, Narcisa de</t>
  </si>
  <si>
    <t>Narcisa de Castellarnau</t>
  </si>
  <si>
    <t>…rancisco Miguel : gratificación, D. Francisco Diaz. Señoritas premiadas. 1.a clase. Premio, Dora María Tecla de Castellarnau: gratificación, Ma riana Rivas : otra extraordinaria , Doña Narcisa de Castellarnau. 2.a clase. Premio, María Musté: gratificación, Francisca Vasallo. 3.a clase. Premio, Doña María Josefa de Montolui y de Dusai: gratifi cación , María Antonia Bartoli. ARTICULO DE OFICIO. Circulares del Ministerio de Guerra. 1.a Varios Oficiales del Real Cuer…</t>
  </si>
  <si>
    <t>Castelló, Tomas Oírra y</t>
  </si>
  <si>
    <t>Tomas Oírra y Castelló</t>
  </si>
  <si>
    <t>…vara de alcalde mayor de la ciudad de S. Felipe de Játiva : á D. Joser Perranaiz y Sánchez para la del Villar del Arzobispo: á D. Ra fael Calabuíg para la de la villa de Ay ora: á D. Tomas Oírra y Castelló para la de Jalón: á D. Francisco Antonio Oniza para la de la villa de Ri va roja: á D. Josef Giménez Vinerta para la de Catarro ja : para la de la villa de Relchite á D. Francisco Fernandez de Gal vez; y para la de la villa de Epila á D. Rafael Larraz. Igualm…</t>
  </si>
  <si>
    <t>Castelvi, Vicente</t>
  </si>
  <si>
    <t>Vicente Castelvi</t>
  </si>
  <si>
    <t>…van cayendo, todo en fin contribuj’e á avivar la emu lación de los niños y hacer interesantes estos combates útiles y graciosos. En el de este día, habiendo quedado solo en la lid D. Vicente Castelvi, natural de Flix , en el principado de Cataluña, y alumno del colegí», fue procla mado vencedor, y colocado en medio de sus competidores recibid la enho rabuena de uno de ellos , y por premio de la victoria una rica medalla de plata pendiente de un hermoso la…</t>
  </si>
  <si>
    <t>Castilla, Leonor de</t>
  </si>
  <si>
    <t>Leonor de Castilla</t>
  </si>
  <si>
    <t>…a de los P^eyes D. Alonso y Doña Teresa: Doña Leonor, hija de D. Fernando el iv: Doña María de Aragón, hija de D. Fernando v de Aragón: Doña Elvira , hija de los Reyes de Navarra: Doña Leonor de Castilla, nieta de D. Pedro el Jus ticiero: Doña Ana de Austria, hija de D. Juan de Austria: Doña Isabtl de Molina, hija del Sr. de Molina. ARTICULO DE OFICIO. Circular del Ministerio de Guerra. El Sr. Secretario de Estado y del Despacho de Hacienda con fecha de 20 de…</t>
  </si>
  <si>
    <t>Castillo, Manuel del</t>
  </si>
  <si>
    <t>Manuel del Castillo</t>
  </si>
  <si>
    <t>…os, y el tiempo que me puede durar.'No extrañe vmd. esto , cuando una galli na vale de 15 á 16 pesos, un huevo de tres á cuatro pesos,/y lo demas á ese tenor. , El general en gefe D. Manuel del Castillo ha sido depuesto y arrestado por el sanguinario Caraqueño Bermudez , digno compañero de Caramaño y Bolívar, aquellos monstruos que se- complacían en matar españoles por solo serlo. También lo ha sido el gobernador, y Bermudez ha reunido todo, el mando. Se ase…</t>
  </si>
  <si>
    <t>Castillo, Manuel Francisco del</t>
  </si>
  <si>
    <t>Manuel Francisco del Castillo</t>
  </si>
  <si>
    <t>…4 leguas de Valladolid: tiene una buena ca sa de habitación, y ademas un almacén de aceite con sus tinajas correspondientes. Las personas que quisiesen comprarla pueden tratar con D. Manuel Francisco del Castillo, en Madrid, calle de Postas, ó en la misma villa de Mojados con D. Lo renzo Valdés, escribano de ella. Un vecino de la ciudad de Guayaquil, en el Perú, solicita saber si viven en España Doña Catalina Ximenez y Doña Rosa Vizcaína, para comunicarles un asunto q…</t>
  </si>
  <si>
    <t>Castlerea</t>
  </si>
  <si>
    <t>…mento varios tratados y documentos, entre otros los de subsidios en favor del Hannóver y de otros estados de Alemania, en caso de que hubiese de continuar la guerra, las carras de lord Castlerea^h y del duque de Wellington relativas á la recuperación de los objetos artís ticos del museo de París &amp;c. Los tratados que llamarán mas la atención por ahora son los de subsi dios, por los cuales nos obligábamos á pagar ademas de las sumas considerables para…</t>
  </si>
  <si>
    <t>Castlereagh</t>
  </si>
  <si>
    <t>…Mr. de Cazes, ministro de la Policía general. _ . La apertura de las sesiones del parlamento de Inglaterra está ya definiti vamente señalada para el dia i.° de Febrero próximo; y lord Castlereagh ha dirigido una circular á todos los amigos del ministerio para que concurran á la primera reunión de la cámara de los Comunes. . Las cartas de Turin anuncian que las negociaciones entabladas para los trueques de territorios presentan dificultades insuperable…</t>
  </si>
  <si>
    <t>…mposi-, cion sobre los bienes territoriales se ha anunciado;de oftció á los individuos de la cámara de Iqs comunes, amigos de los ministros, por medio, de la car-' ta que sigue de lord Castlereagh: - 1 , ;\. „Tengo la satisfacción de anunciaros que el gobierno de S. M pi:nsa proponer á la cámara de los Comunes la continuación dei impuesto sobre Jas</t>
  </si>
  <si>
    <t>…a cerca de Montalto. Canova ha traído á S. S. cartas muy honoríficas del Príncipe Regente de Inglaterra y del Rey de Prusia. Asimismo las ha traído del Príncipe de Hardemberg y de lord Castlereagh para el cardenal secretario de Estado. El Príncipe Regente ha encar gado á Canova que haga un monumento para el sepulcro del cardenal dé Yorck, último descendiente de la casa de Stuart, muerto en Roma. Acaban, de expedirse correos á Petersburgo, Munich y Stut…</t>
  </si>
  <si>
    <t>…sido desmembrados del territorio de la Fran cia, y sostuvo que para la tranquilidad de la Europa debía continuar siendo una nación grande. Mr. Machutosh se opuso á la propuesta de lord Castlereagh, opinando que no se había dado bastante extensión al derecho de conquista respecto de la Francia. Mr. Law desaprobó la unión de los Países Bajos á la Holanda, queján dose de que la Rusia había tenido demasiada influencia en los arreglos hechos últimamente, y…</t>
  </si>
  <si>
    <t>…interes eh ser una grande potencia militar. Esta adición fue desechada por 204 votos contra 40, y quedó adoptada la propuesta del conde de Li verpool. En la cámara de los comunes lord Castlereagh hizo la propuesta en estos términos: „Que se dirija á S. A. R. una reverente exposición dándole gra cias por haberse dignado comunicar el tratado hecho con la Francia y los otros diversos convenios concluidos con ios aliados, por medio de los cuales han sido…</t>
  </si>
  <si>
    <t>Donativo, suscripción o relación nominal</t>
  </si>
  <si>
    <t>…cho igual mente donativos considerables. GR A N BRETAÑA. Londres 22 de Febrero. Luego que el Príncipe de Saxonia-Cobourg se apeó en la posada de Clarendon, se anunció su llegada á lord Castlereagh, quien inmediatamente fue á visitar al Príncipe. Después de hablar con S. A., S. E. despachó un correo de gabinete con el resultado de la conferencia al Príncipe Regente á Brighton. El Príncipe Leopoldo comió en casa de lord Castlereagh.__ S. A. pa sará inmed…</t>
  </si>
  <si>
    <t>…ORAN BRETAÑA. JLóndres 24 de Febrero. Escriben de Brighton con focha de ayer que á las tres de la tarde llegó allí S. A. S. el Prí ncipe Leopoldo de SaHonia-Cobourg, acompañado de lord Castlereagh, é inmediatamente paso al pabellón, donde fue recibido3 por S. A. R. el duque de Cíarence- con las expresiones mas afectuosas: sir B; -Bloomfield, el conde de Hardemberg y toda la nobleza de la casa Real acompañaban á S. A. R., quien después de haber sido cum…</t>
  </si>
  <si>
    <t>…Wellesley-Pole. Asimismo el canciller del Echiquier ha estado tan indis puesto estos dos últimos dias, que le ha costado trabajo el ir á la cámara de los comunes á informarla que lord Castlereagh no podía asistir á las sesio nes. Los individuos del partido de la oposición se aprovecharon de esta co yuntura para zaherir á los ministros, sospechando de éstas indisposiciones como si fuesen voluntarias. ■ ^ i-.«. Cuatro regicidas franceses que osaron veni…</t>
  </si>
  <si>
    <t>…se ha observado desde que se trata este punto, sobre cada petición se han originado largos debates, que á i'eces han durado hasta las 10 de la noche. El canciller del Echtquier y lord Castlereagh dieron las explicaciones que se les pidieron sobre el particular* sosteniendo que seria mas gravoso un empréstito por cuanto haría desesti mar los fondos públicos. Mr. Thompson se declaro en favor del empréstito, defendiendo que en lugar de hacer bajar los fo…</t>
  </si>
  <si>
    <t>…arte en esta discusión, sin embargo se puede asegurar que será aprobado el proyecto de ley, aunque la resistencia es mayor de lo que se había previsto. El lunes próximo presentará lord Castlereagh el b ll pa ra asegurar la egecucion mas rigurosa del tratado concluido entre las cuatro potencias con relación á la isla de Sta. Elena;y el miércoles el canciller del Echiqiiier propondrá definitivamente la comribucíoa sobre las rentas. FRANCIA. Parts 16 de M…</t>
  </si>
  <si>
    <t>…con el objeto de informarse del estado de la salud de S. A. R., cuya mejo ría sigue adelante. S. A. R. ha dado audiencias particulares al lord canciller, al conde de Liverpool, á lord Castlereagh &amp;c. Se dice hoy que el Príncipe Regente ha decretado lo que sigue: i.° Conforme á lo que se practicó respecto á S. A. R. la duquesa de Brunswick, no continuará la princesa Carlota gozando de distinción alguna de la familia Real de Inglaterra; y sus criados, e…</t>
  </si>
  <si>
    <t>…admitido al firmar se algunos de los tratados con los pequeños Príncipes alemanes y otros. Finalmente los regalos recibidos en los años de 1815 y 1816 son los si guientes: por el vizconde Castlereagh, secretario de Estado y plenipotenciario en el continente, al firmarse los tratados , siete, uno Ae los cuales era una bajilla de porcelana dada por el Rey de Francia: com¿&gt; plenipotenciario para dar al Emperador de Austria y al Rey de los Países-Bajos la inv…</t>
  </si>
  <si>
    <t>…cuales se han repartido según costumbre entre los dos vice-se cretarios de Estado y los oficiales de la secretaría de Negocios extrangeros con proporción á sus sueldos. ; , ¡i Él vizconde Castlereagh no ha recibido sueldo ni gages por las diversas comisiones que ha tenido en e! continente; pero se le han costeado los gastos por el erario, según se acostumbra en las embajadas especiales. Idem 19. Estado actudl del cuerpo helvético según ha sido reconocido…</t>
  </si>
  <si>
    <t>…primero será reemplazado por lord Castlereahg, quien ascenderá á la dignidad de par, y que el segundo será substituido por el marques de Wellesley, debiendo suceder Mr. Canning á lord Castlereagh. Idem 22. El fcónde de Donoughmore hizo ayer en la cámara de los pares la pro puesta de que el parlamento tomase en consideración á principios de la se sión próxima las peticiones de los católicos de Irlanda. El conde Longfort se opuso á la propuesta, diciend…</t>
  </si>
  <si>
    <t>…que se manifieste el modo de pensar unánime y vigoroso de la cámara de los Comunes sobre este punto. Todos los individuos que to maron parte en el debate opinaron, á excepción de lord Castlereagh , que no se d.bia tolerar por mas tiempo á aquellos bárbaros, y que era preciso ha cer todos los esfuerzos posibles para acabar con ellos. Ya es tiempo en efecto de que el Gobierno adopte en este punto un siste ma de política mas conforme á las opiniones del…</t>
  </si>
  <si>
    <t>…artas dicen que se le observa ahora con mayor cuidado, por haberse descubierto que procuraba entablar correspondencia con los anglo-americanos. Idem 6 de Agosto. Se asegura que el vizconde Castlereagh va á salir para los baños de Carisbad, en Bohemia, á fin de hallarse presente á la reunión de los Soberanos del Norte. Ha llegado un correo de gabinete con pliegos importantes de lord Cathcart , embaidor en Petersburgo , y también los ha traído del Gobierno r…</t>
  </si>
  <si>
    <t>…a como cosa indudable que los Emperadores «le Rusia v Austria y el Rey de Prusia se reunirán dentro de pocos dias en Toeplitz, y que permanecerán allí algunas semanas. Añádese que lord Castlereagh se hallará también presente en aquella reunión como representante de la Gran Bretaña ; y últimamente se afirma que toda la Alemania tiene pues ta su atención en este congreso. FRANCIA. París 14 de Agosto. Se asegura que la abertura de las conferencias prelimi…</t>
  </si>
  <si>
    <t>…o ya los hechos principales de esta horrorosa conjuración. Idem 2f. Ayer á las dos de la tarde en el departamento de Negocios extrangeros hubo un consejo de Gabinete convocado por lord Castlereagh , y compuesto de este noble lord ,del lord canciller, del canciller del Lehiquier , de los con des de Liverpool, Weitmoreland y Bathurst, y del vizconde Sidmouth. La sesión duró hasta las cinco. £1 Príncipe Regente, que se halla indispuesto hace dos dias, est…</t>
  </si>
  <si>
    <t>…,el Laoconte , el Antinoo, las nueve Musas &amp;c. Estas estatuas han llegado á Portsmouth á bordo del navio la Abundancia. Asimismo ha enviado S. S. variof regalos del mismo género á lord Castlereagh y á algunos otros ingleses de dis tinción. FRANCIA. París 22 de Octubre. El 19 de este mes se juntó el consejo de guerra permanente para juzgar al general Grouchy ,cuyo hijo presentó un recurso, reducido á que en sustan cia su padre, en calidad de ^ran oficia…</t>
  </si>
  <si>
    <t>…l primer llamamiento á todos los oficiales de la policía, y ademas estuvieron sobre las armas 200 hombres de la guardia de á pie. Por la noche el populacho rompió las vidrieras de lord Castlereagh. Finalmente se disolvió la reunión después de haber resuelto que sir Francis Burdet, acompañado de Mr. Hunt, presentase una petición a S, A. R.el Príncipe Regente* dirigida á que se ponga pronto remedio á la miseria del pueblo. FRANCIA. París 22 de Noviembre.…</t>
  </si>
  <si>
    <t>Castlereahg</t>
  </si>
  <si>
    <t>…os cortes la mejor inteligencia. Se repite la noticia de una mudanza en el ministerio. Dícese que se reti rarán lord Liverpool y lord Simouth ; que el primero será reemplazado por lord Castlereahg, quien ascenderá á la dignidad de par, y que el segundo será substituido por el marques de Wellesley, debiendo suceder Mr. Canning á lord Castlereagh. Idem 22. El fcónde de Donoughmore hizo ayer en la cámara de los pares la pro puesta de que el parlamento tom…</t>
  </si>
  <si>
    <t>Castoreña, Juan Ignacio</t>
  </si>
  <si>
    <t>Juan Ignacio Castoreña</t>
  </si>
  <si>
    <t>…egase un libramiento de 199 pesos, 6 rs. y medio, depositados en tesorería general, cuya cantidad correspondía á la Real audiencia de México, como procedente del espolio del limo. Sr. Don Juan Ignacio Castoreña, obispo que fue de Yucaran, y había percibido dicho tribunal de D. Francisco Alonso de Teran, de aquel comercio; y no habien do hecho después otra gestión alguna al efecto, ha acordado el Consejo su premo de Indias se le cite por medio de este periódico para…</t>
  </si>
  <si>
    <t>Castrillo, Juan Casimiro</t>
  </si>
  <si>
    <t>Juan Casimiro Castrillo</t>
  </si>
  <si>
    <t>…struido en el canto llano ó gregoriano, ser presbítero, ó con “edad competente para hacersr dentro del año. Los opositores acudirán con mjs me— -moríales en todo el presente mes á D. Juan Casimiro Castrillo, secretario capitular de ella. Calendario que sirve para 100 años, y consiste en dos círculo* movedizos pues. tos sobre una cartulina, con su correspondiente explicación, mediante la cual se sa be ci dia de la semana, el del mes, la hora en que sale y se pone…</t>
  </si>
  <si>
    <t>Castrillo, Luis Grcg'irio López del</t>
  </si>
  <si>
    <t>Luis Grcg'irio López del Castrillo</t>
  </si>
  <si>
    <t>…co, y I&gt;. Fr. Josef Higinio Durar Mar ti, obb-o de Panamá, siendo consagra nte el limo. Sr. D. Andrés fist :han . &lt; bbpo Jo Ce;i ta , v eiecto de Jaén; asistentes los limos. Sres. D. Luis Grcg'irio López del Castrillo, obispo de Lorima , y auxiliar de esta corte, y D ArJ-os cJ An tres García Palomares, obispo de Albarracin ; y padrinos del primeo ei Excmo. Sr. D. Josef Manuel de G &gt;yeneche, conde de Guaqui, ac.'»i larvado dd Excmo. Sr. D. Juan de la Cruz de Henestro4a , y…</t>
  </si>
  <si>
    <t>Castrillon, Félix Encimó</t>
  </si>
  <si>
    <t>Félix Encimó Castrillon</t>
  </si>
  <si>
    <t>…tan de estas fumigaciones, en la librería de Castillo, frente á las gradas de S. Felipe el Real, á 2 rs. vn. La Posada, ó el Calavera escarmentado; comedia en un acto en verso por Don Félix Encimó Castrillon, y representada en el teatro del Príncipe^ Se hallará en la librería de Hurtado, calle de lás Carretas; en el puesto de Sánchez, calle de Ato cha , frente á la plazuela del Angel, y en el’de Cpeáta.,-gradas de S. Felipe el Realé Estampa nueva de S. Luis Qonza…</t>
  </si>
  <si>
    <t>Castro</t>
  </si>
  <si>
    <t>…sin abandonar los estudios de la academia; pero adoleció de unas re petidas tercianas que le obligaron á dejar dicha Real fábrica , y seguirlos á la inmediación de su director ei Sr. Castro. En 1763 ganó por oposición el primer premio de una medalla de oro de segunda clase de escultura , y en 1766 el se gundo de primera: en 1774 presentó un bajo relieve á la Real academia solici tando el tuuio de académico de mérito , que se le concedió por todo…</t>
  </si>
  <si>
    <t>Castro, Ana de</t>
  </si>
  <si>
    <t>Ana de Castro</t>
  </si>
  <si>
    <t>…de la Rumbe, el convento de S. Quirce , órclcn de S. Bernardo de la ciudad de Valladolid, el convento de mínimos'de la villa de Mancera de abajo , las memorias de Alonso Vallejo y Doña Ana de Castro, el con vento de nuestra Señora de Belen de la ciudad de Valladolid , el hospital de la Re surrección de la misma, el señor conde de Montalco, marques de los Vales, el conde de la Roca, D. Antonio Gordonez, y el abad y cabildo de la capilla colegial del Señor…</t>
  </si>
  <si>
    <t>Castro, Bartolomé de</t>
  </si>
  <si>
    <t>Bartolomé de Castro</t>
  </si>
  <si>
    <t>…rez, regidor síndico procura dor general, 60. Bartolomé Garijo, regidor segundo, 100. D. Sebastian Ra fael Camacho, diputado primero, 150. D. Alfonso López, diputado segun do, 50. D. Bartolomé de Castro 400. D. Juan Blas Herrera, escribano de ayuntamiento, 100. D. Juan Luis Jurado 300. D. Martin de Castro 300. D. Josef de Prado 500. D. Andrés Jurado 200. D. Rafael Zamorano 200. D. Juan Zamorano 300. D. Alfonso Zamorano 300. D. Luis de Herrera 320. D. Juan Ló…</t>
  </si>
  <si>
    <t>Castro, Casiano Manuel González de</t>
  </si>
  <si>
    <t>Casiano Manuel González de Castro</t>
  </si>
  <si>
    <t>…D. Francisco Mateo Marchámalo, asesor de la super intendencia , y á D. León de la Cámara Cano, teniente corregidor de esta he roica villa. Idem del tribunal de Contaduría mayor A D. Casiano Manuel González de Castro, contador y asesor de tempo ralidades de España é Indias. Plaza supernumeraria sin sueldo en el tribunal del Excusado A D. Bernardo del Rio, canónigo de Ciudad-Rodrigo, é inquisidor de Llerena. Idem de intendente de Egército A D, Bernardo Temes, D. Antonio Ba…</t>
  </si>
  <si>
    <t>Castro, Castor García de</t>
  </si>
  <si>
    <t>Castor García de Castro</t>
  </si>
  <si>
    <t>743</t>
  </si>
  <si>
    <t>743 D. Castor García de Castro, caballero maestrante de Granada, y capitular jurado perpetuo de la ciudad de Toledo; y habiendo tenido la honra de be sar la mano á S. M. expresó este en un breve discurso cuanto va referido, suplicando á S. M. se dignase admitir dicho egemplar, concediendo…</t>
  </si>
  <si>
    <t>Castro, Escolástico Simón de</t>
  </si>
  <si>
    <t>Escolástico Simón de Castro</t>
  </si>
  <si>
    <t>…dia hasta fin de Junio de 1817 continuarán los profesores explicando sus respectivas asignaturas en la calle del Barco, casa núm. 18, 19 y 20. Doña María Ignacia Osorno, viuda de D. Escolástico Simón de Castro, que mu rió en Veracruz en 21 de Octubre de 1802 sirviendo la plaza de oficial primero de aquella factoría en Tabacos, quedó con un niño de menor edad, hijo de ambos, que ahora tendrá la de 16 años, llamado D. Luis Gonzaga: desde aquella época faltan noticias…</t>
  </si>
  <si>
    <t>Castro, Felipe de</t>
  </si>
  <si>
    <t>Felipe de Castro</t>
  </si>
  <si>
    <t>catedral de Murcia para la que trabajo en su arte, pasó á Madrid, donde co nociendo el mérito de D. Felipe de Castro, escultor de cámara de S. M. el Si\ D. Fernando vi, y director de la expresada Real academia, puso á su Fijo, entonces de 14 años, bajo su dirección, en cuya corta edad había ya dado pruebas nada equívocas de su idoneidad para el estudio de esta profe sión.__…</t>
  </si>
  <si>
    <t>Castro, Francisco Antolinez de</t>
  </si>
  <si>
    <t>Francisco Antolinez de Castro</t>
  </si>
  <si>
    <t>…o Melgarejo, caballero ae la orden de Alcántara, y D. Josef Tomas Ballesteros, caballe ro de Justicia en la de S. Juan, y del diputado representante de la nobleza de dicho partido D. Francisco Antolinez de Castro , caballero también de Justicia en la misma orden de S. Juan; de los cuales el primero, después de haber felicitado en un breve y enérgico discurso á S. M. y A. R. por su fe liz arribo y augustos enlaces, tuvo también la honra de ofrecer á S. M. en nombre de…</t>
  </si>
  <si>
    <t>Castro, Isidoro Simón de</t>
  </si>
  <si>
    <t>Isidoro Simón de Castro</t>
  </si>
  <si>
    <t>…s, llamado D. Luis Gonzaga: desde aquella época faltan noticias de la existencia y paradero de la madre é hijo. A la persona que Jas tuviere se suplica tenga á bien comunicarlas á D. Isidoro Simón de Castro, presbí tero en el lugar de Getafe, para instruir al D. Luis Gonzaga de asuntos que le ínteresan. Quien supiere el paradero de D. Elias Bustillo y Cevallos, que padece de de mencia, aunque.no fácil de conocer, que se ausentó de las montanas de Santander en pr…</t>
  </si>
  <si>
    <t>Castro, Joaquín González de</t>
  </si>
  <si>
    <t>Joaquín González de Castro</t>
  </si>
  <si>
    <t>44¿ 4 mes comparezcan las que esten en el caso insinuado á la escribanía de las mismas memorias , á cargo del escribano del número de esta heroica villa D. Joaquín González de Castro, en donde deberán exhibir los documentos por donde acrediten haber tomado estado; en inteligencia de que pasado di cho término, que por último se las señala, las parará el perjuicio que haya lugar. Decretos del Rey D. Fernando vit, ó colección de Reales resol…</t>
  </si>
  <si>
    <t>…heroica villa, y su teniente primero de corregidor, re frendada del infrascrito escribano de S. M , y habilitado en virtud de Red cédula para despachar la escribanía del número de D. Joaquín González de Castro en sus ausencias y enfermedades, se ha señalado el domingo 6 del próximo mes de Octu bre en casa de S. S. 4 las nueve de la mañana para junta general de acreedores 4 los bienes concursados pertenecientes al mayorazgo y marquesado del Villar, con el objeto de…</t>
  </si>
  <si>
    <t>…ia del Sr. D. León de la Cámara Cano, del Consejo de S. M. en el supremo de Hacienda, y primer teniente de corregidor de esta heroica villa, refrendada por el escribano del número D. Joaquín González de Castro, se ha señalado para nueva junta de acreedores al concurso del estado del marquesado del Villar el domingo 1 2 de Enero del próximo 817 á las 9 de su mañana en !a posada de S. S.; lo que se anuncia para que llegue á noticia de todos los interesados. Se desea…</t>
  </si>
  <si>
    <t>Castro, Josef Betaaicourt y</t>
  </si>
  <si>
    <t>Josef Betaaicourt y Castro</t>
  </si>
  <si>
    <t>…eino de Jaén , 5168 rs. y 22 mrs.de suministros hechos á las tropas___D. Josef Piqueras Gómez , vecino de la villa de Jorquera , de 6498 rs. en un recibo de intereses de vales___^ D. Josef Betaaicourt y Castro, coronel de milicias,su sueldo de ifoo rs. desde t.° de Julio de 1808 hasta igual mes de 5814___D. Manuel Quiñones Abad , cura párroco de San Pedro de Castro de Laza, obispado 4e Orense, 5© rs. que entregó para el egército. Juan Bautista Torres^ subteniente d…</t>
  </si>
  <si>
    <t>Castro, Luis López de</t>
  </si>
  <si>
    <t>Luis López de Castro</t>
  </si>
  <si>
    <t>16 de S. M., alcalde de su Real casa y corte , dada en 2 2 del’pasado , refrendada de Don Luis López de Castro, escribano de provincia y comisiones, á instancia, de Doña Isabel María Casatnayor, se cita, llama y emplaza á los herederos ausentes de Don Juan Francisco Solano, que parece son los hijos de D. Bartolomé Solano, los here deros de D. Alanuel de Solano y Doña…</t>
  </si>
  <si>
    <t>…untad de su dueño, y en virtud de providencia pronunciada en 10 de es te mes del Sr. D. Josef Sal vador López del Pan, del consejo de S. M., alcalde de casa y corte, refrendada de D. Luis López de Castro, escribano de provincia y co misiones de la dicha Real casa y corte, se ha mandado*sacar i pública subasta por término de 20 dias, contados desde el en que se verifique en este periódico, una huerta de secano, con su casa de moderna planta , compuesta de las…</t>
  </si>
  <si>
    <t>Castro, Luís López de</t>
  </si>
  <si>
    <t>Luís López de Castro</t>
  </si>
  <si>
    <t>…cia del Sr. D. Josef Salvador López del Pan, alcalde de su Real casa.y.corte.» pronunciada en 9 del corriente, y refrendada por el escriba no de provincia y comisiones de,la misma D. Luís López de Castro, se cita, llama y emplaza I todos jos acreedores de P. Ramón Antonio Sierra, que hasta el día ;no se'han mostrado parte en el juicio universal que tiene pendiente en dicha au diencia y escribanía, para que en el preciso término de un mes perentorio é improrog…</t>
  </si>
  <si>
    <t>…de 1816. En virtud de providencia del Sr. D. Josef Salvador López del Pan, del consejo de S. M., alcalde de su Real casa y corte, pronunciada en 21 del corriente, y re frendada de D. Luis López de Castro, escribano de provincia y comisiones de la misma Real casa y corte, se cita, llama y emplaza por el preciso término de 20 dias, contados desde el en que se publique en este periódico á Juan Vara, sus hi jos y herederos (en caso de ser aquel fallecido) para qu…</t>
  </si>
  <si>
    <t>…ormes. Por providencia del Sr. D. Josef Salvador López del Pan, del consejo de S. M., Alcalde de casa f corte , dada en 17 del corriente mes, refrendada del escribano de provincia D. Luis López de Castro, se ha mandado señalar para el día x.° de Julio próximo venidero ti remate de un oficio de receptor del número de los Reales con sejos, juntas y tribunales, que se anunció en la gaceta de 14 de Setiembre de 815, tasado en 10500 rs. vn., cuto remate se celebra…</t>
  </si>
  <si>
    <t>…i fuesen se presenten á deducir su acción en el juzgado del Sr D. Josef Salvador López del Pan, del consejo de S. M., alcalde de su Real casa y corte, y escribanía de provincia de D. Luis López de Castro, en donde está radicada la testamentan*, lo que verifiquen en el preciso y perentorio término de 40 dias, contados de.de el • 1 del corriente,1 jr por medio de procurador con poder bastante; teniendo enten dido que pasado dicho término se determinará el juici…</t>
  </si>
  <si>
    <t>928</t>
  </si>
  <si>
    <t>…sef Salvador López del Pan, del Consejo de S. M., tu alcalde de casa y corte, pronunciada en 11 del corriente, y refrendada por el es cribano de provincia y comisiones de la misma D. Luis López de Castro, se ha se ñalado para el dia 31 ilel corriente á las 11 de su mañana en la audiencia de dicha tenor la celebración del segundo remate de las dos casas, calle del Limón, núm. j, manz. 549, y la otra de ia calle de S. Pedro y S. Pablo, núm. 13, nrmz. 314, cu yo…</t>
  </si>
  <si>
    <t>…gecutará dentro del referido término en la audiencia del Sr. D. Josef Salvador López del Pan , del Consejo de S. M., alcalde de su Real casa y corte , y escribanía de provincia de D. Luis López de Castro, donde se admitirán las que hicieren. Real cédula que S. M. se ha servido expedir, en la que comete á su Consejo y Cáinarj de Guerra el conocimiento de varios negocios que estaban radicados en Ja secretaría de Es* ido y del Despacho universal de este ramo. Vé…</t>
  </si>
  <si>
    <t>V*&gt;4 Real casi y corte, y escribanía da provincia de D. Luis López de Castro; con aper cibimiento que no compareciendo dentro de dicho término le parará el perjuicio que haya luí?.ir. Por procidencia del Sr. D. Andrés Oller, del Consejo de S. M., alcalde en su Real casa y corte, refrendada del infrascrito secretario, se han mandado ve…</t>
  </si>
  <si>
    <t>…ías, contados desde el 6 del corriente, y por la audiencia del Sr. D. Jnsef Salvador López del Pan, del Conse-jo de S. M., su alcalde de casa y corte, y escribanía de provincia de D. Luis López de Castro, donde se admitirán las que hicieren siendo arregladas. Por providencia del Sr. D. Tadeo Soler, del Consejo de S. M. , alcalde decano de la Real casa y corte, se ha mandado sacar á pú Mica «ubasta por término de 30 dias, contados desde esta publicación, para…</t>
  </si>
  <si>
    <t>3</t>
  </si>
  <si>
    <t>…a del Sr. D. Josef Salvador López del Pan , del Consejo de S. M., alcalde de casa y corte, dada en 27 del pasado, y refrendada del escribano de pro vincia y comisiones de la misma D. Luis López de Castro, se cita, llama y empla za á Francisco Hernández, para que en el preciso término de ío dias, contados des de esta fecha, concurra por sí ó por medio de procurador con poder bastante á de ducir la acción que le convenga en el expediente que coníra él se sigue…</t>
  </si>
  <si>
    <t>…Sr. D. Josef Salvador López del Pan , del Consejo de S. M., su alcalde de casa y corte, dada en 26 del pasado, y refrendada por el escribano de provincia y comisiones de la misma D. Luis López de Castro, se ha mandado hacer saber al público la postura hecha á la casa que se halla en pública subasta, sita en esta corre y su calle de la Montera, núm. 23 , manz. 343 , que tiene de sitio Ó597I pits, tasada últimamente en 358693 rs. vn., y dan por ella 239128 rs.…</t>
  </si>
  <si>
    <t>…r. D. Josef Salvador López del Pan, del Consejo de S. M., su alcalde de casa y corte, dada en 14 del corriente, y refrendada por el escribano de provincia y comisiones de la misma D. Luis López de Castro, se ha mandado señalar para el remate de la casa calle de la Montera, núm. 23, manz. 343, el dia 31 del corriente y hora de las 1 2 de su mañana en Ja audiencia de dicho señor, la que tiene de sitio 6597! pies, y está tasada en 358693 rs., y dan por ella 2451…</t>
  </si>
  <si>
    <t>…Sr. D. Josef Salvador López del Pan, del Consejo de S. M., su alcalde de casa y corte, dada en 8 del corriente, y refrendada por el escribano de provincia y comisiones de la misma D. Luis López de Castro, se cita, llama y emplaza á todos los parientes del Sr. D. Francisco Ruiz de Vergara, del Consejo que fue de.S. M. en los supremos de Castilla é Inquisición , que se consi deren con derecho para ser agraciados con las dotes que dejó fundadas para monjas y cas…</t>
  </si>
  <si>
    <t>…atado en 320'$ rs. á dinero metálico sonante. La persona que quisiere hacer mejora lo egecutará ante el señor alcalde de corte D. Josef López del Pan, y escribanía de provincia de Don Luis López de Castro, donde se admitirán siendo arreciadas; y se señala á las 12 de su mañana el dicho día 2 ó para el segundo remate en ia audiencia de dicho se ñor y expresada escribanía. Se venden dos C3sas y diferentes tierras en el lugar de Vallecas y su término,á saber: una…</t>
  </si>
  <si>
    <t>1256</t>
  </si>
  <si>
    <t>1256 Por providencia del Sr. D. Josef Salvador López del Pan, del Consejo de S. M., su alcalde de casa y corte, y refrendada por el escribano de provincia'y co misiones D. Luis López de Castro, se ha mandado señalar el dia 26 del corriente *■« j hora de las 1 2 de su mañana en la audiencia de dicho señor la celebración del re mate de dos casas sitas en esta corte, la una calle del Limón, núm. 5 , matiz. 540, que tiene de sitio 263pies, tasada en 88…</t>
  </si>
  <si>
    <t>…les corresponda dentro del mismo termino, lo que ejecutarán en la audiencia oel señor alcalde de corlé D. Josef Salvador López del Pan, y es cribanía d ■ provincia y comisiones de D. Luis López de Castro, donde se hallan radie.'Jes las repetidas memorias. ' y Se halla vacante la plaza de médico de la villa y lugar de Yébenes, distante seis leguas de Toledo, cuyas dos poblaciones componen 650 vecinos, y su dotación e* la de'ioS) s. anuales, pagados mensualment…</t>
  </si>
  <si>
    <t>…en 320® á dinero metálico sonante. La persona que quisiere hacer mejora lo egeeutará ante el señor alcalde de-corte D. Josef Salvador López dei Pan, y escriba nía de provincia de D. Luis López de Castro, donde se admitirán las que hagan, siendo arregladas; y se señala para el tercer remate el citado día y á las i 2 de su mañana en la audiencia de dicho señor y expresada escribanía. Por providencia de la sala segunda de señores alcaldes de la Real casa y cort…</t>
  </si>
  <si>
    <t>Castro, María de</t>
  </si>
  <si>
    <t>María de Castro</t>
  </si>
  <si>
    <t>. 11^3 Doña Mariana Sánchez fo. D. Bernabé Sánchez Jo. Doña Catalina de la Ri ca 50 Doña Mariana Aillon óo. Doña María de Castro 60- Juan de Cam pos Ruiz 40. D. Francisco Bejar 40. Josef Beímar 40. Sebastian Moreno 40. Juan Espinosa Tellez 50* Doña Isabel Gerónima Zamorano 100. D. Anto nio Ortiz Calvento 50. D. Pedro Josef Zamorano 160. Pedro Alfonso Clavijo i®. Doña Ana Sánchez 1®. Ju…</t>
  </si>
  <si>
    <t>Castro, Mariano</t>
  </si>
  <si>
    <t>Mariano Castro</t>
  </si>
  <si>
    <t>297</t>
  </si>
  <si>
    <t>'297 qué ha cgecútado D. Mariano Castro, digno dé elogio por haberlo ayudada en esta útil empresa, y que pudiéndose disponer y variar por medio de un mecanismo tan fácil como sencillo,proporciona una música de bulto, que al tacto pueden entender á poquísimo trabajo los ciegos. 1 : Como el objeto de…</t>
  </si>
  <si>
    <t>…s. cada una. Nota. En la noticia del nuevo método de enseñar la música á los ciegos de nacimiento de uno y otro sexo, que se publicó en la gaceta del 23 del pasado, entiéndase que D. Mariano Castro rio solo auxilió en esto á Fr. Ma nuel de la Cueva, sino que tuvo una gran parte en la invención, habiéndose debido á sus esfuerzos los felices resultados que ha tenido. El mencionado Castro, que vive en la calle de la Concepción Gerónima, núm. 32, cuar to 2.…</t>
  </si>
  <si>
    <t>Castro, Martin de</t>
  </si>
  <si>
    <t>Martin de Castro</t>
  </si>
  <si>
    <t>…Camacho, diputado primero, 150. D. Alfonso López, diputado segun do, 50. D. Bartolomé de Castro 400. D. Juan Blas Herrera, escribano de ayuntamiento, 100. D. Juan Luis Jurado 300. D. Martin de Castro 300. D. Josef de Prado 500. D. Andrés Jurado 200. D. Rafael Zamorano 200. D. Juan Zamorano 300. D. Alfonso Zamorano 300. D. Luis de Herrera 320. D. Juan López 200. D. Mateo del Prado 200. D. Sebastian de Castro Jura do 200. D. Andrés Antonio Herrera 300. D. A…</t>
  </si>
  <si>
    <t>Catalina</t>
  </si>
  <si>
    <t>. 11^3 Doña Mariana Sánchez fo. D. Bernabé Sánchez Jo. Doña Catalina de la Ri ca 50 Doña Mariana Aillon óo. Doña María de Castro 60- Juan de Cam pos Ruiz 40. D. Francisco Bejar 40. Josef Beímar 40. Sebastian Moreno 40. Juan Espinosa Tellez 50* Doña Isabel Gerónima Zamorano 100. D. Anto nio Ortiz Calvento 50. D. Pedro Josef Zam…</t>
  </si>
  <si>
    <t>Catchcarr</t>
  </si>
  <si>
    <t>…osperidad del comercio franco, cuyo establecimiento desea vivamente S. M ; y me lisonjeo de que mis representaciones, sostenidas con la pode rosa intervención de nuestro embajador lord Catchcarr, producirán el efec to deseado. Al mismo tiempo encargo que se observen puntualmente todos ios reglamentos y leyes de aduanas establecidas en Ruu'a , y que se haga co nocer lo mas pronto posible al comercio la necesidad de egecutar estas pro videncias con exa…</t>
  </si>
  <si>
    <t>Cathcart</t>
  </si>
  <si>
    <t>…va á salir para los baños de Carisbad, en Bohemia, á fin de hallarse presente á la reunión de los Soberanos del Norte. Ha llegado un correo de gabinete con pliegos importantes de lord Cathcart , embaidor en Petersburgo , y también los ha traído del Gobierno ruso para el conde Lleven. El correo pasó por Berlin, y solo ha tardado 16 dias. ESPAÑA. Cor uña 6 de Agosto. Rsfe Real consulado, en cumplimiento de lo prevenido por S. M. en el artículo 6.° de…</t>
  </si>
  <si>
    <t>Católica, Isabel la</t>
  </si>
  <si>
    <t>Isabel la Católica</t>
  </si>
  <si>
    <t>…monarquía, que fue causa del aumento de su grandeza con el •descubrimiento del nuevo mundo , honra de España, gloria de Princesas, y lina de las mas famosas heroínas de los siglos Doña Isabel la Católica ? Para su educación en el espacio de 12 años que la tuvo consigo en su retiro de Arévalo ¿conoció mas maestro que á su madre la Reina viuda? La Empe ratriz Doña Isabel, casada con el Emperador D. Carlos v, por acuerdo de los estados del reino;juntos en Toledo…</t>
  </si>
  <si>
    <t>Cauro, Luis López de</t>
  </si>
  <si>
    <t>Luis López de Cauro</t>
  </si>
  <si>
    <t>…regón, contadas desde el 1 1 dei corriente, acudiendo al efecto á la audiencia del señor arcalde de caía v corte I &gt;. Joset s&gt;aiv¿tdor López del Pan , y escribanía de provin.ia de D. Luis López de Cauro , donde se admitirán las que hicieren siendo arregladas. EN LA IMPRENTA REAL.</t>
  </si>
  <si>
    <t>Cavanilles, Antonio Josef</t>
  </si>
  <si>
    <t>Antonio Josef Cavanilles</t>
  </si>
  <si>
    <t>…ntinuación efe las estampas que se venden en la Real Calcografía, sita en fa imprenta Real. Estampas en cuartilla de marca mayor. Vista del puerto y grao de Valencia, dibujada por D. Antonio Josef Cavanilles, y grabada por D. Tomas En grúdanos, á 5 rs.tnSeis estampas del poema de la música, dibujadas por D. Greor'10 Ferro, y grabadas por D. Manuel Salvador Carmona, D. Fernando Sclma y ) Joaquín Ballester, á 16 rs. rrrCuatro estampas de devoción, dibujadas por Doa…</t>
  </si>
  <si>
    <t>Cavanilles, Josef</t>
  </si>
  <si>
    <t>Josef Cavanilles</t>
  </si>
  <si>
    <t>…i. en dinero metálico sonante, que hacen las dos terceras partes. Quien quisiere hacer mejora á dicha casa lo egecutará ante dicho señor y escribanía. En virtud de providencia del Sr. D. Josef Cavanilles, del Consejo de S. M., alcalde de casa y corte, y escribanía de provincia de D. Josef García de la Madrid, se cita, llama y emplaza í los que tengan mejor derecho y algún crédito á la heren cia intestada de Dona Polonia Vega, natural que fue de la villa de Le…</t>
  </si>
  <si>
    <t>Cavas, María</t>
  </si>
  <si>
    <t>María Cavas</t>
  </si>
  <si>
    <t>…e gimiento de infantería de Castilla, que fue hecho prisionero en la rendición de la ciudad de Valencia, y conducido á Pau , ciudad de Francia, se servirá avisarlo en esta corte á Doña María Cavas, calle de la Encomienda, núm. 8. Kerr.prs de la imitación de Cristo*, nueva impresión castellana, preferible i cuantas han salido en nuestro idioma, por su pequeño y acomodado tamaño, por su buena letra y papel, y por haberse quitado mu chis palabras y frases…</t>
  </si>
  <si>
    <t>Cavero, Aniceto</t>
  </si>
  <si>
    <t>Aniceto Cavero</t>
  </si>
  <si>
    <t>…ada dos: D. Bernardo Escovar dos: D. Manuel Lorenzana uno : el provisor dos : los señores Jclís y compañía dos : D. Ma nuel Castaáon dos: D. Josef R*eovar dos: D. Ruperto Cea dos: D. Aniceto Cavero uno: D. Tomas Ríos uno: D. Francisco Val le jo dos : el cura de San Salvador Pala del Rey uno: el de S. Marcelo uno: el de Renueva uno: el de Sta. Ana uno: el tesorero del cabildo dos: D. Pascual Suarez uno: D. Lidro Benitoa uno: D. Ramón Arquello dos : D. Pe…</t>
  </si>
  <si>
    <t>Cavero, Vicente García</t>
  </si>
  <si>
    <t>Vicente García Cavero</t>
  </si>
  <si>
    <t>…mo á ios de las santas iglesias de Oviedo, Falencia' y Gerona, que animados de los mismos sentimientos han cedido icualmente la administración de dichos ramos. Por providencia del Sr. D. Vicente García Cavero, del consejo de S. M., su alcalde de casa y corte, refrendada del escribano de provincia D. Carlos Rodríguez de Moya , se ha mandado traer al pregón , por el Término de la lev, una rara de al guacil de casa y corte que perteneció á Santiago Perez , estimada e…</t>
  </si>
  <si>
    <t>…n 3831 rs. con 17 mrs., y el importe de todos tres asciende á 10607 rea les. Quien quisiere hacer postura á dichos majuelos , juntos ó separados, acuda al juzgado de provincia del Sr. D. Vicente García Cavero , del Consejo de S. M., su alcalde de casa y corte, y escribanía de D. Carlos Rodríguez de Moya, que se les admitirá siendo arreglada. Se halla vacante la plaza de médico de la villa de Villaescusa de Haro, provin cia de Cuenca, que consta de 400 vecinos: su…</t>
  </si>
  <si>
    <t>I T 24 Por providencia del Sr. D. Vicente García Cavero, del Consejo de S. M., su alcalde de casa y corle, se ha mandado volver á publicar la vara de alguacil de ca sa y corte que perteneció á Santiago Perez; previniendo que aunque lia sido anun ciada anteriormente por la suma de 74® rs., precio en que la adquirió…</t>
  </si>
  <si>
    <t>Cavia, Alfonso</t>
  </si>
  <si>
    <t>Alfonso Cavia</t>
  </si>
  <si>
    <t>…. S. muchos años. Madrid 18 de Abril de 1816. Por Real resolución á consulta de la cámara se ha servido nombrar S. M. para una plaza de alcalde mayor de la audiencia de Astúrias á D. Alfonso Cavia, fiscal de los cuerpos de artillería é ingenieros de esta corte.</t>
  </si>
  <si>
    <t>Cavsml'les, Josef</t>
  </si>
  <si>
    <t>Josef Cavsml'les</t>
  </si>
  <si>
    <t>…uyas cantidades se entregaron sucesivamente en tesorería general por disposición de. la Junta del donativo, según resulta de las respectivas cartas, dé pago.. Por providencia, del Sr. D. Josef Cavsml'les,-del consejo de S. M., su-alcalde? de-casa y corte, se cita y emplaza á Pedro García, vecino del Retamar, á Fiarcísco Sánchez, de la villa de Cubas, á Cristóbal de Prado, dt la de Grifan, á í)oa Juan Antonio Septiem, que en dicho año era colindante de inválid…</t>
  </si>
  <si>
    <t>Cazanx, Lorenzo</t>
  </si>
  <si>
    <t>Lorenzo Cazanx</t>
  </si>
  <si>
    <t>…M. y Sermo. Sr. Infante D. Carlos por los concertados enlaces con las Sertnas. Sras. Infantas de Portugal una comisión de la villa de H: ena, compuesta de su alcalde mayor el Dr. D. Lorenzo Cazanx , Sr. D. An tonio Gómez Calderón, fiscal del Consejo supremo de Indias, y el marques de Casa Madrid , gentilhombre de cámara de S. M., y mayordomo de se mana del Sermo. Sr. Infante D. Carlos; el primero de los cuales arengó á S. M. y A. en sus respectivas hab…</t>
  </si>
  <si>
    <t>Cazenave, Juan Federico</t>
  </si>
  <si>
    <t>Juan Federico Cazenave</t>
  </si>
  <si>
    <t>…hecho hasta el á su augusto original; con su Real beneplácito se abre subscripción á una estampa que contendrá una copia fiel del mismo de mas de media vara de al to, grabada por D. Juan Federico Cazenave, profesor escogido entre los me jores artistas de París. Están abierta la subscripción desde ia publicación de este aviso en la librería de Barco, carrera de S Gerónimo. El precio de ca da estampa será 40 rs. vn., entendiéndose que ef que se subscriba no paga…</t>
  </si>
  <si>
    <t>Ccvaüos, Pvdro</t>
  </si>
  <si>
    <t>Pvdro Ccvaüos</t>
  </si>
  <si>
    <t>…Carlos. ARTICULO DE OFICIO. E? Rey nuestro Seño- se ha servido expedir el decreto siguiente: „Por una señal de mi singular aprecio á ini primer secretario de Estado y del Despacho D. Pvdro Ccvaüos expedí en favor suyo con fecha de 18 de Febrero del año pasado de 1815 un decreto dirigido á él mismo, y refren dado por dos secretarios mios con egercicio, como en él se previene, cuyo tenor es el que sigue: ,, Atendiendo a ios importantes y distinguidos ser…</t>
  </si>
  <si>
    <t>Ce</t>
  </si>
  <si>
    <t>…Vigo, Tuy y Lugo; en Extrema dura en las de Puente del Arzobispo, Ciñeres y Alcántara; en la Mancha en la da Tarancon; en Alcali de Henares al capitán del Real cuerpo de Zapadores D. Ce sáreo García Carreño; en Oviedo al administrador de correos, y en esta corte á D. Antonio Mariano Clemente, oficial de la secretaría del Consejo de Indias al cargo del Sr. I). Silvestre Collar y Castro; advirtiendo que su dueño dará una bue na gratificación.…</t>
  </si>
  <si>
    <t>Ce, Antonio</t>
  </si>
  <si>
    <t>Antonio Ce</t>
  </si>
  <si>
    <t>…ecto de la expresada ciu dad Je Fuenterabía» El i j del presente tuvieron el honor de cumplimentar á S. M., á nom bre del cabildo catedral de la santa iglesia de Orihuela , el Dr. D. Antonio Ce rudo Sanz, inquisidor honorario del tribunal de corte, el Lie. D. Inocen cio Angel de la Rosa, relator del consejo de Inquisición, y el Dr. D. Tibur, ció Saez, capellán de honor de S. M., canónigos de la expresada iglesia ¿ y el primero pronunció el discurso…</t>
  </si>
  <si>
    <t>Ce, Pedro</t>
  </si>
  <si>
    <t>Pedro Ce</t>
  </si>
  <si>
    <t>…eal Lotería i y de mi Consejo de Hacienda. Tendreislo entendido, y dispondréis lo necesario á su cumplimiento. = Rubricado de la Réal máno.= En Pa lacio á 27 de Enero de 1816. = A D. Pedro Ce valles. 4.* Habiendo venido en exonerar á.D. Tomas Moyana</t>
  </si>
  <si>
    <t>…timo en Verona S. M. la Emperatriz de Austria, ha resuelto S. M. que la corte se vista de luto por tres semanas, empezando desde el dia 3 del corriente. Encarta dirigida al Excmo. Sr. D. Pedro Ce va líos por el cónsul de S. M. en Gibraltar participa este las noticias siguientes, que completan el resultado de la batalla ganada por las tropas del Rey contra los insurgentes de Bue nos-Av res, de que se dió noticia al público en la gaceta de 20 del pasado…</t>
  </si>
  <si>
    <t>Cea, Luis Martin de</t>
  </si>
  <si>
    <t>Luis Martin de Cea</t>
  </si>
  <si>
    <t>…referido juzgado y escribanía i deducir el dere cho con que se crean asistidos á los enunciados vales; con apercibimiento que no lo haciendo se declararán por de la pertenencia de D. Luis Martin de Cea y con sortes. Por providencia de los señores del Real y supremo Consejo de Castilla se ha mandado volver a secar á pública subasta" por término de 15 dias des casas sitas en el lugar de Curabanchd de amiba, la una, que es medio solar, en la calle'que lla man…</t>
  </si>
  <si>
    <t>Cea, Ruperto</t>
  </si>
  <si>
    <t>Ruperto Cea</t>
  </si>
  <si>
    <t>…dos: D. Claudio Quijada dos: D. Bernardo Escovar dos: D. Manuel Lorenzana uno : el provisor dos : los señores Jclís y compañía dos : D. Ma nuel Castaáon dos: D. Josef R*eovar dos: D. Ruperto Cea dos: D. Aniceto Cavero uno: D. Tomas Ríos uno: D. Francisco Val le jo dos : el cura de San Salvador Pala del Rey uno: el de S. Marcelo uno: el de Renueva uno: el de Sta. Ana uno: el tesorero del cabildo dos: D. Pascual Suarez uno: D. Lidro Benitoa uno: D. Ram…</t>
  </si>
  <si>
    <t>Cebrian</t>
  </si>
  <si>
    <t>…lla de Onteniente , reino de valencia, D. Pascual Ortiz de Almodovar, síndico personero de la expresada villa, y condecorado con la cruz del segundo egército. El Emo. y Excmo. Sr. cardenal Cebrian, patriarca de las Indias; el Excmo. Sr. inquisidor general de estos reinos , y los Sres. D. Tomas Apari^ ció Santin, colector general de Espolios; D. Manuel Martínez del Campo, del supremo Consejo de la Inquisición, sumiller de cortina de S. M., y audi tor de…</t>
  </si>
  <si>
    <t>Cebrian, Josef Ponzoa</t>
  </si>
  <si>
    <t>Josef Ponzoa Cebrian</t>
  </si>
  <si>
    <t>…n causado en los manantiales de la riqueza pública las fatales ocurrencias pasadas. En seguida el individuo de mérito literario, secretario perpetuo por S. M. de este Real cuerpo, D. Josef Ponzoa Cebrian leyó un extracto analítico de las tareas y deliberaciones de la sociedad desde el 4 de Noviembre de 1807, en que celebró el último acto de repartimiento de premios hasta el presente</t>
  </si>
  <si>
    <t>Cedo, Josef María de Torres y</t>
  </si>
  <si>
    <t>Josef María de Torres y Cedo</t>
  </si>
  <si>
    <t>…e nuestro augusto y amado Soberano, y del otro las ar mas de la ciudad de Tarragona con el lema: La Junta de dibujo al talento y aplicación. Jóvenes premiados. 1. a clase. Premio, D. Josef María de Torres y Cedo: gratificación, Josef Montui. 2. a clase- Premio, Juan Raubert: gratificación, Josef Bartolí. 3. a clase. Premio, Juan Calvet: gratificación, Josef Antonio RoseU. 4. a clase. Premio, Francisco Miguel : gratificación, D. Francisco Diaz. Señoritas premiadas. 1.…</t>
  </si>
  <si>
    <t>Celada, Pascual de</t>
  </si>
  <si>
    <t>Pascual de Celada</t>
  </si>
  <si>
    <t>…nes del ReaLempréstito y letras que aquí se ex presan , según se avisa. Vales Reales. Uno de 150 pesos con el núm. 1503^6 de la creación de i.°-de Setiembre de 1806 , endosado por D. Pascual de Celada: otro de 150 pesos con el núm. 226296 de la creación de i.° de Enero de 1806, endosa do por D. Vicente de Les.: cuatro de 300 pesos con los núms. 28266, 22198, 32925 y 31904 de la creación de i.° de Setiembre de 1806, y otro de 30P pesos con el núm. .431801 d…</t>
  </si>
  <si>
    <t>Celis, Antonio de Posada Rubín de</t>
  </si>
  <si>
    <t>Antonio de Posada Rubín de Celis</t>
  </si>
  <si>
    <t>…rmo. Sr. Infante D.Cárlos, y de felicitarlos por los concertados en laces con las Sermas. Sras. Infantas de Portugal, en nombre del cabildo de la insigne y santa iglesia de Lorca, D. Antonio de Posada Rubín de Celis, ca pellán de S. M. y canónigo de su Real iglesia de S. Eidrode esta corte, Don Ginés de Moya y D.Joaquin Escarano,capellanes de honor de S. M., quie nes dijeron : „ Se ñor; El cabildo de la santa iglesia de Lorca nos encarga de humillar i</t>
  </si>
  <si>
    <t>Celis, Isidro Pérez de</t>
  </si>
  <si>
    <t>Isidro Pérez de Celis</t>
  </si>
  <si>
    <t>to. Fue consagrante el limo. Sr. D. Isidro Pérez de Celis, obispo de Segovia, asistentes los limos. Sres. D. A;idres Esteban Gómez , obispo de Zeuta y electo de Jaén, y D Luis Gregorio López del Castrillo, obispo de Lorima, y auxiliar en esta corte del Emo. y Exorno. Sr. arzobispo de Toledo. Pa drino el Excmo. Sr. d…</t>
  </si>
  <si>
    <t>Cena, Juan Zapata y</t>
  </si>
  <si>
    <t>Juan Zapata y Cena</t>
  </si>
  <si>
    <t>…os inmediatos , de que ya se ha dado cuenta en este periódico, una de la ciudad de Arcos de la Frontera, com puesta de los Sres. D Josef Bravo y Torices, D. Antonio María de Aler, D. Juan Zapata y Cena, D. Jos.éf Manuel Obregon y D. Pedro Josef Za pa, los cuales', en representación del ayuntamiento y del estado eclesiástico de aquella ciudad , tuvieron la honra el día 7 de Seriembre próximo pasado de ofrecer á S. M. y A. los sinceros homen.iges del amor y T…</t>
  </si>
  <si>
    <t>Centeno, Feliciano</t>
  </si>
  <si>
    <t>Feliciano Centeno</t>
  </si>
  <si>
    <t>…ra la de Mairena de Alcor á D. Miguel Gordo: para la de Villadiego á D. Ca simiro de la Piedra y Urrutia.: para la de Morata á D. Antonio Evaristo de Haro: para la de Granadilla á D. Feliciano Centeno: para la de Villagarcía á D. Josef Martínez Sarabia: para la de Arroyo del Puerco á D. Pedro Alzorriz Morgado : para la de Monteagudo á D. Francisco Fernandez Molina: para la de Mombeltran á D. Benito Gabriel de Aguilera: para la de Rioseco á D. Antonio Romer…</t>
  </si>
  <si>
    <t>Cepeda, Josef Antonio Martínez</t>
  </si>
  <si>
    <t>Josef Antonio Martínez Cepeda</t>
  </si>
  <si>
    <t>86 D. Josef Antonio Martínez Cepeda, D. Julián Izquierdo Chacón , Bartolo mé López Girón, Josef Giménez, Juan Gregorio Ureste, Jacinto Castella no, Jesús Galindo y Claudio Lillo, á cada uno una medalla de plata con el busto de nuestro amado Monarca. Finalmente, habiendo el maestro dado las grac…</t>
  </si>
  <si>
    <t>Cerda, Andrés</t>
  </si>
  <si>
    <t>Andrés Cerda</t>
  </si>
  <si>
    <t>…agata D. Manuel Bienvenga y D. Juan del Villar López. A la graduación de alféreces de Fragata á los primeros contramaestre* D. Josef del Pino, D. Domingo Pineirua, D. Justo López, D. Andrés Cerda, D. Gabriel Lledó, D. Josef Tuells y D. GabrieTSousa. CUERPO DE MEDICO'CIRUJANOS DE LA REAL ARMADA. Honores de médico consultor al primer médico-cirujano de la matrícula de Malaga D. Josef Salamanca. Honores de primer profesor médico-cirujano al médico-ciruja…</t>
  </si>
  <si>
    <t>Cerezo, Pascual Ramírez</t>
  </si>
  <si>
    <t>Pascual Ramírez Cerezo</t>
  </si>
  <si>
    <t>Gaceta de Madrid n.º 148</t>
  </si>
  <si>
    <t>…villafranca del Vierzo á D. Ni colás Gómez Villaboa: para la de Zueros á D.Nereo de Dueñas y Vilches: para la de-.Barcarota á D. Josef Villegas Cevallos: para la de Montcalegre á D. Pascual Ramírez Cerezo: para la de Teba á D. Josef Antonio Aivarez Valle: para la de Calahorra de Granada á D. Francisco Mirambell: para la de Estremera á D. Miguel Agustín de Novas: para la de Friones á I). Josef de Aguirre; y para la de Aznalcázar á D. Josef Joaquín Romero del Má…</t>
  </si>
  <si>
    <t>Cerquero, Francisco</t>
  </si>
  <si>
    <t>Francisco Cerquero</t>
  </si>
  <si>
    <t>…Graduación de oficial primero al segundo D. Miguel Sarmiento; gra duación de oficiales segundos á los terceros D. Josef Agnete y D. Josef Mi lian; graduación de tercero al cuarto D. Francisco Cerquero; graduación de cuarto al quinto D. Antonio Pascual la Peña, y graduaciones de oficiales quin tos á los meritorios D. Rafael Riaño, D. Manuel Sánchez Pinete y D. Mi guel Josef de Quevedo. DEPARTAMENTO DE FERROL. Ascendidos d sus inmediatas clases. A oficial pr…</t>
  </si>
  <si>
    <t>Cerquero, Vicente Sánchez</t>
  </si>
  <si>
    <t>Vicente Sánchez Cerquero</t>
  </si>
  <si>
    <t>3t9 ,,Mí ayudante D. Vicente Sánchez Cerquero ha hecho cnanto se le ha mandado, observando que se distinguió en el suceso desgraciado del navio S. Pedro, y luego mandó mi falúa en el abordage de la goleta, que las bar cas tomaron con tanta bizarría en la noche del 24 de Octubre. Los reco miendo á la prot…</t>
  </si>
  <si>
    <t>Cerrudo, Fernando</t>
  </si>
  <si>
    <t>Fernando Cerrudo</t>
  </si>
  <si>
    <t>…0. D. Lorenzo Mu-te 2 3. El contador del crédito público 48. El deán de aquella santa iglesia 40 El arcediano de Avila 5 . El doctoral 23. El maestrescuela 40. D. Josef Tejero 20. D. Fernando Cerrudo 20. D. Miguel Cantero 70. D Andrés Calvedo 40. D. Victoriano Vacas 46. D. Juan Ser na 40. D. Felipe Raguimido 40. D. Diego Veruega 44^ E! lectoral 23. Don Julián Ga.scueña 46. D Antonio Arguello 48. D. Ramón Orachea 48. Don Fernando Perez 2o. Sr. Corrales, ra…</t>
  </si>
  <si>
    <t>Cervero, Antonio</t>
  </si>
  <si>
    <t>Antonio Cervero</t>
  </si>
  <si>
    <t>…ulos de la Real aca^ demia de Nobles Artes de S. Cárlos. En el mismo acto de la distribución ce dieron la parte pecuniaria del premio D. Juan Bautista Genoves, D^Bernar do Morera, D. Antonio Cervero, D Gregorio Sech, D. Antonio Iractburu y D. Antonio Chicoy , é igualmente las niñas Doña Margarita Joanicot, Do-; ña Concepción Jordá, Doña Brígida Buchelli, Doña María Praty Doña Jo sefa Piquer. Para costear estos premios contribuyeron generosamente diferent…</t>
  </si>
  <si>
    <t>Cerveto, Carmen</t>
  </si>
  <si>
    <t>Carmen Cerveto</t>
  </si>
  <si>
    <t>…la. El Rey nuestro Señor, por decreto especial de 20del mes próximo pasa do, se ha dignado conceder el gobierno militar y político de la plaza deAlriiería a] coronel de infantería D. Carmen Cerveto. Por providencia del Sr. D. Joaquín de Almazan y Ximeno, del consejo de S. M., oidor honorario de la Real chancillería de Valladolid , teniente de corregi dor de esta villa de Madrid, refrendada del escribano del número-D. Juan Antonio de Urraza , se cita, ll…</t>
  </si>
  <si>
    <t>Cervino, Juan</t>
  </si>
  <si>
    <t>Juan Cervino</t>
  </si>
  <si>
    <t>…Luis Romero, D. Josef Sevilla, D. Félix Martínez, D. Ildefonso Yoldi, D. Josef del Solar, D. Juan de Lerena, D. Pedro Teruel, D. Ber nardo Roca, D. Luis Roca, D. Manuel de Llanos, D. Juan Cervino y Don Miguel del Solar. jEn el cuerpo de Ingenieros. Para el grado de ingenieros en gefe al en segundo D, Vicente Manterola y D. Joaquín María Perl., A ingeniero en segundo al ordinario D, Diego de Parra, En el cuerpo de brigadas de artillería Real de Marina d comisario pro vincial…</t>
  </si>
  <si>
    <t>César, Fedeiico</t>
  </si>
  <si>
    <t>Fedeiico César</t>
  </si>
  <si>
    <t>…sin que se sepa su paradero. El gran consejo d.l cantón de Vaud ha expedido el decreto siguiente: ,, El gran consejo &amp;c. En consideración al zelo activo é infatiga! le con que el general Fedeiico César de la Harpe, gran cruz de la orden rusa de Sólita Ana, se ha conducido en favor del cantón de Vaud, su patria , el gran con sejo le manifiesta por el presente su reconocimiento.” El directorio federativo ha recibido de parte de los 22 cantones la ratifi cació…</t>
  </si>
  <si>
    <t>Cesáreo</t>
  </si>
  <si>
    <t>…conómica de esta ciudad, en cumplimiento de sus es tatutos, celebró su junta anual pública el 25 de Julio último. Dió principio í este acto con un discurso su primer director elSr.D. Cesáreo deGardoqui, In tendente general del egército de Castilla la vieja y provincia de Valladolid: á continuación el R. P. Mtro. Fr. Higinio Gutiérrez, segundo censor , mani festó en un escrito las paternales miras de S. M. sobre sus pueblos, y su de cidida protecc…</t>
  </si>
  <si>
    <t>Céspedes, Vicente</t>
  </si>
  <si>
    <t>Vicente Céspedes</t>
  </si>
  <si>
    <t>…irlo ó enviarlo á casa del dicho D. An drés María Fariña, g¡e Santiago, tio político del chico, ó á la de su madre Doña Josefa Martínez, vecina de Puente de Ume, ó en esta corte á D. Vicente Céspedes, calle de la Magdalena baja, núm. 8: cualquiera de los,dos abonarán los gastos que hayan tenido en su manutención y conducción, y darán una buena gratificación. Q. Curtii Ruíi, de rebus gestis Alexandri Magni, libri vm. Breviariis, ac notis híspanicis ¡Ilustr…</t>
  </si>
  <si>
    <t>Cev, Pedro</t>
  </si>
  <si>
    <t>Pedro Cev</t>
  </si>
  <si>
    <t>…al feliz resultado de sus observaciones y trabaje-*. Lo tendréis entendido y comuni careis á quienes corresponda.erRubricado de ia Real mano.=En Sacedoná 17 de Julio de 1816. = A D. Pedro Cev&amp;Uos. El Rey nuestro Señor en atención á los méritos y servicios distinguidos del presbítero-O. Domingo Durar!*, con fecha de 9 del pre«eme mes ha ve nido en concederle la giacia de cruz dei número de la Real y distinguida &lt;5*den de Carlos m. Las preciosidades…</t>
  </si>
  <si>
    <t>Cevailos, Ciríaco de</t>
  </si>
  <si>
    <t>Ciríaco de Cevailos</t>
  </si>
  <si>
    <t>…804 el difunto capitán de fragata D. Juan Vernacci, año de iSió. — Nuevo pla no del puerto de Veracruz , levantado en 1807 de orden del difunto capitán de na vio de la Real armada D. Ciríaco de Cevailos por el teniente de navio D. Fabio Aíí-ponzoni, publicado en la Dirección de hidrografía en 1816. Se hallarán en Ma drid en el despicho de obras de la Dirección hidrográfica, calle de Alcalá; en Cá diz en el deposito particular, casa de la Camorra; en las acad…</t>
  </si>
  <si>
    <t>Cevailos, Pedro</t>
  </si>
  <si>
    <t>Pedro Cevailos</t>
  </si>
  <si>
    <t>…endido, lo comunicareis á quien corresponda, y dispondréis en la parte que os toca lo necesario al cumplimiento. Rubricado de la Real mano. = En Pa lacio á 8 de Julio de 1816. = A D. Pedro Cevailos. 2.0 Si los Monarcas, para corresponder á la sagrada delegación de poder que reciben de la divinidad , deben procurar, como un padre hacia sus hijos, el bien estar de los pueblos confiados á su dirección, ¿con cuánta mas justi cia no reclama la humanidad doli…</t>
  </si>
  <si>
    <t>…uz de la misma Real orden: el marques de Bél-* gida, grande de España de primera clase, caballerizo mayor del Rey nues tro Señor, caballero gran cruz de la misma Real orden ; y yo D. Pedro Cevailos, como su primer secretario de Estado y del Despacho.” En seguida el aposentador de palacio y el conserge aproximaron la me sa para que S. M. firmase; luego al Sr. Infante D. Carlos; y concluido, se dió principio á las ceremonial. S. M. se levantó y bajo del t…</t>
  </si>
  <si>
    <t>Cevalios, Pedro</t>
  </si>
  <si>
    <t>Pedro Cevalios</t>
  </si>
  <si>
    <t>138</t>
  </si>
  <si>
    <t>…en este mis benéficas y paternales intenciones. Téndreislo entendido, y dis pondréis lo necesario á su cumplimientos Rubricado de la Real manos Pa lacio á 28 de Enero de 1816.= A D. Pedro Cevalios. Por Real decreto de 11 de Setiembre de 1814 r con presencia de motivos muy poderosos que obligaban á esta providencia , el Rev nuestro Señor se sirvió suprimir el Protomedicato, y restablecer las juntas gubernativas de Mediciná, Cirugía y Farmacia con las mi…</t>
  </si>
  <si>
    <t>Cevalíos, Pedro</t>
  </si>
  <si>
    <t>Pedro Cevalíos</t>
  </si>
  <si>
    <t>1204</t>
  </si>
  <si>
    <t>…a en la primera Secretaria de Estado y dei Despacho á D. Josef García de León y Pizarro, el que por ahora despachará interinamente los negocios de Gracia y Justicia, como lo hacia D. Pedro Cevalíos. Tendreislo entendido , y dispondréis su cumplimien to. == Rubricado de la Real mano.=En Palacio á 30 de Octubre de idió.zs Al marques de Campo Sagrado.” Por providencia del tribunal del consulado de Cádiz, y escribanía de D. Elias Izquierdo y Payan, se cita,…</t>
  </si>
  <si>
    <t>Cevallos, Amero Henriquez y</t>
  </si>
  <si>
    <t>Amero Henriquez y Cevallos</t>
  </si>
  <si>
    <t>…o de Albornoz , prior y cura párroco , en nombre del clero, y de D. Juan de Lillo Rubio y Galera, en nombre de los hacenda dos : otra de la villa de Martos, compuesta del teniente coronel D. Amero Henriquez y Cevallos , gobernador de ella;, y de los regidores D&gt; Alonso</t>
  </si>
  <si>
    <t>Cevallos, Elias Bustillo y</t>
  </si>
  <si>
    <t>Elias Bustillo y Cevallos</t>
  </si>
  <si>
    <t>…egadío y calma, olivar y monte, una casa parador y de labranza. Quien quiera tratar de ajuste acudirá á la calle del Pez, nú mero r . cuarto segundo. Quien supiere del paradero de D. Elias Bustillo y Cevallos, que padece de de mencia, y sus senas son estatura reiular, color trigueño, cerrado de ba ha, 30 año* de edai, se servirá comunicarlo á X). Miguel López del Postigo, del comercio de Madrid en la calle de Toledo, quien ademas de agradecerlo dará 5^ rs. vn. de…</t>
  </si>
  <si>
    <t>Cevallos, Elias Bustíllo y</t>
  </si>
  <si>
    <t>Elias Bustíllo y Cevallos</t>
  </si>
  <si>
    <t>…medio de este periódico para su concurrencia por sí ó sus apoderados; en inteligencia que de no asistir á ella les parará el perjuicio que haya lugar. Quien supiere el paradero de D. Elias Bustíllo y Cevallos, que padece de de mencia, aunque no fácil de conocer, que se ausentó de las montañas de Santander en primeros de Mayo del corriente año, exigiendo pasaporte, y anda mendigando, cuyas señas son: estatura regular, color trigueño, cerrado de barba, edad 30 años;…</t>
  </si>
  <si>
    <t>…nga á bien comunicarlas á D. Isidoro Simón de Castro, presbí tero en el lugar de Getafe, para instruir al D. Luis Gonzaga de asuntos que le ínteresan. Quien supiere el paradero de D. Elias Bustillo y Cevallos, que padece de de mencia, aunque.no fácil de conocer, que se ausentó de las montanas de Santander en primeros de Mayo del corriente ano, exigiendo pasaporte, y anda mendigando, cuyas senas son; estatura regular, color trigueño, cerrado de barba, edad 30 años;…</t>
  </si>
  <si>
    <t>Cevallos, Josef</t>
  </si>
  <si>
    <t>Josef Cevallos</t>
  </si>
  <si>
    <t>…da D. Santiago de Irisarri, el brigadier D. Torcuato Trugillo, el capítan de Navio D. Domingo Monteverde, el canónigo de la santa iglesia de To ledo D. Isidoro Sainz de Alfaro, el brigadier D. Josef Cevallos, y D. Josef Matías de Landaburu, secretario de legación en Berlin. Cruz de Caballeros. El capitán de Fragata D. Miguel Araoz, el capitán del regimiento de Gra nada D. Fernando Gaver, el sargento mayor del regimiento de Badajoz Don Joaquín Gayón, el teniente c…</t>
  </si>
  <si>
    <t>Cevallos, Josef Villegas</t>
  </si>
  <si>
    <t>Josef Villegas Cevallos</t>
  </si>
  <si>
    <t>…la Real á Don' Miguel de Lerin Bracamonte: para la de villafranca del Vierzo á D. Ni colás Gómez Villaboa: para la de Zueros á D.Nereo de Dueñas y Vilches: para la de-.Barcarota á D. Josef Villegas Cevallos: para la de Montcalegre á D. Pascual Ramírez Cerezo: para la de Teba á D. Josef Antonio Aivarez Valle: para la de Calahorra de Granada á D. Francisco Mirambell: para la de Estremera á D. Miguel Agustín de Novas: para la de Friones á I). Josef de Aguirre; y pa…</t>
  </si>
  <si>
    <t>Cevallos, Pedro</t>
  </si>
  <si>
    <t>Pedro Cevallos</t>
  </si>
  <si>
    <t>…á las cinco de la tar de en su casa de la calle de Aléala. S. A. llegó- á las cinco y media, y fue recibido al pie de la escalera al apearse del coche por el Excmo. Sr. protec tor D. Pedro Cevallos, por el Sr. vice-protector D..Pedro Franco y por lo® Sres. consiliarios, pasando por medio de los dunas individuos, formados en dos filas, hasta la entrada de la sala de ¡untas. Colocado S. A. bajo el dovsel, y habiendo ocupado todos los académicos sus respec…</t>
  </si>
  <si>
    <t>…de mi pri mer Secretario de Estado y del Despacho,-de cuya Secreta ría os volvereis á encargar inmediatamente. = Rubricado de la Real mano. =En Palacio á 26 de Enero de 1816. = A D. Pedro Cevallos, • 2 .* El primer deber de los Soberanos es dar calma y tranquilidad á sus vasallos. Cuándo estos son juzgados por los tribunales establecidos por la ley, descansan bajo su proteo cion; pero cuando las causas se juzgan por comisiones, ni mi conciencia puede e…</t>
  </si>
  <si>
    <t>…tado y del Despacho de Gracia y Justicia, Tendreislo en tendido , y dispondréis lo necesario á su cumplimiento. s Rubricado de la Real mano,=En Palacio á 27 de Enero de 1816. s= A D. Pedro Cevallos. 5 .0 Condescendiendo con la renuncia que me tenia hecha D. Luis Salazar de la Secretaría de Estado y del Despacho de Marina, he venido en exonerarle de ella, concediéndole plaza efectiva en mi Consejo de Estado, con el máximo del sueldo señalado para todos l…</t>
  </si>
  <si>
    <t>…ndrcislo entendido, y dis pondréis lo necesario á su cumplimiento. =r Rubricado de la Real mano. =: En Palacio á 20 de Febrero de 1816. = A D. Tomas Lobo. 2.0 Deseando acreditar á D. Pedro Cevallos, mi primer Secretario de Estado y del Despacho universal, lo satisfecho que me hallo de sus buenos y particulares servicios, y de su amor y fidelidad constante á mi Persona^ y atendiendo también á sus distinguidas circunstancias ; he venido en conce derle el…</t>
  </si>
  <si>
    <t>…ón y al trabajo que debe hacerlos algún dia útiles á sí mismos y al Estado. Madrid de Marzo. El dia 11 de este mes cumplimentaron á S. M. en nombre de la Real maes tranza de Ronda D. Pedro Cevallos, D. Fernando Queipo de Llano y Don Domingo Ramírez de Arellano. con el plausible motivo de su concertado matrimonio con la Serma. Sra. Infanta Doña María Isabel Francisca, y en seguida lo hicieron al Sr. Infante D. Carlos por su ajustado casamiento con la Ser…</t>
  </si>
  <si>
    <t>367</t>
  </si>
  <si>
    <t>…aventaje á la benemérita Cataluña y su capital en el deseo de S. M. de considerarla y distinguirla sobre los de más. Asi se confirma por,la siguiente Real orden que me comunica el Señor D. Pedro Cevallos, encargado dei Ministerio de Gracia y Justicia, , Excmo. Sr.: Con ésta fecha comunico al Sr. presidente del consejo la Real orden siguiente: „Satisfecho el Retí nuestro Señor de la lealtad del principado de Cataluña, y singularmente de la ciudad de Barcelona,…</t>
  </si>
  <si>
    <t>…e sirvió S, M, renovar y mandar llevar á efecto en Real cédula de 2 de Octubre de 1814. Posteriormente y con fechas 24 y 31. de Marzo del año último comuni có al Consejo el Excmo. Sr. D. Pedro Cevallos, primer Secretario de Esta do y del Despacho, por medio del Excmo. Sr. Duque del Infantado, dos Reales órdenes , por las cuales se sirvió S. M. mandar se encargase de nuevo el cumplimiento de las citadas disposiciones; y publicadas en el Consejo, en su vista,…</t>
  </si>
  <si>
    <t>…aron muy complacidos de esta demostración de amor y de respeto. ARTICULO DE OFICIO. Artículo comunicado por la primera secretaría de Estado. Por carta de oficio dirigida al Excmo. Sr. D. Pedro Cevallos por el en cargado de Negocios de S. ‘M. en la corte del Brasil se sabe haber adquirido mayor probabilidad la noticia participada anteriormente en varias carras que trajo un barco procedente de Buenos-Aires, á saber: que á 11 leguas de Xjhaianta, donde el sedi…</t>
  </si>
  <si>
    <t>…ca, y espero se lo manifiesten sus comisionados.” ARTICULO DE OFICIO. Circulares del Consejo Real. i.a Con Real orden de 5 de Julio del año último comunicada por el Ex celentísimo Sr. D. Pedro Cevallos, primer Secretario de Estado, se remitió al Consejo una memoria y proyecto de resolución para conservar los niños Expósitos , y hacerlos útiles á la sociedad , y asi bien á los de tálamo legí timo abandonados por la miseria ó defección de sus padres, dispuest…</t>
  </si>
  <si>
    <t>…den de este Supremo Tribunal para su cum plimiento en lo que le corresponde; y de su recibo me dará aviso. Dfos guarde á V. muchos años. Madrid 20 de Abril de 1816. 3. a El Excmo. Sr. D. Pedro Cevallos, primer Secretario de Estado y del Despacho, é interino del de Gracia y Justicia, comunicó al Consejo con fecha 6 del corriente por medio del limo. Sr. Decano de él la Real orden siguiente: ' &gt; * . ^ . ~ „ limo. Sr.: El Sr. Secretario del Despacho de Marinadm…</t>
  </si>
  <si>
    <t>…bajo de los convenientes arreglos que deben preceder al efecto. TendreMo entendido, y dispondréis lo necesario á su cumplimiento.^Rubricado. = Ea Palacio á 19 de Mayo de 1816. = A D. Pedro Cevallos.</t>
  </si>
  <si>
    <t>…su salida, y ha conducido tres cajones de pliegos y 100® y pico de pesos fuertes de donativos á S. M. Madrid 22 de Mayo, ARTICULO DB' OFICIO. Circular del Consejo Real. El Excmo. Sr. D. Pedro Cevallos, primer Secretario de Estado y del Despacho, é interino del de Gracia y Justicia, ha comunicado al limo. Sr. Decano de él con fecha 4 de este mes la Real orden siguiente: ,,lhno. Sr.: El Sr. Secretario de Estado y del Despacho en Real orden de 2 del corriente…</t>
  </si>
  <si>
    <t>678</t>
  </si>
  <si>
    <t>…a , cual es la remisión de las penas con dispen sa de la ley. Lo tendréis entendido , y comunicareis á quienes corresponda.:: Está rubricado.=En Palacio á a6 de Junio de r8i6. = A D. Pedro Cevallos.* Noticia de algunas operaciones militares ocurridas en el vireinato del Nuevo- Reino de Granada y provincias de Venezuela en los meses de Febrero y Marzo de este año. El teniente general D. Pablo Morillo, general en gefe del egército expe dicionario de Costa…</t>
  </si>
  <si>
    <t>…, y en los términos que prescríba. Tendreisio entendido, y dispondréis lo necesario al cumplimien to. = Rubricado de la Real mano de S. M. s: En Palacio á 20 de Junio de 1816. = A D. Pedro Cevallos. Ti! dia dej augusto nombre de nuestro Soberano Toe celebrado en las Rea les fábrica^ de artillería de la Cavada cual correspondía á tan digno objeto, y permitía el estado de abatimiento en que se halla aquel establecimiento; siendo uno de los medios con que…</t>
  </si>
  <si>
    <t>…D. Cirios, y cumplimentarlos por sus futuros enla ces con las Sermas. Sras. Infantas de Portugal, los diputados de la ciudad de Badajoz, capital de Extremadura, los Excmos. Sres. D. Pedro Cevallos, primer secretario de Evtado y del Despacho, D. Manuel de Villena, pri mer caballerizo de S. M., el marques de Monsalud, primer caballerizo del Sermo. Sr. Infante D. Carlos, D. Juan Gregorio Mancio, mariscal de cam po de los Reales egércitos, y caballero de l…</t>
  </si>
  <si>
    <t>…llos, que gratas á mi corazón lleno de amor h.ícia ellos. Tendreislo en tendido, y dispondréis lo necesario á su cumplimiento. Está rubricado =Ea Sacedon á 12 de Julio de 1816. =A D. Pedro Cevallos. El Rey nuestro Señor se ha servido conceder á D. Francisco de Paula Soler de Vargas, regidor de la clase de nobles de la ciudad de Alicante, su Real permiso para poder usar la condecoración de la orden de la Flor de Lis, que S. M. Cristianísima el Rey de Fra…</t>
  </si>
  <si>
    <t>…n hasta el dia. El lunes h .bo en este pueblo corrida de toros de muerte, á que asis tieron S. M y A. en la casa de D. Joaquín Paez Jaramillo, en que se hallan alojidos el Exorno. Sr. D. Pedro Cevallos y la primera secretaría de Esta do. Fueron muertos los toros por un aficionado, que con este motivo dió muestras de mucha destreza y habilidad. Noticia de las personas y corporaciones que han felicitado d S. M, en es ta villa de Sace don. El presbítero D. Jos…</t>
  </si>
  <si>
    <t>PDF p. 15</t>
  </si>
  <si>
    <t>…ado y del Despacho de vuestro cargo Tendreislo entendido, y dis pondréis lo necesario á su cumplimiento. Rubricado de la Real mano de S. M. = En Sacedon á 21 de Julio de 1816. = A D. Pedro Cevallos. El Rey nuestro Señor ha tenido á bien nombrar gobernador y capitán general de las provincias de Venezuela,y presidente de la Real audiencia de Caracas, al brigadier de caballería D.Salvador Moxo, promoviéndolo a ma riscal de campo. Se rende una huerta ccn po…</t>
  </si>
  <si>
    <t>…la comianza que debe, á S. M.. en haberlos, puesto bajo su dirección. ARTICULO DE OFICIO.. Circular del Consejo Real,. Con fecha 9 de este mes ha comunicado al Conselo el Exorno. Sr. Don Pedro Cevallos , primer Secretario de Estado y del Despacho , e interino del de Gracia y Justicia, por medio del limo. Sr. Decano de el de orden de S. M. la siguiente: „Ilmo. Sr.: El Sr. Secretario de Estado y del Despacho con fecha de 15 de Ju nio último me dice lo que sig…</t>
  </si>
  <si>
    <t>…recomendada para evitar el gravamen de mis pueblos. Lo tendréis entendido, y comunicareis á quienes corresponda. = Rubricado de la Real mano.sEu Macedón á 27 de Julio de 1816. = A D. Pedro Cevallos. En el Real cuerpo de guardias de la Persona del Rey nuestro Señor se ha servido S. M. conferir el empleo de comandante de escuadrón supernu merario á D. Joaquín SoravÜla, exento del mencionado Real cuerpo, pro moviéndole al misino tiempo á brigadier de cabal…</t>
  </si>
  <si>
    <t>…bién expresa el nominado mi cabildo en esta su carta» que me confió para que tuviese &lt;1 honor de ponerla en manos de V. M. ARTICULO DB OFICIO. Circular del Consejo Real. El Excmo. Sr. D. Pedro Cevallos, primer Secretario de Estado y del Despacho, y encargado interinamente del de Gracia y Justicia» ha comuni cado al Consejo con fecha 2 de este mes, por medio del limo. Sr. Decano, la Real orden que sigue: „llmo. Sr.: Con fecha de 12 de Julio último me dice el…</t>
  </si>
  <si>
    <t>…a hermosa carretela, á lin de que pudiesen disfrutar con mas libertad de aquella diversión. El Sr. Ministro plenipotenciario de S. M. Británica e« esta corte ha pa sado al Excino. Sr. D. Pedro Cevallos para noticia de S. M. los siguientes do cumentos, relativos al glorioso resultado de la expedición contra Argel, con ducidos á Barcelona por un buque de guerra ingles, y remitidos desde alli con dirección al Excmo. Sr. D. Henrique Wellesley, embajador extraor…</t>
  </si>
  <si>
    <t>…a volun tad, y al tenor de este mi Real decreto, que deberá ser refrendado por dos secretarios míos con egercicio.” Consiguiente á esta autorización mía, habien do debido el mismo D. Pedro Cevallos á nuestro muy Santo Padre Pió vil que por un diploma, dado en la diócesis de Albano el 15 de Mayo último, haya distinguido igualmente que Yo su.mérito, y proclamado con expresiva gratitud sus servicios, como hechos no solo á mi Persona , sino á la de S. S. en…</t>
  </si>
  <si>
    <t>…e, he venido en declararlo asi. Tendreislo entendido, y comunicareis las ordenes convenientes á su cumplimiento. = Rubricado de la Real mano. = En Palacio á de Octubre de iSró.erA D. Pedro Cevallos. En consecuencia del anterior decreto la Reina nuestra Señora ha tenido á bien manifestar en la siguiente forma su Real determinación. Por decreto de 2 t de Abril del año pasado de 1792 mi augusto Abuelo y Padre el Sr. D. C rios iv tuvo á bien autorizar á mi…</t>
  </si>
  <si>
    <t>…tud de orden de sus respectivas asambleas. Tendreislo entendido', y] dispondréis lo necesario á su cumplimientos Rubricado de la Real mano.sEn Palacio a 27 de Octubre de 1816» = A D. Pedro Cevallos. Por el ministerio de Marina se ha expedido con fecha de i.° de Noviem bre la Real orden siguiente, „D. Juan Bautista Bisso y D. Cristóbal Crucet han recurrido, con ins tancia, á esta Via reservada de Marina, solicitando que en conformidad de •las benéficas i…</t>
  </si>
  <si>
    <t>Cevaüos, Pedro</t>
  </si>
  <si>
    <t>Pedro Cevaüos</t>
  </si>
  <si>
    <t>drejslo entendido, y dispondréis lo necesario á su cumplimiento. ^Rubrica-, do de la Real mano de S. M. = En Palacio á 20 de Enero de 1816. = A Don Pedro Cevaüos. El Rey se ha servido conceder honores.del consejo de Estado á D. Juan Esteban Lozano de Torres, intendente de egército y ministro honorario del consejo supremo de Guerra. ; , mmmm» ' ' — ’ ... - --------------------------■ ————— 1 1 — En las últimas eleccion…</t>
  </si>
  <si>
    <t>Chacón, Alonso María Sahagun y</t>
  </si>
  <si>
    <t>Alonso María Sahagun y Chacón</t>
  </si>
  <si>
    <t>…Sánchez de León: otra de la villa de Camuñas, compuesta de D. Manuel María More no, D. Juan Manuel Díaz , D. Eusebio Romero , D. Juan Antonio López de la Oliva, D. Manuel Sánchez, D. Alonso María Sahagun y Chacón, y D. Lorenzo Romero: otra del ayuntamiento y clero de Villarubia de los ojos de Guadiana , compuesta de su alcalde mayor D. Salvador Gramage , de; su alcalde ordinario D. Juan García Tasamero, de su cura párroco D. Ma tías González Soler y de D. Francisco Ló…</t>
  </si>
  <si>
    <t>Chacón, Cristóval</t>
  </si>
  <si>
    <t>Cristóval Chacón</t>
  </si>
  <si>
    <t>…5310 rs. vn. Quien quisiere comprarlas juntas ó separadas podrá tratar con D. Adriano de las Barcenas, calle Mayor, frente á la casa del Excmo. Sr. conde de Oñate, y en Málaga con D. Cristóval Chacón, oficial mayor interventor de correos; previniéndose que en caso dé permuta se abonará en dinero el exceso si lo hubiese. fin Abril de 1812 se ausentó de Badajoz Joaquín Simoins Farto y Barreros, de edad de 20 á 21 años, que tenia en la nariz una señal de sos…</t>
  </si>
  <si>
    <t>Chacón, Josef Callejón y</t>
  </si>
  <si>
    <t>Josef Callejón y Chacón</t>
  </si>
  <si>
    <t>…di rector general de las partidas destinadas á perseguir malhechores en Andalu cía; D. Antonio del Rio, teniente de los Reales egércitos,regidor del ayun tamiento de dicha ciudad; D. Josef Callejón y Chacón ,maestrante del Real cuerpo de Granada, y D. Cirios Hauria de Lombera, secretario segundo deí mismo ayuntamiento; quienes manifestaron á S. M, y A. los sentimien tos del amor y acendrada lealtad que animaban á aquellos habitantes. Con fecha de 30 de Setiembre…</t>
  </si>
  <si>
    <t>Chacón, Josef María</t>
  </si>
  <si>
    <t>Josef María Chacón</t>
  </si>
  <si>
    <t>…uel Cordero y D. Ramón Eulate, el primero que lo es de las fuerzas sutiles, y el último de la corbeta Diamante, los tenien tes de navio D. Bernardo de Salas, D. Josef de la Serna, D. Josef María Chacón y D. Rafael de Santibañez., y los demás gefes y subalternos de la marina Real, han trabajado con los mejores deseos, arrostrando peligros y despreciando temporales durante los 104 dias del bloqueo riguroso que ha su frido esta plaza, y todos son dignos del aprecio de S. M. y recompens…</t>
  </si>
  <si>
    <t>Chacón, Juan</t>
  </si>
  <si>
    <t>Juan Chacón</t>
  </si>
  <si>
    <t>…os y ofrecimien to del rosario: documentos para las personas de todos estados: meditaciones para to dos los dias del mes &amp;c., sacados por la sagrada escritura y santos padres, por Don Juan Chacón. Se vende á 8rs. en pasta, en la imprenta de Dávila, calle de Banionuevo, y en la librería de Sojo, calle de las Carretas. EN LA IMPRENTA REAL.</t>
  </si>
  <si>
    <t>Chacón, Julián Izquierdo</t>
  </si>
  <si>
    <t>Julián Izquierdo Chacón</t>
  </si>
  <si>
    <t>86 D. Josef Antonio Martínez Cepeda, D. Julián Izquierdo Chacón , Bartolo mé López Girón, Josef Giménez, Juan Gregorio Ureste, Jacinto Castella no, Jesús Galindo y Claudio Lillo, á cada uno una medalla de plata con el busto de nuestro amado Monarca. Finalmente, habiendo el maestro dado las gracias al público que se había…</t>
  </si>
  <si>
    <t>Chacón, Julián Izquierdo y</t>
  </si>
  <si>
    <t>Julián Izquierdo y Chacón</t>
  </si>
  <si>
    <t>…amiento, y con asistencia del cabildo eclesiástico y de un lucido concurso de varias personas de la primera representación, se dio principio al acto con un dis curso que pronunció D. Julián Izquierdo y Chacón, de edad de seis años. En seguida D. Justo Asiain, de edad de ocho , expuso en otro discurso las materias sobre las cuales habían de ser-examinados: estas eran la dóctriíia cristiana por Ripaldá, Fleuri y otros autores, los principios de ortología, calografía…</t>
  </si>
  <si>
    <t>Chalanzon, Antonio</t>
  </si>
  <si>
    <t>Antonio Chalanzon</t>
  </si>
  <si>
    <t>…ro un par de zapatos : D. Fausto Escaja uno: D. Gerónimo Gó mez uno: D. Fernando Pareja uno: D. Martin Ginoves 10 rs.: D. Santiago Gallego un par de zapatos: D. Manuel Alonso uno: D. Antonio Chalanzon uno:D. Santiago Treve uno: D. Juan Hechilla uno: D. Ricardo Muñoz uno: D. Marcos Unzue uno: D. Manuel García ur.o: D. Juan Ocon uno: D. Manuel Cono uno: D. Fernando Carrillo uno: D. Josef Cantalapiedr» uno: D. Tomas Medina uno: D. Josef Salinas uno: D. Fernan…</t>
  </si>
  <si>
    <t>Chanikovv</t>
  </si>
  <si>
    <t>…, y les de la segunda no podrán continuar su viage, á menos que lleven pasaporte francés, y vayan acompañados de una‘escolta ^militar. ' ’ ’ ^ Hanover 12 de Diciembre. El teniente general Chanikovv, ministro de Rusia'cerca de nuestra corte, ha presentado ya á S. A. R. süs credenciales. .&lt; El 27 de Noviembre se expidió aqui un decreto relativo á los individuos franceses cómprerididos en el decreto de 24 de&gt; Julio, en que se contienen las mistoas disposic…</t>
  </si>
  <si>
    <t>Chaptal</t>
  </si>
  <si>
    <t>r/ • O ni rita ^sección. rutea general. Los señores Rochon , Charles, LefevreGineau , GayGay Luss Sexta sección. Química. Los señores conde de Berthollet, Vauquelín, De yeux, el conde Chaptal, Thenard y Proust. Séptima sección. Mineralogía. Los señores Sage, Hauy, Dunbamel, Lelievre, el barón Ramond y Brongniard. Octava sección. Botánica. Los señores Jussieu, Lamarsk, Desfontaines, Lábil la rdiere, Paiissol-Beauvois y Mirbe!. Novena sección. Econo…</t>
  </si>
  <si>
    <t>Charrier-Moisard</t>
  </si>
  <si>
    <t>…e esta persecución será mo mentánea-----Algunos jesuítas se disponen para marchar ai Asia. Han llega do dos de Rusia, que han sido presentados á S. S. Gallijfolt 2$ de Febrero. Ef caballero Charrier-Moisard , comandante de la fragata francesa la Ne reida , ha llegado á estas aguas para hacer el crucero, y proteger el comer cio francés: la bandera blanca ha sido saludada con toaos los honores acos tumbrados. Han entrado en este puerto muchos buques, franceses car…</t>
  </si>
  <si>
    <t>Chartran</t>
  </si>
  <si>
    <t>…sares del Norte y de los coraceros de Orleans se ocupan en la formación de estos dos cuerpos, que deberán perma necer aquí de guarnición. Acaba de ser encerrado en la ciudadela el general Chartran, que se ha llaba en esta plaza bajo la vigilancia del gobernador. Parts 18 de Enero. Un oficial de marina de Brest ha recibido de la Isla de Francia los si guientes pormenores acerca del fin trágico que tuvo el célebre laPeyrouse. „Un capitán portugués que ar…</t>
  </si>
  <si>
    <t>Chartrand</t>
  </si>
  <si>
    <t>…sarle tan gran sentimiento. Noticia sobre el mariscal de campo Chartrm.i, con ir na lo A muerte el 9 de Mayo de iSiSpor el primer consejo de guerra de la 16.* división militar. El general Chartrand nació en Carcasona en 1779; entró i servir en 179% y llegó al grado de oficial en 1807. —.Desde esta época ascendió con rapi dez, pasando por los grados de mayor y coronel hasta llegar en 181 2 al de mariscal de campo,de lo cual se murmuró mucho en el ejércit…</t>
  </si>
  <si>
    <t>6ii reccionó varios regimientos, y alborotó parte del pnis qoeeaia á espaldas del Duque de Angulema.__ Por premio de tantos servicios el general Chartrand obtuvo la comandancia de una brigada en el cuerpo del egército ,del conde de Lobau, en el que hizo la campaña de 1815-----Presentado el mismo año por orden de 24 de Octubre ante el consejo de guerra de la 16.a división mi litar , fue condenado á muerte el 9 d…</t>
  </si>
  <si>
    <t>Chaset, Alissan de</t>
  </si>
  <si>
    <t>Alissan de Chaset</t>
  </si>
  <si>
    <t>…uyo estado se la encontró á la mañana siguiente. París 12 de Julio. Ayer se reunieron los ministros en consejo de estado, el cual duró desde la una hasta las cinco de la tarde. El caballero Alissan de Chaset ha sido admitido hoy en el gabinete del Rey &gt; y ha tenido la honra de recitar a S. M. una composición p&lt; ¿dea sobre el aniversario del 8 de Julio. S M. se dignó manifestar su satisfacción al autor, dirigiéndole las palabras mas lisonjeras. Los duques de Havre…</t>
  </si>
  <si>
    <t>Chicarro, Josef</t>
  </si>
  <si>
    <t>Josef Chicarro</t>
  </si>
  <si>
    <t>…S. Juan 16: el de ia villa de Grajal 10. „ Particulares de la cuidad de León. D. Antonio Fernandez un par de zapatos: D. Manuel Rodríguez , boticario, uno: D. Tomas López 1 2 rs.: Don Josef Chicarro un par de zapatos : D. Fausto Escaja uno: D. Gerónimo Gó mez uno: D. Fernando Pareja uno: D. Martin Ginoves 10 rs.: D. Santiago Gallego un par de zapatos: D. Manuel Alonso uno: D. Antonio Chalanzon uno:D. Santiago Treve uno: D. Juan Hechilla uno: D. Ricardo M…</t>
  </si>
  <si>
    <t>Chicarro, Manuel</t>
  </si>
  <si>
    <t>Manuel Chicarro</t>
  </si>
  <si>
    <t>…el de Renueva uno: el de Sta. Ana uno: el tesorero del cabildo dos: D. Pascual Suarez uno: D. Lidro Benitoa uno: D. Ramón Arquello dos : D. Pedro Gastaniaga uno: D. Juan Bros dos: D. Manuel Chicarro ocho reales: D. Benito Hermosino dos pares de zapatos: D. Ignacio Lorenzana dos. D. Manuel Mercadillo uno: D. Ma nuel Rodríguez uno: D. Manuel Yolis dos: D. Bernardino 1 erremos uno: D. Valentín Bustamante dos: D. Joaquín Suarez uno: D Juan de Dios dos: D. Be…</t>
  </si>
  <si>
    <t>Chocano</t>
  </si>
  <si>
    <t>…y de gusto, walses fáciles y de orquesta, minue tes, contradanzas y rigodones con figuras; canciones sueltas y de las óperas cont acompañamiento, todo arreglado á guitarra por el profesor Chocano. Se hallarán en la librería de Ramirez, calle de la Paz, donde se reciben encargos de toda clase de música para dicho instrumento, vocal ¿ instrumental, á solo y concertante. Nota. Habiéndose olvidado nombrar á uno de los diputados en la felicitación hecha en…</t>
  </si>
  <si>
    <t>Choiseul-Gouffier</t>
  </si>
  <si>
    <t>…actuales de la tercera clase del Insrituto. La academia Real de Inscripciones y de Buenas Letras se compone de los -individuos siguientes: Los señores Dacier, secretario perpetuo, conde Choiseul-Gouffier, el conde Pastoret, el barón Silvestre de Sacy, Gossellín, Daunau, Derales, Dupont de Nemours, el barón Reirihard, Guinguené, el príncipe deTalley'rand , el conde -Garan de Coulon , ei caballero Visconti, él conde Boissy de Anglas, Millin , el barón Degerando…</t>
  </si>
  <si>
    <t>Churchill</t>
  </si>
  <si>
    <t>…de la Reina Ana para su secretario ín timo. En una de estas cartas dice el duque que estuvo por espacio de cinco horas en poder del enemigo; pero que felizmente fue tenido por el general Churchill, y logró escaparse sin que los enemigos supiesen la buena presa que habian hecho. Las notas hacen mucho honor á la Reina. Dos de ellas son relativas á la sentencia de muerte pronunciada contra un tal JetlVies : la primera contie ne una scüeilLd que S. M. habí…</t>
  </si>
  <si>
    <t>Ciausel</t>
  </si>
  <si>
    <t>…timamente hizo un viage á Fiiadelfia, en el cual le acom pañaron el mariscal Grouchy y el general Lefevbre-Desnouettes. En Laudsdowne, donde pasó algún tiempo, te hizo compañía el general Ciausel___ Regnault de S. Juan d’Angely vino últimamente aquí de Chariestown, des pués de haber comprado muchas tierras en la Carolina meridional. Escribe mucho ,y de tiempo en tiempo publica artículos muy importantes en los pe riódicos americanos; y aunque tan adict…</t>
  </si>
  <si>
    <t>Cíavarino, Domingo</t>
  </si>
  <si>
    <t>Domingo Cíavarino</t>
  </si>
  <si>
    <t>…los territorios del rio, conocidos dci cabecilla le ofrecían mas amparo, y ademas en que debía ale jarse cuanto pudiese de una división de 500 hombres, que al mando del te niente coronel D. Domingo Cíavarino salió de Valladolid el 10 de Setiem bre con órdenes de internarse si fuese necesario hasta las orillas de Zacatula, y en que siendo Iá línea mas corta para reunirse á las gavillas del oeste de Oaxaca, debía preferirla al largo redeo que tendría que hacer por…</t>
  </si>
  <si>
    <t>Cíipúan</t>
  </si>
  <si>
    <t>blico que el Ex’cmo. Sr. Cíipúan general del reino ha recibido hoy por conducto del coronel D. M Icue 1 de ia Torre , comandante reneral del egircito oriental de Magdalena, la plausible noticia otidal de haber ocupado con las tropas reales de ru mando el din ^ de! cor Lnte la capital dd rein…</t>
  </si>
  <si>
    <t>Cir</t>
  </si>
  <si>
    <t>…; , á 60 rs---- La Caridad ro mana , del original de Murillo, grabada por D. Temas López Enguídanos, á 60 rs. ( Se cent ¡finará.') A. instancia de varios acreedores al concurso de D. Cir os Manelía, el Sr. Don Joaquín Abruzan , del Consejo de S. M., teniente corregidor de esta villa, ha se ñalado para celebrar junta el domingo i.° del mes de betiembre en su habitación ¿ las ocho de su mañana; e ignorándose la de algunos de dichos acreedores y…</t>
  </si>
  <si>
    <t>Ciria, Alejo Miguel de</t>
  </si>
  <si>
    <t>Alejo Miguel de Ciria</t>
  </si>
  <si>
    <t>…au gusta'Persona D. Francisco González del Castejon, caball. ro de Justicia del dicten de S. Juan, gentilhombre de cámara con entrada, mariscal de campo de los Reales egéreños, y D. Alejo Miguel de Ciria , abogado de los Reales consejos, regidor de vuestra leal ciudad de Soria, sus comisionado*» y apode rados especiales de ia universidad de su tierra, de su común, de sus antiguos linages, y de la Real sociedad de Amigos de! pais, tienen hoy el honor á nom bre…</t>
  </si>
  <si>
    <t>Cirios</t>
  </si>
  <si>
    <t>…rquilla. c—.Demostración histórica del verdadero valor de todas las monedas que corrían en Castilla durante el reinado del Sr. D. Henrique iv, y de su corres pondencia con las del Sr. D. Cirios iv; con un apéndice de instrumentos que jus tifican el valor de las mismas, y noticia de los precios de los granos, carnes y pes cados,Jornales de labradores y artistas en aquel tiempo y su equivalencia á las mo nedas actuales: un tomo en 4.0 marquilla. ««.Ca…</t>
  </si>
  <si>
    <t>…mas amado =.Señor.=A L. R. P. de V. Francisco González del Castejon = Alejo Miguel de Ciria.* En seguida pagaron dichos comisionados a felicitar con igual motive al Sr. Infii nte D. Cirios; y dijeron á S. A. lo siguiente: ,,Sermo. Sr.: A los pies de V. A. S. con la adhesión mas decidida Don Francisco González del Castejon , caballero de Justicia del orden de S. Juan, gentilhombre de cámara con entrada , mariscal de campo de los Reales egérciros…</t>
  </si>
  <si>
    <t>…entonces de 14 años, bajo su dirección, en cuya corta edad había ya dado pruebas nada equívocas de su idoneidad para el estudio de esta profe sión.__ Al principio del reinado del Sr. D. Cirios 111 pidió S. M. á la aca demia unos jóvenes para la Real fábrica de porcelana , entre los que á oposi ción fue uno de los elegidos, habiendo hecho en ella varias piezas para los Reales gabinetes de la corte y Aranjuez,en cuyo establecimiento permaneció 10 año…</t>
  </si>
  <si>
    <t>…an, manifestando que nunca había dudado de ellos, y que tenia bien presente el elogio que le nabia he cho de la ciuda 1 y de su vecindario su augusto Hermano el Serme Sr. Infan te D. Cirios, cuando la honró con su presencia en el año de i 808, y dis pensó á los diputados el honor de besar su Real mano. En seguida pasaron á felicitar al Sermo. Sr. Infante D. Carlos María,ge nera Limo de los egércitos de S. M ♦ por su concertado matrimonio con la…</t>
  </si>
  <si>
    <t>…sumisión y respeto, que en todos tiempos han sido para sus Reyes la divisa de los pueblos castellanos.” Los mismos comisionados felicitaron con igual motivo al Sermo. Sr. In fante D. Cirios, manifestando el respeto y acendrado amor que profesan á S. A. los habitantes de aquella ciu dad. En el dia 18 del corriente felicitó en nombre de la Real Academia espa ñola á SS. MM. y A A. con el plausible motivo de su venturoso y deseado enlace una comisió…</t>
  </si>
  <si>
    <t>…de Diciembre, Él dia 21 de Octubre tuvo la honra de felicitar á 5S. MM. y A A. por sus augustos enlaces, á nombre del coronel, gefes y oficiales del regimiento infantería Infante D. Cirios , el teniente coroné! D. Ramón Valdés, ma yordomo de semana de S. M. con destino al cuarto del Sermo. Sr. Infante D. Carlos María Isidro, quien en un enérgico discurso manifestó ios senti mientos de amor y lealtad que animan á tan benemérita oficialidad. El d…</t>
  </si>
  <si>
    <t>Cirios, D</t>
  </si>
  <si>
    <t>D Cirios</t>
  </si>
  <si>
    <t>…conocidas en España desde tiempo antiguo, y rara es la ciudad ó villa algo considerable que no haya establecido su hospicio y ca sa de Expósitos, sooretodo durante el reinado del Sr. D Cirios 111, de glo riosa memoria, que multiplicó con una piedad verdaderamente augusta tan interesantes fundaciones. Pero las empresas é instituciones mas útiles experi mentan aveces los efectos del tiempo y de circunstancias extraordinarias, que por medio de una de…</t>
  </si>
  <si>
    <t>Cirios, Infante O.</t>
  </si>
  <si>
    <t>Infante O. Cirios</t>
  </si>
  <si>
    <t>…á S. M. felicitándole por tan augusto enlace. ESPAÑA. M.j /iid t.° d' Julio. El día 20 d. Jijí io del presente año tuvieron U honra de felicitar al ReT nuestro S áor v al Ser no. Sr. Infante O. Cirios por sus concertados enlaces, á no r,h e y r pr mentación de la ciudad de Gerona, el Sr. D. Narciso de Foji y do B.ijiJor*, harón de B ji, regidor perpetuo de la misma; el Sr. Don Andrés OH r, aLa.de Je la Real casa y corte, y el Dr. D. Jaime Ferrer, abogado d…</t>
  </si>
  <si>
    <t>Cirios, Tirante D</t>
  </si>
  <si>
    <t>Tirante D Cirios</t>
  </si>
  <si>
    <t>622</t>
  </si>
  <si>
    <t>…2 S. M. lleno de complacencia, y con la bondad que le caracteriza, mani festé lo mucho que apreciaba tan n &gt;b!es y leales &lt;.enti'nienro&lt;. En seguida pagaron a! cuarto del Ser n &gt;. Sr. Tirante D Cirios , á quien el misma Sr. c»nie de Sistago dirigí! las dg a -nte&gt; palab-as: ,,Serm&gt;. Sr.: Henos teñid* el hon »r ie felicitar a S VL á nombre Je la villa de Velez-blanco por ^u proyéctalo enlace coi la Serna. Srj. D&gt;ia María Isaiel , Infanta de Porcugii , y con…</t>
  </si>
  <si>
    <t>Cirvajal, Tomas González</t>
  </si>
  <si>
    <t>Tomas González Cirvajal</t>
  </si>
  <si>
    <t>…dquieran en esta corte, calle de Atocha, mas aba lo de S. Juan de Dios, núm. 2 , obra lor de sastre. Muestra de una nueva traducción de los salmos en verso y prosa, con notas, por D. Tomas González Cirvajal, académico de número de la Real academia EsÍsanóla. Deseando el autor evitar con tiempo la queja de muchos del engaño que sue- e padecerse en los libros nuevos, por no corresponder su utilidad i las esperanzas que prometen sus títulos y frontispicios, ha quer…</t>
  </si>
  <si>
    <t>Ciscar, Tomas</t>
  </si>
  <si>
    <t>Tomas Ciscar</t>
  </si>
  <si>
    <t>…ientes de Fragata los alféreces de Navio D. Josef Vargas MachucaD. Josef López Sagredo, D. Francisco Ro dríguez Gelabert, D. Mateo Albornoz, D. Josef Oiozaga, D. Francisco Gascón, D. Tomas Ciscar, D. Francisco Ristori y D. Santiago Soroa. A alféreces de Navio los de Fragata D. Luis Romero, D. Josef Sevilla, D. Félix Martínez, D. Ildefonso Yoldi, D. Josef del Solar, D. Juan de Lerena, D. Pedro Teruel, D. Ber nardo Roca, D. Luis Roca, D. Manuel de Llano…</t>
  </si>
  <si>
    <t>Cisneros, Baltasar Hidalgo de</t>
  </si>
  <si>
    <t>Baltasar Hidalgo de Cisneros</t>
  </si>
  <si>
    <t>…n, de heridos y prisioneros.” S. M. se ha dignado conceder por resolución de 13 del mes de No viembre próximo pasado de este año la llave de gentilhombre de cámara con egercicio á D. Baltasar Hidalgo de Cisneros, capitán general de marina del departamento de Cádiz y en consideración á sus particulares servicios , y á la distinción y confianza que mereció á la llegada de la Reina, nuestra Señora á la bahía de Cádiz. El Rey nuestro Señor se ha servido conceder á T&gt;. Ra…</t>
  </si>
  <si>
    <t>Cisneros, Manuel</t>
  </si>
  <si>
    <t>Manuel Cisneros</t>
  </si>
  <si>
    <t>…García 80. D. Gaspar Arribas 20. D. Juan Nobreda 20. D; Manuel Saudin Calderón 8. D. Fernando Gómez 10. Doña Margarita Martin 20. D. Santos Avoin Coronel en efectos y dinero 360. D. Manuel Cisneros 200. D. Anto nio Echenique 140. D. Josef Perez 40. D. Fructuoso Tejedor 30. D. Josef Lozano 30. D. Victorio Valtierra 30. D. Lorenzo de Seras 30. El coman dante de las armas 138. El contador y subalternos 60. El tesorero de ren ta' 23. ES administrador de ren…</t>
  </si>
  <si>
    <t>…. D. Sebastian Hernández 70. D Jo sef Broche ro 8. D. Josef Uaabal 69. D. Francisco Crespo 20. Agustín Bar tolomé 13. D. Eustbio Arrabal 20. Fernando Gómez 20. D. Vicente Telio 4. D. Manuel Cisneros 23. D. Valentín.Ximenez 20. D. Carlos Milre40. D. Esteban Gómez 20. D» Felipe Eneri y Seda 40. D. Gregorio Fernan dez 46. D. Fernando Larrondo 92. D. Martin Ocaf.a 20. D. Blas María 20. D. Pedro Pacheco 20. D. Fernando Prieto 24. D. Juan Ballesteros 20. Don R…</t>
  </si>
  <si>
    <t>Cisneros, Vicente Fernandez de</t>
  </si>
  <si>
    <t>Vicente Fernandez de Cisneros</t>
  </si>
  <si>
    <t>…y diseño de esta máquina. Avila $ de Setiembre. En medio de las calamidades que han oprimido á nuestro suelo con la falta de maestros y atrasos de las pagas de sus cortos sueldos, D. Vicente Fernandez de Cisneros, catedrático en el aula de mayores, é interino de la de menores de los Reales estudios de dicha ciudad, ante los individuos de la junta de educación de ella D. Gerónimo Sánchez, regidor del ilustre ayuntamiento, presidente por enfermedad del corregidor, D. Ma…</t>
  </si>
  <si>
    <t>Cisternes, Joaquín</t>
  </si>
  <si>
    <t>Joaquín Cisternes</t>
  </si>
  <si>
    <t>…es pensionadas de la Real y distinguida orden española de Carlos tii. A D. Miguel Moreno, oficial segundo primero de la secretaría de Estado y del Despacho universal de Marina ; á D. Joaquín Cisternes, ministro toga do del Consejo supremo de Almirantazgo; á D. Juan de Dios Topete , gefe de Escuadra de la Real Armada; á D*. Josef Mulier, gefe de Escuadra , é in geniero director de Marina, y á D. Francisco de Cantos, intendente del de partamento de Cartagena…</t>
  </si>
  <si>
    <t>Clancarty</t>
  </si>
  <si>
    <t>924</t>
  </si>
  <si>
    <t>…eses, no puede dudarse de la sinceridad de nuestros deseos. Parts jj de Agosto. Lord Weimouth ha salido precipitadamente de Londres para Viena con pliegos del Gobierno dirigidos á lord Clancarty. Se dice que el Archiduque Antonio, nombrado virey de Italia, está para casarse con una de sus sobrinas. ESPAÑA. Madrid 16 de Agosto. Ayer en celebridad de los dias de S. M. la Reina Madre se lia vestido la corte de gala, y ha habido besamanos, al que han asi…</t>
  </si>
  <si>
    <t>Clasens, Ramón María</t>
  </si>
  <si>
    <t>Ramón María Clasens</t>
  </si>
  <si>
    <t>…onde del Abbbal, teniente general de los Reales egércitos, caballero gran crus de la Real y mi litar orden de S. Fernando, D. Miguel Juan Barcaiztegui, cónsul de S. M. en Tolon, y D. Ramón María Clasens, diputado en esta corte por el ilustre consulado ae ídem, tuvo la honra de felicitar á S. M. por su contratado ma trimonio con la Serma. Sra. Infanta de Portugal Doña María Isabel; pro nunciando el primero de estos señores el siguiente discurso: ,,Señor: La M…</t>
  </si>
  <si>
    <t>Clau</t>
  </si>
  <si>
    <t>…que fue de esta corte. Quien quisiere hacer postura á tedas, ó cada una de ellas, acuda dentro del térmi no de 30 días ante el referido áeñor juez por la escribanía del número de D. Clau dio Sanz, que se admitirán siinito arregladas. Cartas escogidas de M. T. Cicerón, traducidas al castellano, y. entresacadas de sus familiares; nuevamente reimpresas para uso de las escuelas de gramática déla compañía de Jesús. Se hallarán en las librerías de…</t>
  </si>
  <si>
    <t>Clavaría, Antonio</t>
  </si>
  <si>
    <t>Antonio Clavaría</t>
  </si>
  <si>
    <t>…Rey nuestro Señor conformándose con el parecer del supremo Con sejo de la Guerra, acerca de la sumaria formada en averiguación de la con ducta militar y política observada por el coronel D. Antonio Clavaría, go bernador militar y político de la ciudad de Huesca durante permaneció en este destino y las causas de su desastrosa muerte, se ha dignado declarar al referido D. Antonio Clavería por un gobernador zeloso y justo, y que en consecuencia se publique asi en l…</t>
  </si>
  <si>
    <t>Clavería, Antonio</t>
  </si>
  <si>
    <t>Antonio Clavería</t>
  </si>
  <si>
    <t>…Antonio Clavaría, go bernador militar y político de la ciudad de Huesca durante permaneció en este destino y las causas de su desastrosa muerte, se ha dignado declarar al referido D. Antonio Clavería por un gobernador zeloso y justo, y que en consecuencia se publique asi en los papeles públicos para su buena memoria y consuelo de su familia. A D. Francisco Romero de Agredano, segundo teniente retirado de las compañías de artilleros provisionales en Cádiz,…</t>
  </si>
  <si>
    <t>Clavero, Josef</t>
  </si>
  <si>
    <t>Josef Clavero</t>
  </si>
  <si>
    <t>…aron tina instrucción sobresaliente D. ( Raimundo Colmenero, D. Evaristo Ánchiálo , D. Francisco Rojo yD; Francisco Llórente: en vis ita de eito: el 'alcalde Jmayor y los' señores D. Josef Clavero y D. Éstéban de h Peña, comisarios ¿ y demas individuos de áyuñtamiento, deseandó premiarel mérito de estos discípulos f y excitar Su zelo y apjicacion, ofrecieron, para íps primeros.exámenes qué se celebren, una medalla de plata eonunle*ma Correspondiente~á cadi uño !dg…</t>
  </si>
  <si>
    <t>Cle, Josef</t>
  </si>
  <si>
    <t>Josef Cle</t>
  </si>
  <si>
    <t>…Indias de 5 de Abril del corriente año se ha servido S. M. nombrar para una plaza de oidor de la Real audiencia de Ca racas, vacante por fallecimiento de D. Pedro Benito Vidal, á D. Josef Cle ro López de la Linera , abogado de la de Oviedo. El Rey se ha servido resolver á consulta de la Junta de Protección del museo de ciencias que se abra el curso de botánica en su Real jardín, donde empezarán á darse las lecciones públicas mañana 7 por el profes…</t>
  </si>
  <si>
    <t>Clemencin, Cirios</t>
  </si>
  <si>
    <t>Cirios Clemencin</t>
  </si>
  <si>
    <t>dia ; y el censor D. Cirios Clemencin, beneficiado y cura propio de la par roquial de S. Antoiin de esta ciudad, leyó también un discurso, en que expu»o al público el estado interno de los establecimientos del cuerpo, las cau sas que ban contribuido a su decadencia; y los medios de superar estas,…</t>
  </si>
  <si>
    <t>Clemente, Antonio Mariano</t>
  </si>
  <si>
    <t>Antonio Mariano Clemente</t>
  </si>
  <si>
    <t>…; en la Mancha en la da Tarancon; en Alcali de Henares al capitán del Real cuerpo de Zapadores D. Ce sáreo García Carreño; en Oviedo al administrador de correos, y en esta corte á D. Antonio Mariano Clemente, oficial de la secretaría del Consejo de Indias al cargo del Sr. I). Silvestre Collar y Castro; advirtiendo que su dueño dará una bue na gratificación. En la villa de Tordesiilas se halla vacante Ja plaza de nuestro de primeras le tras : su dotación son 200 d…</t>
  </si>
  <si>
    <t>Clemente, Pedro Amonio Portillo y</t>
  </si>
  <si>
    <t>Pedro Amonio Portillo y Clemente</t>
  </si>
  <si>
    <t>…años. Madrid de Setiembre de 1816. S. M. se ha servido nombrar para ia vara de alcalde mayor dé Guadalest y su valle á D. Lorenzo Lorca y Perez: para la de la Puebla de Vaibona á D. Pedro Amonio Portillo y Clemente: para la de Estadilla, en la ba ronía de Castro, á D. Casimiro Hernández: para la de Betera á D. Francis co Albero y A Ibero: para la de Vi llama re liante á D. Gerónimo Pedros: pa ra la de Pedrcguer á D. josef Cata i á y Cruañes; y para Ja de Bcnmjó ¿ D. Joa…</t>
  </si>
  <si>
    <t>Clouet, Luis</t>
  </si>
  <si>
    <t>Luis Clouet</t>
  </si>
  <si>
    <t>…alleros. El capitán de Fragata D. Miguel Araoz, el capitán del regimiento de Gra nada D. Fernando Gaver, el sargento mayor del regimiento de Badajoz Don Joaquín Gayón, el teniente coronel D. Luis Clouet, ei subteniente de dra gones retirado D. Josef Mariano Zavala, D. Juan Josef Echezuria, vecino de Caracas; el coronel del Real cuerpo de ingenieros D. Josef Parreño; Don Juan Antonio de Rojas Queipo, racionero de la santa iglesia de Caracas; Don Domingo de Mi…</t>
  </si>
  <si>
    <t>Cobo, Manuel López</t>
  </si>
  <si>
    <t>Manuel López Cobo</t>
  </si>
  <si>
    <t>420 y de partidarios D. Josef Borbon, D. Manuel López Cobo y D. Diego Rol dan : tanto estos como los ayudantes de ambos D. Juan Antonio Anunzarri, del primero, y D. Francisco Villavaso, del segundo.* el recomendable capi tán de egército D. Juan Ortuño, ayudante de órdenes mío; el teniente de partidarios D. Ignacio de la Riva; el su…</t>
  </si>
  <si>
    <t>Cockburn</t>
  </si>
  <si>
    <t>…imo para la isla de San ta Elena, y conducirá á Mr. Sturmer, comisario austríaco; al conde Billemann, comisario ruso, y al marques de Montchenu. Las disposiciones que ha tomado el almirante Cockburn para cusrodia de la casa donde ha de vivir Bonaparte, nada dejan que desear en cuanto á se guridad y precaución. A tres ó quatro millas de James Tow, después de ha ber subido por un camino escabroso, á cuyos lados solo se yen barrancos y precipicios, se llega…</t>
  </si>
  <si>
    <t>…40 pasageros. Esta noticia está en con tradicción con la publicada últimamente en los periódicos de Francfort, que aseguran hallarse en aquella ciudad dicha muger de Bonaparte. El almirante Cockburn llegó el sábado último á esta capital á bordo del navio Northurriberland, que salió de Sta. Elena el 19 de Junio. El almirante trae la agradable noticia de haber ratificado el raja del Napaul el tratado concluido con el Gobierno de la India de un modo tan sat…</t>
  </si>
  <si>
    <t>Cogolludo, Manuel Sánchez</t>
  </si>
  <si>
    <t>Manuel Sánchez Cogolludo</t>
  </si>
  <si>
    <t>…» 175026, 177092, 177773* 197692 y 202094; y habiéndose dado traslado á los últimos tenedores, ignorándose el paradero de D. Vicente Alzaibar, D. Juan Montalbo, l&gt;. Juan Iluminad, D. Manuel Sánchez Cogolludo, cuyos endosos suenan hechos en Madrid; D. Manuel Diez del Olmo, en Sevilla; D. Josef Gallisans y L). Miguel González Villanueva, en Cádiz; se les cita, llama y emplaza para que en el término de 30 dias siguientes al en que se anuncie al público por la gaceta…</t>
  </si>
  <si>
    <t>Coiiegno</t>
  </si>
  <si>
    <t>774</t>
  </si>
  <si>
    <t>…9 del corriente d convenio s Ere ios ¡imites de las nuevas fronteras de los terri torios d • CerJcñi y dei Gen ove* o do . co no también el mapa ó pleno que de be acompaña ríe. El caballero Coiiegno ha marchado ya a Turin. ALEMANIA. JFrant fjrt 27 se Junio. Antes de ayer llegó aquí c-1 general conde E.eist de Nollendorf, que vie ne de Mirse-bureo. La cuestión relativa al estaco ci\nl de ios |udto$ es en el dia la conversa ción de todos, y especialmente d…</t>
  </si>
  <si>
    <t>Colavida, Francisco Fernandez</t>
  </si>
  <si>
    <t>Francisco Fernandez Colavida</t>
  </si>
  <si>
    <t>…á D. J jan de Dios Ruiz y Ruiz: para la de Fernan-Caballero, Fuente del Fre 1 o y Malagon á D. Josef Francisco Florez Viilamil: para la de la debela d ’* ¡ro blados del Castañar á D. Francisco Fernandez Colavida: para la d Cu vico de la Torre á D. Josef Cuenca Saiz: para la de la Palma, reino J S^vl a. á D. Antonio Josef Santevaez y Lerin : para la de Monraíbar . aitio d* C rdoba, ¿ D. Juan Josef López: para la de Cea á D. Vicente i vz Sánchez: para la de Buendia á D…</t>
  </si>
  <si>
    <t>Colbert</t>
  </si>
  <si>
    <t>noches una íeserva de 41: hombres para acudir donde quiera que se note per turbada la tranquilidad pública. El general Colbert, que estaba preso en la cárcel general de la Abadía, acaba de obtener su libertad y permiso para retirarse á un país extrangero. Idem 24. ** S. M. acaba de conferir el título de conde á Mr. de Cazes, ministro de la Policía general. _ . La apertura de las sesi…</t>
  </si>
  <si>
    <t>Colioredo, Pnncipe de</t>
  </si>
  <si>
    <t>Pnncipe de Colioredo</t>
  </si>
  <si>
    <t>1</t>
  </si>
  <si>
    <t>…erales de caballería ; de 44 te nientes de feld-mariscales, y de 133 mayores generales. El feld-mariscal Príncipe de Schwartzenberg es el gefé supremo de todo el ejército; el feld-mariscal Pnncipe de Colioredo es gefe de la artillería ; el Archid.ijue Juan es director de ingenieros; el Archiduque Luis director de las fronteras, y el coronel Kothkírch se halla interinamente comandante del estado mayor. _ GRAN BRETAÑA. Londres 26 de Abril. CAMARA DE LOS COMUNES. Lord…</t>
  </si>
  <si>
    <t>Collado, Pedro</t>
  </si>
  <si>
    <t>Pedro Collado</t>
  </si>
  <si>
    <t>…propia de los Sres. Uñarte y compañía, sita en esta corte, calle de D. Pedro, nú*iero i, ón mas acoim-añamiento que el capitán de su guardia duque de Ai#» gon, y de su guardaropa D. Pedro Collado.</t>
  </si>
  <si>
    <t>Colle</t>
  </si>
  <si>
    <t>…és sobre ks aduanas y los derechos de introducción que perjudican en el’día al pro ducto de nuestras manufactura,-, sin que se pueda todavía conjeturar el efec to que causarán. El caballero Colle^no y el core, pro FIcret de Rocbemon: firmaron el 19 del corriente d convenio s Ere ios ¡imites de las nuevas fronteras de los terri torios d • CerJcñi y dei Gen ove* o do . co no también el mapa ó pleno que de be acompaña ríe. El caballero Coiiegno ha marcha…</t>
  </si>
  <si>
    <t>Colmenero, Florencio García</t>
  </si>
  <si>
    <t>Florencio García Colmenero</t>
  </si>
  <si>
    <t>…raque á D. Francisco García Ortiz : para el del valle de Soba-Ruesga y Villaverde á D. Josef Muñoz Contreras: para el de Montejaque á Don Josef Moreno Ramírez : para el de Jodar á D. Florencio García Colmenero: para el de Setenil á D. Josef París y Romero, y reponer en el de Dueñas á D. Pedro Diez Canseco: para la vara de alcalde mayor de Roa á D. Do mingo Fuentenebro : para la de Potes á D. Mariano Muñoz Gómez Henriquez: para la de Cervera del Rio Pisuerga á D. Jo…</t>
  </si>
  <si>
    <t>Colmeneroy, Gregorio</t>
  </si>
  <si>
    <t>Gregorio Colmeneroy</t>
  </si>
  <si>
    <t>…de latinidad se distinguieron D Josef Viejo* D. Francisco Martínez, D. Manuel Antonio Nuñez, D. Manuel Paez, Don Manuel Perez , D. Manuel Saiz, D. Manuel Valles, D. Manuel Manso, Don Gregorio Colmeneroy D. Francisco Arribas; los cuales dieron pruebas de su constante aplicación y adelantamientos, y de hallarse aptos para emprender otros estudios, por lo que merecieron particular aprecio del ayuntamiento y demas personas que asi lóTmanÍfestaron: y en la clase de rudimentos y sin t…</t>
  </si>
  <si>
    <t>Colomer, Vicente Gisbert y</t>
  </si>
  <si>
    <t>Vicente Gisbert y Colomer</t>
  </si>
  <si>
    <t>…nocida, que el ayuntamiento, á propuesta de la junta de educación , le ma nifestó su gratitud con una fineza particular, que hizo.de mas valor el re galo del individuo de la junta D. Vicente Gisbert y Colomer de las Institu ciones oratorias de Quintiliano traducidas por D. Manuel Valbuena. ^ En medio de tantas satisfacciones el ayuntamiento sentía que la escasez de fondos le privase del gusto de dar premios correspondientes al maestro y discípulos que mas se disti…</t>
  </si>
  <si>
    <t>Colosa, Josef</t>
  </si>
  <si>
    <t>Josef Colosa</t>
  </si>
  <si>
    <t>…ncia del Sr. D. Joaquín Almazan y Ximeno, del consejo de S. M., y teniente corregidor en la misma , dada por la escribanía de número de D. Cristóbal de Vicuña, se cita y emplaza á D. Josef Colosa y D. Juan Rovira y Farinosa, tenedores de dos vales Reales de 300 pesos, de Enero, señalados con los números 86077 y 95199, para que en el término de 30 dias, contados desde está fecha, concurran aí referido juzgado y escribanía á acreditar la legítima pertenencia de dichos vales; con a…</t>
  </si>
  <si>
    <t>Columba</t>
  </si>
  <si>
    <t>1140</t>
  </si>
  <si>
    <t>…la escribanía del número de D. Martin Santin y Vázquez, donde se halla radicada dicha testamentaría; prevenidos que de no hacerlo les parará el perjuicio que haya lugar. D. Tomas, Doña Columba y Doña Antonia de CHeverri y Tenllado, hermanos, vecinos que fueron de la villa de Posadas, en la provincia de Córdoba, en su tes tamento nombraron por uno de sus herederos á D. Miguel de Cheverri y Pineda, su sobrino, y por su fallecimiento sin sucesión dispusieron que su parte se refundie-. se…</t>
  </si>
  <si>
    <t>Combermere</t>
  </si>
  <si>
    <t>…la noche juega á los naipes. Los ingleses le observan constantemente, lo cual le parece ridículo, y aun descortes. Quedan en Francia tres brigadas de caballería á las órdenes del lord Combermere, y nueve brigadas de infantería mandadas por lord Hill. La berlina de campaña de Bonaparte, los caballos y otros efectos fueron llevados ayer, por orden del secretario de Estado, ai museo de Mr. Bullock. Estos objetos fueron cogidos por el mariscal Bíucher de…</t>
  </si>
  <si>
    <t>Combernere</t>
  </si>
  <si>
    <t>…opas inglesas que han de permanecer en "Francia á las órdenes del Duque de Wellington serán mandadas inmediatamente, la infantería por el teniente general HUÍ, y la caballería por lord Combernere. La gaceta de Colonia estima en- cinco millones de francos los gastos qíie ocasionará el finalizar las obras de las fortalezas de Maguncia, y al mismo tiempo anuncia que se construirá á orillas del Rhin otra plaza fuerte, á fin de asegurar mas ía tranquilidad…</t>
  </si>
  <si>
    <t>Compani, Miguel Antonio</t>
  </si>
  <si>
    <t>Miguel Antonio Compani</t>
  </si>
  <si>
    <t>…para la de Villablino á D. Josef García Al fonso: para la de la villa del Cerro á D. Antonio Morco é loza: para la del Burgo de Osma á D. Juan Galban Valiente: para la de Gerga á D. Miguel Antonio Compani; y para la de Cerezo á D. Josef Giménez Echevarría. Se halla vacante ía plaza de maestro de primeras letras de la ciudad de Guadalajítra, dotada en 300 ducados anuales pagados mensualmente por el mayordomo de propios* y ademas un real que paga mensualmente ca…</t>
  </si>
  <si>
    <t>Concha</t>
  </si>
  <si>
    <t>…rmijo por la parte de allá de Mexcala, y las de Concha y Villasana que le perseguían., En efecto las medidas y los cálculos fueron oportunos y acertados, y el infatigable teniente coronel Concha, después de uha marcha de 6o á 70 le guas, se incorporó con Villasana, descubrió la ruta de Morelos, y entre am bos gefes desempeñaron las órdenes que se les tenían encomendadas desde principio del próximo pasado Octubre para perseguirlo y exterminarlo. El di…</t>
  </si>
  <si>
    <t>Conde, Carlos</t>
  </si>
  <si>
    <t>Carlos Conde</t>
  </si>
  <si>
    <t>…s de las sobresalientes en cada clase de los 12c jóvenes y i 1 señoritas , se congregaron en la iglesia de S. Miguel todos ios vocales en junta publica, -pre sidida por el Exento. Sr. D. Carlos Conde de España, teniente general de ¡os Reales egercitos, gobernador militar y político de la plaza, y entre el nume roso concurso de las autoridades, cabildos, comunidades y personas las mas condecoradas que acreditó el aprecio de que es digna esta arte, después de leído p…</t>
  </si>
  <si>
    <t>Conde, Josef</t>
  </si>
  <si>
    <t>Josef Conde</t>
  </si>
  <si>
    <t>…y examinan algunas memorias sagradas y profanas de esta ilustre villa de Madrid: por el mismo Pellicer. = Carta en castellano con posdata poliglota, en Ja cual el mismo Pellicer y D. Josef Conde responden á la carta crítica que un amigo dirigió al autor de las notas del D. Quijote desaprobando algunas de ellas. Se hallarán Jos dos primeros á 6 rs. cada uno en rústica, y el 3.0 á 2 en la librería de Ranz, calle de la Cruz. Nota. En la gaceta extraordi…</t>
  </si>
  <si>
    <t>Cono, Manuel</t>
  </si>
  <si>
    <t>Manuel Cono</t>
  </si>
  <si>
    <t>…os: D. Manuel Alonso uno: D. Antonio Chalanzon uno:D. Santiago Treve uno: D. Juan Hechilla uno: D. Ricardo Muñoz uno: D. Marcos Unzue uno: D. Manuel García ur.o: D. Juan Ocon uno: D. Manuel Cono uno: D. Fernando Carrillo uno: D. Josef Cantalapiedr» uno: D. Tomas Medina uno: D. Josef Salinas uno: D. Fernando Acuña uno: D. Nicolás Suarcz dos: D. Josef Robles uno: D. Blas López cuatro: el mar ques de Villadangos dos : e! marques de Castrojanillos dos: D…</t>
  </si>
  <si>
    <t>Cons</t>
  </si>
  <si>
    <t>…romano, solicitando que la Biblioteca Pala tina fuese devuelta á la universidad de Heidelberg; con cuyo motivo los Prín cipes de Metternich y de Hardemberg.rerniüeron dos notas al cardenal Cons»lvi. S. S. ha accedido á esta solicitud, commuchoagrado,y no solo ha man-</t>
  </si>
  <si>
    <t>…o la noticia de que S. A. el Príncipe Real y su esposa salieron de Petersburgo el 14 de Marzo. SS. AA. pasarán por Ri ga, Mitau y Varsovia para hacer una visita á S. A. I. el gran duque Cons tantino. En seguida se dirigirán por Breslau, Leipsick y Francfort, y llega rán aquí á mediados de este mes. SS. A A. los dos Príncipes de OIdemburgo, hijos del primer matrimonio de la Princesa Real, partieron también de Pe tersburgo el 16 de Marzo, y se diri…</t>
  </si>
  <si>
    <t>…salva con toda la artillería, y brindamos llenos de alegría por la salud de V. E.” POLONIA. V.ir 5 ovia 1 $ de Julio. Antes de ayer salió de aquí para Pctersburgo S. A. I. el gran duque Cons tantino , cuya ausencia se cree que no pase de seis semanas. Entre tanto el virey egercerá el mando en gefedel egército polaco. SUECIA. Stockolmo 16 de Julio. El Rey acaba de autorizar al Príncipe Regente para presidir en calidad de virey en Cristiania el Con…</t>
  </si>
  <si>
    <t>Consalvi</t>
  </si>
  <si>
    <t>…S. M. el mayor amor y adhesión , recibiéndole con las mayores aclamaciones siempre que se presenta en público. Roma 18 de Setiembre. El conde de Blacas ha remitido varias notas al cardenal Consalvi. Se dice que contienen las respuestas á diversas proposiciones de la Santa Sede. Los asuntos de Francia presentan un aspecto favorable, y es de presumir que se concluyan pronto. El ministro de Francia dio hace pocos dias un gran convite á los nuevos cardenale…</t>
  </si>
  <si>
    <t>Consejo, Decano del</t>
  </si>
  <si>
    <t>Decano del Consejo</t>
  </si>
  <si>
    <t>1038</t>
  </si>
  <si>
    <t>…Andujar el dia 21 con el doble objeto de no alterar el itinerario, y lle gar á Aranjuez el 26 del corriente. Circular de la Sala de Alcaldes de Id Real Casa y Corte. Por el limo. Sr. Decano del Consejo se ha comunicado al Sr. Goberna dor de la Sala con fecha 16 del corriente la. Real orden siguiente: * ’■ , r: ,,EI Sr. Secretario de Estado y del Despacho de Gracia y Justicia me</t>
  </si>
  <si>
    <t>Constantino</t>
  </si>
  <si>
    <t>…ia anuncian que el Emperador de Ru sia ha marchado de Varsovia para Petersburgo. El ministro de Estado, conde de Nesselrode, se disponía á seguirle con toda la secretaría. El gran duque Constantino permanece en Varsovia en calidad de generalen gefe de las tro pas polacas. Se anuncia que las cruces de la orden de la Fidelidad, que S. M. prome tió en Gante en el mes de Maj'o último, y cuyos modelos se han presenta do ya al Rey, se distribuirán en Enero pr…</t>
  </si>
  <si>
    <t>…ita la dimisión que ha hecho de este destino en atención á su salud quebrantada. Ha sido nombrado para sucederle interinamente el gene ral de división Hauke. Ayer S. A. I. el gran duque Constantino pasó junto á Bidani revista á todas las tropas, que tuvieron la satisfacción de que S. A. I. les manifestase Ja suya por la exacta disciplina que reina en ellas. El gran duque Nicolás debe visitar principalmente las provincias polacas del imperio para poder p…</t>
  </si>
  <si>
    <t>…que estaba al lado de Mr. Sokolnickl, y uno de sus ayudantes cayeron también en tierra. El primero fue herido ligeramente, y al segundo se le disloca un brazo. Por fortuna el gran duque Constantino, que se ha llaba cerca del desgraciado general, pudo retirarse prontamente del riesgo— El egércko polaco ha perdido en Mr. Sokolnicki uno de sus mas valientes ge nerales, el cual se había distinguido mucho en varias campañas. Su muerte es también una pérdida…</t>
  </si>
  <si>
    <t>…nadie podría figurarse que es la futura Emperatriz de Austria. GRAN BRETAÑA. Londres 7 de Octubre. Todos los periódicos ingleses habían anunciado la venida á esta capital del gran duque Constantino, y en el día se sabe de cierto que es el gran du que Nicolás. Los fondos públicos han ,subido desde el dia 4. La cosecha es abundante, y la extracción de muchas manufacturas y reposición de bastantes f bricas hacen desvanecer los temores y el descontento que…</t>
  </si>
  <si>
    <t>…l E nperador de Austria: algunos dudan de esta reunión; pero la noticia se sostiene en el público. Inmediatamente á la llegada del Emperador Alejandro, su augusto her mano el gran duque Constantino mandó hacer los preparativos para su par tida con destino á Berlín y Londres: ha salido hoy mismo) y viaja con una rapidez extraordinaria. AUSTRIA. Vierta y de Octubre. Se dice que el feld-mariscal príncipe de Schwartzemberg ha recibido una carta del Emperado…</t>
  </si>
  <si>
    <t>…dichas maniobras, con las cuales se terminará la inspección general que el noble lord ha hecho del egército de ocupación. GRAN BRETAÑA. Londres 14 de Octubre. La llegada del grau duque Constantino á Londres ha sido tan imprevista,</t>
  </si>
  <si>
    <t>12!) Idem r§. Los periodistas mas acreditados de Londres se lian engañado publicando la llegada del gran duque Constantino á ceta capital. En el periódico intitu lado el Correo se desmiente hoy esta noticia, y aun se añade que no se espe ra en Londres á dicho Príncipe, y que los preparativos hechos por el em bajador de Rusia son para recibir al gran duque Nicolás , quien tardará…</t>
  </si>
  <si>
    <t>…polacas éntre Powonzky y Marimont, las cuales desfilaron delante de S. M., que manifestó su satisfacción por su buen porte y destreza en las maniobras. El Emperador abrazó al gran duque Constantino de alegría. Se ha publicado una orden del Emperador para que este año no se haga alistamiento alguno en Rusia, en atención al estado de paz en que se halla Ja Europa; pero en Polonia,donde no están completos los 50© hombres de cretados por la Dieta, se va á h…</t>
  </si>
  <si>
    <t>Constanza</t>
  </si>
  <si>
    <t>…l reino. V. M. sabe que fueron de aquella Real familia Doña Urraca , muger de Don Fernando n; Santa Teresa, de D. Alfonso ix, ambos Reyes de León; Do ña Mafalda, de D. Henrique i; Doña Constanza, de D. Fernando iv; Do ña María, de D. Alfonso xi; Doña Beatriz, de D. Juan i; Doña Isabel, de D. J uan ii; Doña Juana, de D. Henrique iv; Doña Isabel, del Emperador D. Carlos v, primero entre los Reyes de este nombre; Doña María, de Don Felipe ii, y Doña Mar…</t>
  </si>
  <si>
    <t>…o oyó con mucha complacencia, y recibió igual lista. Lista presentada d SS. MM. y A A. de las Infantas que han sido monjas y abadesas perpetuas en el Real, monasterio de Httelgas. Doña Constanza, hija de D. Alonso el vnr, Rey fundador: Dona Cons tanza , hija de D. Alonso ix de León: Doña Constanza, hija del Rey Don Alonso el Sabio: Doña Sancha, hija de D. Alonso él ii: Doña Berenguela, hija del Sto. Rey D. Fernando el iii , de tan extraordinaria virt…</t>
  </si>
  <si>
    <t>Continúan, Josef María Turlant</t>
  </si>
  <si>
    <t>Josef María Turlant Continúan</t>
  </si>
  <si>
    <t>…ma Don Mariano Breson. El Rey nuestro Señor se ha servido nombrar para la plaza de su segun do cirujano de cámara con egercicio, con el sueldo correspondiente á los de su clase, á D. Josef María Turlant Continúan los donativos hechos al Rey nuestro Señor, que se ha servido aceptar, maná ando que se publiquen en la gaceta. Razón del dinero metálico recibido por vía de donativo voluntario pos teriormente á las relaciones remitidas al Ministerio de Hacienda. La villa del…</t>
  </si>
  <si>
    <t>Contreras, Josef Muñoz</t>
  </si>
  <si>
    <t>Josef Muñoz Contreras</t>
  </si>
  <si>
    <t>…á D. Manuel de Quevedo y los Ríos : para el de Atienza á D. Juan Antonio Vergara: para el de Jadraque á D. Francisco García Ortiz : para el del valle de Soba-Ruesga y Villaverde á D. Josef Muñoz Contreras: para el de Montejaque á Don Josef Moreno Ramírez : para el de Jodar á D. Florencio García Colmenero: para el de Setenil á D. Josef París y Romero, y reponer en el de Dueñas á D. Pedro Diez Canseco: para la vara de alcalde mayor de Roa á D. Do mingo Fuenteneb…</t>
  </si>
  <si>
    <t>Copegni, Josef Ruiz de</t>
  </si>
  <si>
    <t>Josef Ruiz de Copegni</t>
  </si>
  <si>
    <t>…dura; D. Fernando Gutiérrez, vecino de Campeche; D. Josef Moreno Martínez , contador de la tesorería gen. ral ;;D. Pedro Vázquez Balles teros, ministro de la Audiencia de Aragón ; D. Josef Ruiz de Copegni, vocal que fue de la junta de Burgos; D. Ventura Tagle Soasaga, racionero de la catedral de Lima; D. Francisco Florencio de Olazabal, vecino de Sevilla; D. JosefPerez de Rosas, corregidor de Logroño; D. Juan Jabat, ministró plenipotencia io en Constantinopla;…</t>
  </si>
  <si>
    <t>Copin, Miguel</t>
  </si>
  <si>
    <t>Miguel Copin</t>
  </si>
  <si>
    <t>…los salmos l y cir, con reflexiones cristianas sobre nuestra flaqueza: obra escrita en francés por sor Lui sa de la Misericordia, carmelita descalza, y traducida al castellano por D. Miguel Copin: segunda edición. Se hallará á 9 rs. en la librería de la viuda de Ramos, car rera de S. Gerónimo. EN LA IMPRENTA REAL.</t>
  </si>
  <si>
    <t>…endo cual es su destino le suplica tenga á bien anunciárselo por el correo. Definiciones y elementos de todas las ciencias: obra útil para la educación, tra ducida del francés por D. Miguel Copin, adornada con láminas finas en esta tercera edición: un tomo en 8.° Se hallará á 12 rs. en pasta en la librería de la viuda de Ra mos , carrera de S. Gerónimo. Cartilla Real según las leyes Reales de Castilla para escribanos, notarios y pro curadores : contie…</t>
  </si>
  <si>
    <t>Copons, Francisco</t>
  </si>
  <si>
    <t>Francisco Copons</t>
  </si>
  <si>
    <t>…Infanta Doña María Francisca de Asís. Grandes cruces de la orden de Carlos m. A los Excmos. Sres. marques de Villafranca, marques de Malferit, mar ques de Casteldósrius , teniente general D. Francisco Copons , teniente gene ral D. Gaspar Vigodet, cardenal CottsaLvi, R. arzobispo de Valencia, R. obis po de Cuenca, R. obispo de Cádiz, y á los Sres. Secretarios del Despa cho de Marina D. Josef Vázquez Figueroa, y de Hacienda D. Manuel Ló pez Araujo. r- f &lt; Cruces su…</t>
  </si>
  <si>
    <t>Corbalan, Santiago</t>
  </si>
  <si>
    <t>Santiago Corbalan</t>
  </si>
  <si>
    <t>…Pedro Vicente Cañete, por traslación á otra del Cuzco de D. Migqel: Otertfñji ’ para otra .dé oidor de la jnjswia audiencia de Quito 4 D. Jya$¡B¡aprt&amp;$ y í^ayja , por promoción de D. Santiago Corbalan á otra del Cuzco: para la. plaza de regente de la. audiencia de Lima á D. Francis co Toina$ de Ansótegui, vacante por jubilación de Q. Manuel Arredando; y para la de oidor de la de Guada laxara ID. Josef Ignacio Ortiz de Sali nas, vacante por traslación de D.…</t>
  </si>
  <si>
    <t>Corcuera, Agustín</t>
  </si>
  <si>
    <t>Agustín Corcuera</t>
  </si>
  <si>
    <t>…nien te de cazadores de Castilla, D. Manuel Ximenez, ídem de Barbastro , Don Francisco Ronquillo, idein de Reales Minadores, D. Antonio Van-Halen, ayudante del regimiento del Rey, D. Agustín Corcuera, teniente del de León , y D. Juan Pinto, ídem de Reales Zapadores, el grado de capitán: á D. Francisco Saín z, subteniente del regimiento de la Victoria, y D. Manuel Ramos, idem del de Barbastro, el grado de teniente: al brigadier D. Anto nio Cano, comandante…</t>
  </si>
  <si>
    <t>Cordeii, Manuel García</t>
  </si>
  <si>
    <t>Manuel García Cordeii</t>
  </si>
  <si>
    <t>…stro Señor se ha servido nombrar auditor de guerra del egér cito y provincia de Navarra á D- Manuel Subiza y Armendariz; y para igual empleo del egército y provincia de Valencia á D. Manuel García Cordeii. Queriendo dar S. M. una prueba del aprecio que le merece D. Josef Fer nandez de Olarte, oficial mayor jubilado de la secretaría de Estado y del Despacho universal de la Guerra, por sus servicios, mérito, conocimientos militares , y por su constante lealtad á…</t>
  </si>
  <si>
    <t>Cordem, Manuel</t>
  </si>
  <si>
    <t>Manuel Cordem</t>
  </si>
  <si>
    <t>„ De; capitán de fragata y comandante de las barcas D. Manuel Cordem y los tenientes de navio D. Bernardo de Salas y D. Josef de la Serna he he cho mencion en los partes anteriores , y ahora los vuelvo á recomendar á la piedad de S. M., pues han sido incansables en el cumplimiento de sus deberes , » j«^cuerdo a V. E. que consi…</t>
  </si>
  <si>
    <t>Cordero, Manuel</t>
  </si>
  <si>
    <t>Manuel Cordero</t>
  </si>
  <si>
    <t>„El capitán de navio D. Josef de Salas, comandante de la fragata Dia na, los de fragata D. Manuel Cordero y D. Ramón Eulate, el primero que lo es de las fuerzas sutiles, y el último de la corbeta Diamante, los tenien tes de navio D. Bernardo de Salas, D. Josef de la Serna, D. Josef María Chacón y D. Rafael de Santibañez., y los demás gefes y subalternos de la marina Real, han trab…</t>
  </si>
  <si>
    <t>…reparadas para aprovechar las primeras brisas fuertes. ,, Se dieron los avisos al cordoñ exterior de buques de gtierra, y las bar cas y bongos á las órdenes del capitán de fragata D. Manuel Cordero se dis ponían á atacar á los rebeldes á una con las baterías. ,,En la mañana del 5 en un reconocimiento que hice acompañando al general en gefe del egército, se notó una grande novedad en. los preparativos marítimos de los-rebeldési' ; ;i , , El dia antes los…</t>
  </si>
  <si>
    <t>Córdoba, Dos Tomas de Ambite y</t>
  </si>
  <si>
    <t>Dos Tomas de Ambite y Córdoba</t>
  </si>
  <si>
    <t>…recaerá en el que le suceda la jubilación de 3300 rs. que aquél goza. K1 profesor que quiera hacer solicitud ¿ di cha plaza dirigirá sus memoríales al ayuntamiento por mano de su secretario Dos Tomas de Ambite y Córdoba, los que se admitirán hasta el dia 31 del corriente. Se halla vacante el partido de cirujano de la villa de Carriches, provincia de Toledo, distante de esta ciudad y de Talavera de la Reina seis leguas; su población es d- 80 vecinos, y dotación 5S) rs. anuale…</t>
  </si>
  <si>
    <t>Córdoba, Luis de</t>
  </si>
  <si>
    <t>Luis de Córdoba</t>
  </si>
  <si>
    <t>…las principales campañas de América y Europa, especialmente en la toma de Panzacola y en el combate naval de cabo Espartel, en las escuadras man dadas por el marques del Socorro y D. Luis de Córdoba. Hecha la paz en 1783» y habiéndose egercitado algún tiempo en la práctica de la astronomía en el observatorio de Cádiz, fue destinado á las órdenes de D. Vicente Tofiño para ayudarle en la comisión de levantar y trazar las cartas hidrográfi cas de la costa d…</t>
  </si>
  <si>
    <t>Córdoba, Luis Fernandez de</t>
  </si>
  <si>
    <t>Luis Fernandez de Córdoba</t>
  </si>
  <si>
    <t>…ombre de la Real maestranza de caballería de Granada su teniente de Her mano mayor el Sermo. Sr. Infante D. Carlos María D. Juan de Dios Padi lla y Escovedo, el conde de Clavijo y D. Luis Fernandez de Córdoba , á felicitar á S M. y A. con motivo de sus enlaces con las Sermas. Sras. In fantas de Portugal; y el primero dijo: ,, Señor: Vuestra Real maestranza de Granada, que entre todos los cuer pos del Estado lia procurado distinguirse siempre en amor, respeto y fid…</t>
  </si>
  <si>
    <t>Córdoba, Mariano Zayas Fernandez de</t>
  </si>
  <si>
    <t>Mariano Zayas Fernandez de Córdoba</t>
  </si>
  <si>
    <t>fantería, corregidor y capítan á guerra cíe la misma, D. Antonio Óubert y Muñoz con D. Mariano García Puerta, caballeros veinticuatros, y D. Mariano Zayas Fernandez de Córdoba , secretario mayor y mas antiguo del ayunramiento, acompañados de los Excmos. Sres. almirante duque de Veraguas, grande de España, del Consejo de Estado, y presidente del Real y supremo de Hacienda, y el marques de Villadarias , príncipe de Santo Mauro , gran…</t>
  </si>
  <si>
    <t>Córdoba, Nicolás</t>
  </si>
  <si>
    <t>Nicolás Córdoba</t>
  </si>
  <si>
    <t>…para reconocer la fuerza y disposiciones de los enemigos, y reg;ar ¡as mias sobre una base sóiida. Dirigí al mismo tiempo la pequeña caballería que he podido organizar á cargo del capitán D. Nicolás Córdoba, con la orden de que tomase la dirección por mi izquierda, dejando en la plaza fonnada la demas tropa al cuidado del acreditado teniente coronel de egército D. Ma nuel del Valle. Luego que salí de la población encontré ya situados en sur a-rabales al gunos fu…</t>
  </si>
  <si>
    <t>Corn</t>
  </si>
  <si>
    <t>842</t>
  </si>
  <si>
    <t>842 por lord Wellesley, la cual se consideraba entonces como nuestro principal baluarte en aquel pais. Sin embargo fue devuelta al Scindiah por lord Corn— "Wallis ,de orden expresa de nuestro Gobierno. El egército de Madras , al man do del coronel Doventon , en fuerza de 50© hombres, estaba reunido en Elichpoor: las tropas auxiliares del Nizam y del Peishwa se hallaban en Jatil— na. Todas estas fuerzas se cons…</t>
  </si>
  <si>
    <t>Cornel, Manuel Martin</t>
  </si>
  <si>
    <t>Manuel Martin Cornel</t>
  </si>
  <si>
    <t>…ndientes en el juzgado ordinario del señor al calde por el estado noble de la villa de Mora, provincia de Toledo, D. Marcos • Ventura Alvarez, y escribanía del número del cargo de D. Manuel Martin Cornel, recayó auto con acuerdo de; asesor en 4 de Marzo último, mandando entre potros particulares que se cite y emplace en la Gaceta de Madrid á los demas que se considere^ acreedores al caudal. del D., Sebastian, para que en el término de 30 días perentorios, con…</t>
  </si>
  <si>
    <t>Cornijo, Joaquín</t>
  </si>
  <si>
    <t>Joaquín Cornijo</t>
  </si>
  <si>
    <t>…ndrés Fresno , capitán graduado de húsares de Fernando vn, D. Simón Sicilia, capitán del regimiento del Rey, y D. Sebastian Díaz, ídem de Zapa dores , grado de teniente coronel: á D. Joaquín Cornijo , teniente de cazado res de Barbastro, empleo de capitán efectivo : á D. Gregorio Valiente, tenien te de cazadores de Castilla, D. Manuel Ximenez, ídem de Barbastro , Don Francisco Ronquillo, idein de Reales Minadores, D. Antonio Van-Halen, ayudante del regim…</t>
  </si>
  <si>
    <t>Cornwallis</t>
  </si>
  <si>
    <t>y los pequeños estados al O. de! Jumna, confinantes con nuestras posesio nes , debían formar una confederación independiente, bajo nuestra protección; pero el lord Cornwallis no cuidó de estos estados, que servían de antemu ral entre los máratas y nuestras florecientes provincias* Sir Barlow, sucesor de Cornwallis, siguió el mismo sistema;.y el general Lake, que tanto habia contribuido á conquistar aquellos países, los abandonó co…</t>
  </si>
  <si>
    <t>Coro, Indalecio</t>
  </si>
  <si>
    <t>Indalecio Coro</t>
  </si>
  <si>
    <t>…ías: para la deTorija á D. Telesforo Valero: para la de Aguilar de Campó á D. Victoriano Escribano: para la de Budia á D. Vi cente Perez Sánchez: para la de Cañete de las Torres á D. Indalecio Coro nel: para la de Orce á D. Francisco Saturio de Puerta: para la de Bonillo á D. Jcaquiu González: para la de Aimanza á D. Antonio Merino y Calvo: para la de Quesada á D. Dionisio González: para la de Palma del Rio á D. Cristóbal Benitez: para ía de Salas de lo…</t>
  </si>
  <si>
    <t>Coro, Mateo</t>
  </si>
  <si>
    <t>Mateo Coro</t>
  </si>
  <si>
    <t>…espeto y amor que los animaba á favor de sus Rea les Personas, se dignó S. M. recibir una diputación de la villa de Villafranca del reino de Córdoba, compuesta de su alcalde mayor D. Mateo Coro nado y Blanco, de los regidores D. Gabriel de Vega y D. Blas Herrera, del vicario eclesiástico D. Joaquín Rafael Gaitan, y de los presbíteros Don Miguel Zamorano y D. Antonio Sanz Pastor; y otra de la ciudad de Jaén representada por su corregidor D. Rafael Ai…</t>
  </si>
  <si>
    <t>Coronado, Mateo</t>
  </si>
  <si>
    <t>Mateo Coronado</t>
  </si>
  <si>
    <t>…de San Roque 500. El convento de S. Pablo, religiosos dominicos , 8800. La Exce lentísima Sra. marquesa de Benamejí 16®. El convento de religiosos de la Merced 4®___Viíiafranea----D. Mateo Coronado, alcalde mayor, 500 rs. D. Bartolomé Belmar, alcalde de primer voto, 100. D. Andrés Zamorano, alcalde de segundo voto, 400. D. Diego Ramírez, regidor síndico procura dor general, 60. Bartolomé Garijo, regidor segundo, 100. D. Sebastian Ra fael Camacho, diputa…</t>
  </si>
  <si>
    <t>Coronel, Santos Avoin</t>
  </si>
  <si>
    <t>Santos Avoin Coronel</t>
  </si>
  <si>
    <t>…ian Hernández 120. D. Felipe Barra 100. D. Manuel García 80. D. Gaspar Arribas 20. D. Juan Nobreda 20. D; Manuel Saudin Calderón 8. D. Fernando Gómez 10. Doña Margarita Martin 20. D. Santos Avoin Coronel en efectos y dinero 360. D. Manuel Cisneros 200. D. Anto nio Echenique 140. D. Josef Perez 40. D. Fructuoso Tejedor 30. D. Josef Lozano 30. D. Victorio Valtierra 30. D. Lorenzo de Seras 30. El coman dante de las armas 138. El contador y subalternos 60. El tes…</t>
  </si>
  <si>
    <t>Corral, Diego Sandalio</t>
  </si>
  <si>
    <t>Diego Sandalio Corral</t>
  </si>
  <si>
    <t>…caminos miiiiares, ó á Bibio Sereno, gobernador de la provincia hispánica, que residí &gt; en la expresada ciudad, ó á otro personage de Roma, lo recogió y aseó en lo posible el Br. D. Diego Sandalio Corral, natural de la de Sace don, y pírroco de la de Cañaveradas, quien pu^o en noticia del Excelentí simo Sr. duque de Alagon las circunstancias todas de este apreciable invento para que lo elevase i la superior de S. M. y A., quienes enterados por S. E. se dignar…</t>
  </si>
  <si>
    <t>Corrales</t>
  </si>
  <si>
    <t>…cas 46. D. Juan Ser na 40. D. Felipe Raguimido 40. D. Diego Veruega 44^ E! lectoral 23. Don Julián Ga.scueña 46. D Antonio Arguello 48. D. Ramón Orachea 48. Don Fernando Perez 2o. Sr. Corrales, racionero de aquella santa iglesia, 20. El cura de S. Juan 20. El beneficiado de Gracia 24. El cura de Sfo. Domingo 46. El cura de S. Nicolás 20. El cura de Santiago 100. El cura de S. Andrés 3a.</t>
  </si>
  <si>
    <t>Correa, Antonio</t>
  </si>
  <si>
    <t>Antonio Correa</t>
  </si>
  <si>
    <t>…se á cumplimentar á S. M. en nombre de la villa del Ferrol los Excmos. Sres. Don Manuel López de Aranjo, del consejo de Estado, y secretario de Estado y del despacho de Hacienda , D. Antonio Correa, teniente general de los Reales egórcitos y gentilhombre de cámara con egercicio, y el Sr. D. Jacobo M aria de Parga, ministro del supremo consejo de Hacienda y comisiona do Real en París; el primero de los cuales dijo: ,,Cuando V. M. volvió» á sentarse en el…</t>
  </si>
  <si>
    <t>Correa, Manuel Josef de Fallares y</t>
  </si>
  <si>
    <t>Manuel Josef de Fallares y Correa</t>
  </si>
  <si>
    <t>918</t>
  </si>
  <si>
    <t>…es para que le tenga con esta misma denomina ción para sí, sus hijos, herederos y sucesores en casa y mayorazgos per petuamente. Y en atención al lustre y antigüedad de la casa de D. Manuel Josef de Fallares y Correa, y á los méritos y servicio* personales y pecu niarios que ha contraído en defensa de la justa causa y de sus R.ales de-</t>
  </si>
  <si>
    <t>Correa, María Gertrudis</t>
  </si>
  <si>
    <t>María Gertrudis Correa</t>
  </si>
  <si>
    <t>…asuntos' iinportantas la existencia ó fallecimiento ele D. Die go Selonf, natural de Cartagena de Levante, avecindado en Guadalajara de Indias, ded'c.ido al comertio, y casado con Doña María Gertrudis Correa, natural de la misma ciudad: si pasó ó no i Vcracruz, como pensaba hacerlo en el ano de 1800; y en caso de haber fallecido, si dejó ó no hijos. Las personas que pudiesen.comuni car aigum de estas noticias se servirán hacerlo á D. Josef Tuero y Selonf, avecin…</t>
  </si>
  <si>
    <t>Cortés, Bienvenido</t>
  </si>
  <si>
    <t>Bienvenido Cortés</t>
  </si>
  <si>
    <t>…n en la orden de Calatrava , y D. Rafael de Urries Bucareli, hijos de los Excmos. Sres. marqueses de A\erve, 1) Fernando Garai, O. Jaime Sa la-, D. V ¡cente Kna, D. Tomas Ma teo y D. Bienvenido Cortés, seminarútas en el mfmo colegio, D. Mariano Nogués, D Pedro Nogués , D Pedro Ortiz, D. Joaquín Miranda, D. Pe dro Navarro, D. Juan Josef Lahorda, D- Lorenzo Biscasillas, D. Antonio Ttmprado, D. Martin Jucez, D. Josef La&gt;, D. Josef Martin, D. Manuel Laredo, D.…</t>
  </si>
  <si>
    <t>Cortes, Joaquín Llacer y</t>
  </si>
  <si>
    <t>Joaquín Llacer y Cortes</t>
  </si>
  <si>
    <t>…para la de Betera á D. Francis co Albero y A Ibero: para la de Vi llama re liante á D. Gerónimo Pedros: pa ra la de Pedrcguer á D. josef Cata i á y Cruañes; y para Ja de Bcnmjó ¿ D. Joaquín Llacer y Cortes. Continuación de las estampas que se venden en la Real Calcografía, sita «n la imprenta Real. Estampas en medio pliego de marca mayor. Jesús N.izarero, como H venera en el convento de ^Padres Trinitarios descalzos de Madrid, grabado por D. Juan Antonio Carmon…</t>
  </si>
  <si>
    <t>Cortés, Pedro Alcántara Aceituno y</t>
  </si>
  <si>
    <t>Pedro Alcántara Aceituno y Cortés</t>
  </si>
  <si>
    <t>…gusta Esposa. El dia 5 del corriente tuvieron la honra de felicitar á S. M. por su au gusto enlace á nombre de la santa hermandad Real y vieja de la villa de Ta layera de la Reina D. Pedro Alcántara Aceituno y Cortés, caballero de nú mero pensionado de la Real y distinguida orden española de Cárlos 111, maestrante de la Real de Ronda , regidor perpetuo decano de dicha villa de Ta'avera, alcaide de dicha santa hermandad, y secretario del samo oficio de la inquisición de co…</t>
  </si>
  <si>
    <t>Cortinas, Agustín</t>
  </si>
  <si>
    <t>Agustín Cortinas</t>
  </si>
  <si>
    <t>…e^te término Ies parará el perjuicio que haya lugar en derecho. Se acaba de dar á luz la obra titulada Demostración física de !a espiritualidad é inmorratidid del alma : su au*or D. Agustín Cortinas, vecino del Ferrol. En esta in teresantísima obra se rebaten físicamente los errores de los filósofos antiguos, y de los impíos materialistas modernos a erca de esta verdad: un tomo en 4.0 á la rústica. Véndese en e^ta corte en el a’micen de papel y librería…</t>
  </si>
  <si>
    <t>Corvisar</t>
  </si>
  <si>
    <t>…o Geolfroy-Saint Hilaire, Larrei 1 le y Dumeril. Undécima sección. Medicina y Cirugía. Los señores Chevalier, Portad, el caballero Halle, el caballero Peiletan, el barón Percy, el barón Corvisar, y Deschamps. El caballero Delambre será secretario perpetuo para las ciencias matemá ticas, y el caballero Cuvier para las ciencias tísicas. La academia de las Nobles Artes conservará la organización y la distri bución en secciones de la cuarta clase del Ins…</t>
  </si>
  <si>
    <t>Costa, Antonio Sandalio de Arias y</t>
  </si>
  <si>
    <t>Antonio Sandalio de Arias y Costa</t>
  </si>
  <si>
    <t>…ciada, á 11 reales en rústica y 14 en pasta. Los subscriptores á las lecciones de agricultura explicadas en el curso públi co del Real jardín botánico de Madrid el año de 1815 por D. Antonio Sandalio de Arias y Costa, catedrático de agricultura en propiedad, y jardinero mayor in terino de dicho establecimiento, anunciadas en la gaceta del martes 28 de Mayo y en el diario de 6 de Junio últimos, podrán acudir á recoger el tomo i.° de dichi obra, en cuto acto se les devolver…</t>
  </si>
  <si>
    <t>Costa, Antonio Sandálio de Arias y</t>
  </si>
  <si>
    <t>Antonio Sandálio de Arias y Costa</t>
  </si>
  <si>
    <t>…stuvo en Zaragoza con pasaporte á su nombre. Los subscriptores á las lecciones de agricultura explicadas en el curso público del R eal Jardín botánico de Madrid el año de 1815 por D. Antonio Sandálio de Arias y Costa, catedrático de agricultura en propiedad, y jardinero mayor interino de dicho establecimiento, anunciadas en las gacetas de 28 de Mayo y 3 de Agosto últimos, podrán acudir á recoger el torno 2.0 y último de dicha obra, recurriendo á las casas en donde se han…</t>
  </si>
  <si>
    <t>Costa, Vicente de Ja</t>
  </si>
  <si>
    <t>Vicente de Ja Costa</t>
  </si>
  <si>
    <t>…ndiendo en el juzgado del Sr. D. León de la Cámara Cano, del consejo de S. M., corregidor interino, y teniente primero de esta villa, y escri anít del nú mero de ella del cargo de D. Vicente de Ja Costa, el abintestato y juLio de acree dores de D. Manuel Sánchez de Dalp, á instancia de estos, y del defensor de los herederos alísenles, se ha maridado sacar á pública subasta por té mino de 30 dias una casa sita en la calle del Rclox, barrio de Doña María de Ar…</t>
  </si>
  <si>
    <t>CottsaLvi</t>
  </si>
  <si>
    <t>…Carlos m. A los Excmos. Sres. marques de Villafranca, marques de Malferit, mar ques de Casteldósrius , teniente general D. Francisco Copons , teniente gene ral D. Gaspar Vigodet, cardenal CottsaLvi, R. arzobispo de Valencia, R. obis po de Cuenca, R. obispo de Cádiz, y á los Sres. Secretarios del Despa cho de Marina D. Josef Vázquez Figueroa, y de Hacienda D. Manuel Ló pez Araujo. r- f &lt; Cruces supernumerarias i A D. Antonio Colomer de Prades, natural de…</t>
  </si>
  <si>
    <t>Coupigni, Josef</t>
  </si>
  <si>
    <t>Josef Coupigni</t>
  </si>
  <si>
    <t>…de la plaza de Madrid en 3 y 4 de Diciembre de 1808 , y en todo el tiempo que permanecieron prisioneros de guerra en Francia el mariscal de campo D. Fernando Poulle, los capitanes D. Josef Coupigni y D. Agustín de Mena, los primeros tenientes marques de Torrer nueva, D. Manuel Liaño, D. Josef Joaquín de Craivenkel, D. Teodoro Goiffieux, y el segundo teniente marques de Bassecourt, oficiales del expre sado cuerpo de Reales Guardias Walonas; ha tenido á bien S. M. declarar á…</t>
  </si>
  <si>
    <t>Cova, Dieco</t>
  </si>
  <si>
    <t>Dieco Cova</t>
  </si>
  <si>
    <t>…a Imprenta Real. Siguen v s cu.nl*-11 1 s ce retrate -&gt; t.e 1 u- tres es.mí e v. u; d* 8/D Pñ-go \ie ¡a y Guzivur f ti Mtrr . Ja.¡n de Ai '”«* , ei P. I r. J. sef ce &gt;i^ 1 ¡cry &gt;. D. Dieco Cova; rudias y Le iva , Juan Urdirá, y ti P. P. 1. 'ras VLtu'.e *1 c sv.i. Cuadeir.i* y.°: D. llago de Mr imada , el car-te nal Silíceo, Partí -’orré ele C¿ r^r ?a, 1). A? ionio Covartubias v Leiva , Antea:.o Fcie/’, ) D. Jrsrf Pe! ur.raf u. c. rro 1 o : D. Pedro…</t>
  </si>
  <si>
    <t>Covían, Antonio</t>
  </si>
  <si>
    <t>Antonio Covían</t>
  </si>
  <si>
    <t>…e ayuntamiento en todo el presente mes. Manual de curas, ó breve comnendio de! ministerio parroquial : obra útilísima á I 'S nárr eos y su» tenientes , en cuvo obsequio la compuso D. Antonio Covían, cura p 1 roco de la iglesia de nuestro pitror. de U ciudad de Granada .‘examinador sinodd riel mismo arzobispado y el de Sevilla: un tomo en 8. Se hallará en la li brería rij C «Ileja, calle de las Carretas, frente í la imprenta Real , y en Granada en la de…</t>
  </si>
  <si>
    <t>Cowper</t>
  </si>
  <si>
    <t>…sus buques, y serviría de almacén á su comercio,1o que perjudícaria en extremo al comercio ingles en aquella parte del mundo. Cavando tina mcger junto á las paredes del parque de lord Cowper, terca de Cantorbery, se encontró la semana pasada una moheda de oro muySantigua, acuñada á lo que parece en tiempo de los, Reyes que dominaban esté país cuando la invasión de los romanos. El oroes muy puro? e« cónca va, y tiene una cabeza de guerrero en la p…</t>
  </si>
  <si>
    <t>Cox</t>
  </si>
  <si>
    <t>9*7 de la Gran Bretaña le fueron presentados por lord Bathurst el general Doile, que está al servicio de España, y el general Cox, al de Portugal, á quienes c a R. confirió el título de caballeros. Idem 20. La gaceta del 17 anuncia que el Príncipe Regente ha mandado que el Parlamento, que estaba prorogado para el 24 de este mes, lo quede hasta el 4 de Noviembre. El Príncipe Regente ha r…</t>
  </si>
  <si>
    <t>Cox, Samuel Compton</t>
  </si>
  <si>
    <t>Samuel Compton Cox</t>
  </si>
  <si>
    <t>…ña llamado Chatíeery (tribunal de equidad y conciencia), dada en n de Julio de 1816 en una causa en que son partes D. Luis Gargoilo con otros, y D. Juan García, se dio comisión al Sr. D. Samuel Compton Cox, individuo de dicho tribu nal, para inquirir y exponer sí los pesos duros y doblones cargados á bordo del S* Juan Bautista , y poseídos por dicho García en virtud de providen cia del tribunal del almirantazgo con fcha de 26 de Febrero de 1S14, per tenecen en…</t>
  </si>
  <si>
    <t>…llamado Chan•cery (tribunal de equidad y conciencia^), dada en 11 de Julio de 1816 en una causa en que son partes D. Luis Gargolló con otros , y D. Juan García, se dió comisión al Sr. D. Samuel Compton Cox , individuo de dicho tribu nal, para inquirir y ‘deponer si dos .pesos duros y doblones Cargados á bordo</t>
  </si>
  <si>
    <t>Cozar, Lorenzo de</t>
  </si>
  <si>
    <t>Lorenzo de Cozar</t>
  </si>
  <si>
    <t>…n Mar Duel Carvajal, diputado del común, se dignaron también S. M. y A. R. admitir una diputación de la villa de Begijar., compuesta de D. Franco Li-r nares, D. Manuel Fernandez , D. Lorenzo de Cozar y D. Pedro Blanco, Io« cuales manifestaron los sentimientos de amor y lealtad que animaban á lo« vecinos de aquella villa hacia las augustas Personas de S. M. y A. R. Habiendo llegado aquel mismo dia las;Reales-Personas á la Carolina-, s(2 dignaron admitir las diputaciones de…</t>
  </si>
  <si>
    <t>Craduk</t>
  </si>
  <si>
    <t>I2J2 que desembarco ayer en Calais. Asimismo concurren á Cambray muchos ofi ciales generales para ver las maniobras y asistir á las fiestas que seguirán. El general Craduk, lord Fitzroy y sir Henrique Wellesley, hermano del du que de Wellington, se hallan también en aquella ciudad. La biblioteca Real de Copenhague, que en 1787 no tenia mas que 100© Volúmenes, se ha aumentado de tal manera por la munificencia del Rey , que en el…</t>
  </si>
  <si>
    <t>Craivenkel, Josef Joaquín de</t>
  </si>
  <si>
    <t>Josef Joaquín de Craivenkel</t>
  </si>
  <si>
    <t>…e guerra en Francia el mariscal de campo D. Fernando Poulle, los capitanes D. Josef Coupigni y D. Agustín de Mena, los primeros tenientes marques de Torrer nueva, D. Manuel Liaño, D. Josef Joaquín de Craivenkel, D. Teodoro Goiffieux, y el segundo teniente marques de Bassecourt, oficiales del expre sado cuerpo de Reales Guardias Walonas; ha tenido á bien S. M. declarar á todos los nominados oficiales libres de todo cargo , y acreedores á las gracias y ascensos quedes…</t>
  </si>
  <si>
    <t>Crespo, Diego</t>
  </si>
  <si>
    <t>Diego Crespo</t>
  </si>
  <si>
    <t>…ilaesa Van y Duinghen á la orden de Judien Guiliot, hijos y compañía, sobre P. Cormier é hijos, de París : otra de 22620 rs. y 26 mrs. vn. dada en Madrid á 26 de Julio de 1808 por D. Diego Crespo "de Tejada á la orden de Santiago Bermejo sobre Justo Bastiat, dé Bayona ; dos de 1711 libras tornesas, 16 sueldos, 9 dineros y 19721 d. 5 sueldos, dadas en Madrid á 1. de Agosro de 1808 por id. id. sobre id.: otra de 2244 id., 10 sueldos, 8 dineros id. id. á…</t>
  </si>
  <si>
    <t>Crespo, Felipe</t>
  </si>
  <si>
    <t>Felipe Crespo</t>
  </si>
  <si>
    <t>D. Felipe Crespo , D. Blas Domínguez, D. Joaquín Lumeras, D. josef García, D. Lázaro Canillas y D. Tomas Asensio. D. Manuel Fernandez, D. Bernardo de la Iluerga y D. Andrés Redonzo lo fueron igualmente con unos lazos de distinción. Todas estas condecoraciones, colocadas en ri…</t>
  </si>
  <si>
    <t>Crespo, Francisco</t>
  </si>
  <si>
    <t>Francisco Crespo</t>
  </si>
  <si>
    <t>…co munidad del Carmen calzado 40. La de padres Preinostratenses 80. D. Ra món Moreda 23. D. Félix Arguello 40. D. Sebastian Hernández 70. D Jo sef Broche ro 8. D. Josef Uaabal 69. D. Francisco Crespo 20. Agustín Bar tolomé 13. D. Eustbio Arrabal 20. Fernando Gómez 20. D. Vicente Telio 4. D. Manuel Cisneros 23. D. Valentín.Ximenez 20. D. Carlos Milre40. D. Esteban Gómez 20. D» Felipe Eneri y Seda 40. D. Gregorio Fernan dez 46. D. Fernando Larrondo 92. D. M…</t>
  </si>
  <si>
    <t>Crespo, Heduvigis Martin</t>
  </si>
  <si>
    <t>Heduvigis Martin Crespo</t>
  </si>
  <si>
    <t>…con veniente acerca de su pertenencia; con apercibimiento de que no haciéndolo se pro cederá á declarar, y declararán corresponderá D. Francisco Antonio de Urruela, como marido de Doña Heduvigis Martin Crespo, uno de los hijos y herederos de Don Manuel Martin Crespo, á quien le fueron robados, y los tenia reclamados. EN LA IMPRENTA REAL.</t>
  </si>
  <si>
    <t>Crespo, Josef</t>
  </si>
  <si>
    <t>Josef Crespo</t>
  </si>
  <si>
    <t>…alde ordinario D. Juan García Tasamero, de su cura párroco D. Ma tías González Soler y de D. Francisco López; y otra de la villa de Dos Bar rios, representada por D. Jorge Ferrer, D. Josef Crespo de la Serna y Don Francisco Ruiz; todos los cuales en nombre de los vecinos de los pueblos que representaban tuvieron la honra de prestar á S. M. y A. R. el hoinenage de su profundo respeto y de su cordial amor y adhesión á sus Reales Per sonas. Ultimamente h…</t>
  </si>
  <si>
    <t>Crespo, Manuel Martin</t>
  </si>
  <si>
    <t>Manuel Martin Crespo</t>
  </si>
  <si>
    <t>…ue no haciéndolo se pro cederá á declarar, y declararán corresponderá D. Francisco Antonio de Urruela, como marido de Doña Heduvigis Martin Crespo, uno de los hijos y herederos de Don Manuel Martin Crespo, á quien le fueron robados, y los tenia reclamados. EN LA IMPRENTA REAL.</t>
  </si>
  <si>
    <t>Crespo, Rafael</t>
  </si>
  <si>
    <t>Rafael Crespo</t>
  </si>
  <si>
    <t>…mé Repiso 60. Josef Lucena 4. D. Juan de Fio res 60. El gremio de especieros 760 rs. y 10 inrs. El mariscal de camoo D. To mas Zerain i^oo rs. D. Francisco Beltran de Guevara 160. D. Rafael Crespo ico. D. josef Herrera 120. D. Juan Carrillo y Aguayo 70. D. Miguel Mu ñoz 320. D. Rafael Juanicotena 1$. D. Andrés de León 100. D. Antonio Ru iz 60. D. Angel del Riego 100. Geraido de la Fuente ^o. D. Juan de Pa nlagua 60. El colegio de escribanos 1500. D. Ju…</t>
  </si>
  <si>
    <t>Crespo, Vicente</t>
  </si>
  <si>
    <t>Vicente Crespo</t>
  </si>
  <si>
    <t>…las armas 138. El contador y subalternos 60. El tesorero de ren ta' 23. ES administrador de rentas 23. D. Pedro Azaituno 30. El corregidor interino 24. 1). ‘Ensebio Hernández 70. D. Vicente Crespo 20. D. Gregorio N ieto 20. D. Lorenzo Mu-te 2 3. El contador del crédito público 48. El deán de aquella santa iglesia 40 El arcediano de Avila 5 . El doctoral 23. El maestrescuela 40. D. Josef Tejero 20. D. Fernando Cerrudo 20. D. Miguel Cantero 70. D Andrés…</t>
  </si>
  <si>
    <t>Cristó</t>
  </si>
  <si>
    <t>…que acudieron aiH á rendir á S. M. y A. los homenages de su amor y-res peto, como también las siguientes diputaciones. Una de la villa de Benamejí , compuesta de su alcalde mayor D. Cristó bal María Antón y de D. Francisco de Paula Bernay : otra de la villa de Rute, compuesta igualmente de su alcalde mayor D. Manuel de Sto. Do mingo y Herrera y de D. Agustín Gómez de Aranaa y Carrillo: otra de la villa de Baena, que se componía también de ?u al…</t>
  </si>
  <si>
    <t>Cristo, Wenceslao del</t>
  </si>
  <si>
    <t>Wenceslao del Cristo</t>
  </si>
  <si>
    <t>…isr tinguida órden de Cárlos m, condecorado con la cruz de mérito de ChiT clana , académico de honor de la Real academia de S. Fernando, y arce diano de dicha santa iglesia el Dr. D. Wenceslao del Cristo, segundo co misario de Cruzada de aouel obispado, y canónigo penitenciario de la mis ma iglesia , y D. Pedro Xavier de Vera , como representante del expresada cabildo en esta corte; el primero de los cuales dijo á S. M. entre otra? cosas, lo siguiente: ,,El c…</t>
  </si>
  <si>
    <t>Cristóbal</t>
  </si>
  <si>
    <t>•2 07 mayor del Rey nuestro Señor, caballero gran cruz y gran canci ller de la citada orden ; D. Cristóbal .Bencomo, del Cornejo y Cá mara de Castilla, confesor de S. M-; duque del Infantado-, coronel de Reales Guardias Españolas, presidente del Consejo Real, caba llero gran cruz de la Real y distit gukL* orden española de Cár los m ; marques de S. Simón, coronel…</t>
  </si>
  <si>
    <t>Cristóhal</t>
  </si>
  <si>
    <t>…rtud de. providencié del Sr. D. Joaquín Aimazan y Ximeno, del consejo de S. JVÍ., tjeniepts de corregidor de esta vi lia .? ¡ dada por la escribanía de número que está ai cargo dé-D. Cristóhal/de.Viquña, á solicitud de la compradora de una casa, sita éri la cálle de Cantarranasnúm. 15, manz. 228 , se cita y emplaza á todas ó cualesquiera personas que tengan créditos contra la expresada casa ó títulos de per tenencia de la mismaK en calidad de prend…</t>
  </si>
  <si>
    <t>Crnell, Josef</t>
  </si>
  <si>
    <t>Josef Crnell</t>
  </si>
  <si>
    <t>…Soberanía. Habiéndose dado cuenta al Rey nuestro S ñor de la causa formada ante ti consejo de guerra de oficiales generales del Pi erto de Sta María al maris cal de c*mpo suspenso D. Josef Crnell?, relativa a la conducta militar y po lítica que observó durante el tiempo de su permartreia en p¿rs ecapado por el enemigo; y en vista de Lo que ?«bre tilo ha consultado el consejo supret» o de la Guerra, conformándose S. M. con si. oler, n ¡.n , se ha servi…</t>
  </si>
  <si>
    <t>Croquer, Estéban</t>
  </si>
  <si>
    <t>Estéban Croquer</t>
  </si>
  <si>
    <t>…dias marinas que han mandado las barcas, y que mas se han distinguido por su gallardía y actividad, son los alféreces de na vio D. Manuel Mieres y D. Ramón Londoño, los de fragata D. Estéban Croquer, D. Antonio Tiscar, D. Joaquín Mozo, D. Juan de Arcos, Don Antonio Sotelo, D. Manuel Zaragoza y D. Felipe Roldan, y los guardias marinas D. Antonio Urzais y D. Juan Mesías. No me detendré en explicar la clase de méritos que han contraído , ni la recompensa qu…</t>
  </si>
  <si>
    <t>Croquer, Esteban</t>
  </si>
  <si>
    <t>Esteban Croquer</t>
  </si>
  <si>
    <t>…lféreces de navio á los de fragata D. Juan Montano, con la antigüedad á este de la promoción de 29 de Mayo del año pasado de 1815 , D.-E legarlo, de los Cuetos, D. Josef Quesada , D. Esteban Croquer, D. Antonio Tiscar, D. Joaquín Mozo, D. Juan de Arcos , D. Antonio Sotelo , D. Manuel Zaragoza , D. Felipe Roldan , Don Antonio Urzais y D. Juan Mesías: el de alféreces de fragata á los guardias marinas D. Juan Mozo, D. Segundo Díaz Herrera, D. Victoriano Lóp…</t>
  </si>
  <si>
    <t>Crown</t>
  </si>
  <si>
    <t>…dor militar y político de Ukrania al teniente general Príncipe Repnin, que durante la última guerra era gobernador militar de la Saxonia. Ha llegado ya á Cronstadt la escuadra del almirante Crown, que había ido al Báltico. Hace unos cuantos dias que el embajador de Francia dio su primer con vite, al que asistieron el cuerpo diplomático, los ministros y los grandes dig nidades de la corte. ITALIA. Veneei.i 16 Je Agosto. Se asecura que S. M. el Emperado…</t>
  </si>
  <si>
    <t>Cruz, Cayetano</t>
  </si>
  <si>
    <t>Cayetano Cruz</t>
  </si>
  <si>
    <t>…ira, D. Benito Pereira, D. Cosme Arias, D. Juan RoJriuuez , I). Josef Abad, D. Manuel Vicario, D. Josef Vicente Veigi, D Josef Alonso, D. Juan Vega, D. Manuel Rodríguez Almeiras j D. Cayetano Cruz. En geometría D. Josef Pujadas, D. Fermín Galceran, D Josef Sada, D. Ignacio Palacios, D. Tomas Diago, y los citados D Josef Perez y D. Juan Pablo Rodríguez. En trigonometría plana D. Manuel Ban dujo, O. Cándido Pulleiro, D. Joaquín Hernández, D. Eusebio Arró…</t>
  </si>
  <si>
    <t>Cruz, Gonzalo Herrera y Santa</t>
  </si>
  <si>
    <t>Gonzalo Herrera y Santa Cruz</t>
  </si>
  <si>
    <t>…a par te que le toca. Dios guarde á V. muchos años. Madrid 19 de Febrero de 1816. ¡'. En atención á la distinguida calidad, apreciábles circunstancias y parti culares servicios de D. Gonzalo Herrera y Santa Cruz , vecino y regidor de la ciudad de la Havana, ha venido S. M., á consulta dé la Cámara de Indias, en concederle merced de título de Castilla para sí, sus hijos y sucesores, con la denominación de Conde de Fernandina, libre de lanzas por sola su vida. Estando…</t>
  </si>
  <si>
    <t>Cuader, Gaspar de Guzman y Pimentel.rz</t>
  </si>
  <si>
    <t>Gaspar de Guzman y Pimentel.rz Cuader</t>
  </si>
  <si>
    <t>…é de las Casas, Francisco Sánchez, y D. Alfonso de Villegas. ~ Cuaderno 15: Ñuño Nuñez Rasura, Lain Calvo, Pedro Navarro, D. Juan Bautista Perez , Don Gen •limo Gómez d- Huerta, y D. Gaspar de Guzman y Pimentel.rz Cuader no 16: Fr. Juan de Jesús Ma ría, D. Martin Bautista de Lanuza,ei conde de Lemo&gt;.,el Mtro. Vicente Espinel, D. Jorge Juan, y D. Antort o de Uiloa. —Cua derno 17: D Pablo- de Sant* Marta, el P. Diego Lainez, Fr. Gerommo Graban de la M«drc de Dios, D. Joicf del…</t>
  </si>
  <si>
    <t>Cuadros, Agustín de</t>
  </si>
  <si>
    <t>Agustín de Cuadros</t>
  </si>
  <si>
    <t>…estes enemigas se retiraron, v que restituido á su trono nuestro amado Soberano se pudo volver otra vez*a (dirigir las miras hacia los objetos domésticos; lo primero á que atendió Don Agustín de Cuadros, corregidor por S. M_, y el ilustre ayuntamiento de Talavera de la Reina, fue el de reparar el edificio del establecimiento, y restablecer la educación de la juventud, confiando el desempeño de la cáte dra de latinidad y humanidades al benemérito é instruido…</t>
  </si>
  <si>
    <t>Cubero, Luís</t>
  </si>
  <si>
    <t>Luís Cubero</t>
  </si>
  <si>
    <t>…de S; M. y feli citarle por su augusto enlace matrimonial con la Reina nuestra Señora , en nombre del venerable deán y cabildo de la: santa iglesia catedral de Lérida, los señores D. Luís Cubero , canónigo de ella,,é inquisidor de corte, y Don Gerónimo Ruiz, canónigo también de la misma-, y abreviador de la Nuncia tura , haciendo las mas rendidas protestas de la fidelidad de aquel cuerpo eclesiástico, que continuamente ofrece sus votos por la-prosper…</t>
  </si>
  <si>
    <t>Cuellar, Ramón de Milla</t>
  </si>
  <si>
    <t>Ramón de Milla Cuellar</t>
  </si>
  <si>
    <t>…e de D. Francisco Sacristana é hijos, en que está entendiendo el Sr. D. León de la Cá mara Cano, del consejo de S. M., corregidor interino y teniente primero, por la escribanía de D. Ramón de Milla Cuellar, en junta de acreedores celebrada en este dia á la presencia judicial, se ha acordado, entre otras cosas, convocar á junta ge neral de acreedores para el dia 28 del presente á las ocho en punto de su mañana en (as casas de habitación de S. S., en que los sínd…</t>
  </si>
  <si>
    <t>Cuervo, Eugenio Manuel</t>
  </si>
  <si>
    <t>Eugenio Manuel Cuervo</t>
  </si>
  <si>
    <t>Gaceta de Madrid n.º 5</t>
  </si>
  <si>
    <t>…rera, con el encargo de desemeñar al mismo tiempo la subdelegaron de todas rentas y la judicatura del eal patrimonio, á D. Manuel de la Plaza y Farias, por haber sido agracia S do D. Eugenio Manuel Cuervo con una de las dos plazas de alcaldes del crimen creadas por $, M. en la Real audiencia de Galicia.</t>
  </si>
  <si>
    <t>Cuesta</t>
  </si>
  <si>
    <t>…Baeza, en Andalucía, en i.° de Marzo de 1809, en el que permaneció hasta el 20 de Julio del mismo año, y de resultas de haber marchado su regimiento á Extremadura al egército del Sr. Cuesta, quedó es te agregado .al de Chinchilla, desde cuyo tiempo no se ha tenido noticias de él. La persona que las tuviere se servirá comunicarlas á Josefa Aspa, su muger, vecina de' la ciudad de Sigíienza. Se halla vacante el partido de médico de la villa de Bece…</t>
  </si>
  <si>
    <t>Cundas</t>
  </si>
  <si>
    <t>…el comisario de la corte y de los diputados de amortización ocho millones de florines en papel qüe han entra do en el banco. ITALIA. Roma 18 de Noviembre. Ha llegado á esta ciudad lord Cundas, quien ha. tenido la honra de ser muy bien recibido por S. S. en la audiencia particular que le ha dado. Bolonia 18 de Noviembre. El 1 3 del corriente llego á esta ciudad el embajador anglo-americano Mr. Pinkney , que pasá á la corte de Petersburgo.__ Continu…</t>
  </si>
  <si>
    <t>Cundell</t>
  </si>
  <si>
    <t>…cida utilidad para sus amados va sallos* Por este aviso se hace notorio que los abajo mencionados certificados de alquiler de mulos dados por el señor diputado asistente comisario general Cundell fueron pagados en esta oficina. Las personas que tengan en su posesión otros papeles de la misma natu raleza, que sean copias ó duplicados, deberán estar en la inteligencia que ta les papeles ó duplicados quedarán nulos y sin vaior alguno. A Eugenio Aimenez,…</t>
  </si>
  <si>
    <t>Cureces, Manuel</t>
  </si>
  <si>
    <t>Manuel Cureces</t>
  </si>
  <si>
    <t>…l, vecino que fue y del comercio de esta ciudad, para que por sí ó ‘ por -sus poder habientes se: presénten én el referido tribunal por la escribanía dé •ayuntamiento del cargo de D. Manuel Cureces á deducir su derecho; en la inteliíge nc.ia, que no lo haciénde les parará todo perjuicio , y se determinará la causa en su fgbgldí*. . En Alameda de la Sagra se halla vacante el partido dé médico, qué vale yS) rea les , pagados mensualmente por la justicia,…</t>
  </si>
  <si>
    <t>Custardoy, Casimiro</t>
  </si>
  <si>
    <t>Casimiro Custardoy</t>
  </si>
  <si>
    <t>…asignaron dé las' cartas de Cicerón y de orros autores , contentaron con total acierto á las muchas preguntas que les hicieron. Por último los de la clase de menores y rudimen tos D. Casimiro Custardoy, D. Calixto Martínez, D. Vicente Marco , Don: Cipriano Remon , D. Joaquín Merle y Di Agustín García tradujeron varías, fábulas de Fedro, y respondieron con puntualidad y acierto á^cuanto sve les preguntó sobre los preceptos Gramaticales y propiedad de la locu…</t>
  </si>
  <si>
    <t>Cuvier</t>
  </si>
  <si>
    <t>…tad, el caballero Halle, el caballero Peiletan, el barón Percy, el barón Corvisar, y Deschamps. El caballero Delambre será secretario perpetuo para las ciencias matemá ticas, y el caballero Cuvier para las ciencias tísicas. La academia de las Nobles Artes conservará la organización y la distri bución en secciones de la cuarta clase del Instituto, y se compondrá del mo do siguiente *. Primera sección. Pintura. Los señores Van-Spaendonck, Vincent, Re-gna…</t>
  </si>
  <si>
    <t>Cuyas, Joaquín</t>
  </si>
  <si>
    <t>Joaquín Cuyas</t>
  </si>
  <si>
    <t>…y 2 los de 100 á 300 quintales. Para el percibo de este derecho sobre los buques salientes y estacionarios se han señalado los colectores correspondientes, yen este puerto lo será Don Joaquín Cuyas, que lo es ya en el dia del impuesto de ancorage y nuevo impuesto de ancorage, y que tiene su despacho en la calle de San Miguel, en la Barceloneta, casa num. 2 , y este colector al tiempo de verificar el pago dará á los patrones &lt;5 capitanes una papeleta que…</t>
  </si>
  <si>
    <t>Cyerojaimcí, Juan</t>
  </si>
  <si>
    <t>Juan Cyerojaimcí</t>
  </si>
  <si>
    <t>…rar para H vara de alcalde ma yor de la ciudad de Huesca á Q. Jo&amp;ef Moreno yyRemirez: para la de PuigcerdáráiDí* Sacador?Amajdp: paira la de las villar di Onil, Castalia y [Tibí á D. Juan Cyerojaimcí garrido; y pira la de las; Baronías de Bicon y Quesa á D. Manueí Mci^puejr, ., t ¿ L.it , t... . t</t>
  </si>
  <si>
    <t>Czernichetf</t>
  </si>
  <si>
    <t>…ia en los baños de Aix, en Saboya. S. A. R. prometió regresar á esta ciudad. El 8 de este mes llegó á Viena el conde deCaraman ,embajador de S. M. cerca de la corte de Austria. El general Czernichetf, ayudante de S. M. el Emperador de Rusia, había llegado algunos dias antes á aquella capital, don de se ha esparcido la voz de que se verificará en Carlsbad la reunión de los tres Soberanos que hicieron la santa alianza. Asegúrase también alli que esta reunió…</t>
  </si>
  <si>
    <t>Czernitscheíf</t>
  </si>
  <si>
    <t>…rte, salió hace tres dias para Munich; y al mismo tiempo Jlegd aqui de aquella ciudad el conde de Valmoden-Grimborn, habiendo desem peñado su encargo en dicha corte. &gt; El teniente general Czernitscheíf, que estaba aqui hacia algunos meses, salió el 19 con dirección á Petersburgo. En 7 de Setiembre del año último el capitán de navio Antonio Giurovich, que mandaba el buque Conde de. Saurauy perteneciente á la casa de Padova ni, de Trieste, fue atacado en las…</t>
  </si>
  <si>
    <t>Czernitschetf</t>
  </si>
  <si>
    <t>…e,,y con el fin de trastornar nuestro Gobierno. Están ya presos cinco de los prin cipales sediciosos, que llevarán el castigo merecido. RUSIA. Petersbur^o 2 r de Mayo. El teniente general Czernitschetf va á salir de Petersburgo para Viena coa el objeto de dar el pésame á S. M. I. por la muerte de S. M. la Emperatriz. El conde de Noailles, embajador oe Francia cerca de esta corte, tuvo el 5 del corriente su primera audiencia del Emperador. POLONIA. Vanovia 2…</t>
  </si>
  <si>
    <t>D, Bernardino P'erez y</t>
  </si>
  <si>
    <t>Bernardino P'erez y D</t>
  </si>
  <si>
    <t>…de la segunda clase apenas cuentan r4 meses dé enseñan za metódica, y cuatro el qpe mas de la primera en- la tierna edad- de nueve á doce años. Primera clase.. D. Josef Serrano ,. D. Bernardino P'erez y D&gt; Manuel de las Heras. Segunda clase. D. Salustiano de Olozaga, D. Cosme Giménez de Anti1100,0. Cosme Cordon, O. Cayetano Barosa, D. Angel de las Heras, Don Manuel Vega , D. Roque Alonso, Di Felipe Saiuz Robles, D. Valentín. Alonso y D. Manuel Serrano-</t>
  </si>
  <si>
    <t>D, Carlos y</t>
  </si>
  <si>
    <t>Carlos y D</t>
  </si>
  <si>
    <t>…por el feliz y deseado enlace de \ M. , deseando que se verifique, y que ti cielo colme de felicidades a su rento p-r dilatados años en la amable compañía de los Sermos. Infantes D. Carlos y D. mi tomo. Madrid 26 de Julio. En el dia 16 del corriente tuvieron la honra de cumplimentar á S. M. V A. R. , como comisionados por la villa de Pareja, L). Juan benito Hermosil'a, su alcalde ordinario, D.Juan de Tenajas y D. Dionisio Mei, chante; y arengaron en…</t>
  </si>
  <si>
    <t>D, Félix Alonso y Calza y</t>
  </si>
  <si>
    <t>Félix Alonso y Calza y D</t>
  </si>
  <si>
    <t>…ís ca de Asís de la ciudad de Andujar, y detenídose en Bailen, después de haber recibido al ayuntamiento de ella, en cuyo nombre tuvieron la honra de felicitarlas su alcalde mayor D. Félix Alonso y Calza y D^ Joaquín Mar Duel Carvajal, diputado del común, se dignaron también S. M. y A. R. admitir una diputación de la villa de Begijar., compuesta de D. Franco Li-r nares, D. Manuel Fernandez , D. Lorenzo de Cozar y D. Pedro Blanco, Io« cuales manifestaron los senti…</t>
  </si>
  <si>
    <t>D, Félix Martínez de Saavedra y</t>
  </si>
  <si>
    <t>Félix Martínez de Saavedra y D</t>
  </si>
  <si>
    <t>…A. R. admitir á su presencia una diputación de Ciudad-Real , capi tal de la provincia de la Mancha, compuesta de su corregidor el Lie. Don Fermín Diez, de los regidores perpetuos D. Félix Martínez de Saavedra y D, Alonso Pedro Maldonado y Treviño , y del síndico personeroel Lie. Don Josef Antonio Arenas, los cuales expusieron á S. M. y A. R. los grandes y extraordinarios servicios que había hecho aquella provincia por defender los derechos de S. M. y sostener el juram…</t>
  </si>
  <si>
    <t>D, Ginés de Moya y</t>
  </si>
  <si>
    <t>Ginés de Moya y D</t>
  </si>
  <si>
    <t>…ugal, en nombre del cabildo de la insigne y santa iglesia de Lorca, D. Antonio de Posada Rubín de Celis, ca pellán de S. M. y canónigo de su Real iglesia de S. Eidrode esta corte, Don Ginés de Moya y D.Joaquin Escarano,capellanes de honor de S. M., quie nes dijeron : „ Se ñor; El cabildo de la santa iglesia de Lorca nos encarga de humillar i</t>
  </si>
  <si>
    <t>D, Infante</t>
  </si>
  <si>
    <t>Infante D</t>
  </si>
  <si>
    <t>…y ofrece sus respetos debido^ por medio del infrascrito, rogando á Dios guarde la importante vida de V. M. para consuelo de todos.” En seguida tuvo el honor de felicitar al Sermo. Sr. Infante D.Carlos con igual motivo, y dijo á S. A. lo siguientes ,,Sermo Sr.: la villa de Corullon, en la provincia de León, luero que fue noticiosa del matrimonio tratado de V. A. con la Serma Sra. Infanta de Portugal manifestó el mayor júbilo por tan feliz enlace* y pa…</t>
  </si>
  <si>
    <t>…arez de Figueroa, regidor decano de dicha ciu dad , y caballero de la orden militar de Montesa. En la tarde del mismo dia tuvieron el honor de besar la mano á S. M. y A. el Sermo. Sr. Infante D.Cárlos, y de felicitarlos por los concertados en laces con las Sermas. Sras. Infantas de Portugal, en nombre del cabildo de la insigne y santa iglesia de Lorca, D. Antonio de Posada Rubín de Celis, ca pellán de S. M. y canónigo de su Real iglesia de S. Eidrode…</t>
  </si>
  <si>
    <t>Gaceta de Madrid n.º 101</t>
  </si>
  <si>
    <t>881</t>
  </si>
  <si>
    <t>…ranciscos descalzos de la villa de Orche. Madrid 14 de Agosto. El dia 10 del corriente entre ocho y nueve de la mañana llegó S. M. á Alcalá, acompañado de su augusto Tio el Serme. Sr. Infante D .Arto! ¿o, habiendo salido á las cinco y media de Guadalajara. A su currada er nque11a ciudad fueron recibidos S. M. y A. con los mismos r bienios, aclama ciones y fesrejos que en los demas pueblos del transito, y su coche tirado por gentes de la ciudad prepa…</t>
  </si>
  <si>
    <t>…inios de América la época afortunada de los Fernandos y de las Isabelas.” Los mismos comisionados en el siguiente dia 23 tuvieron la honra de fe licitar con igual motivo al Sexmo. Sr. Infante D* Carlos. ' ARTICULO BE, OFICIO. JReal resolución: de S* M. d consulta: del Consejo. D. Bartolomé Muñoz; de Torres, del Consejo de S. M., su Secretario, Escribano de Cámara mas antiguo y dé Gobierno del Consejo, certifico que con fecha 26 de Julio del año. pró…</t>
  </si>
  <si>
    <t>D, Iofante</t>
  </si>
  <si>
    <t>Iofante D</t>
  </si>
  <si>
    <t>…ana , y primitivo solar de donde V. M. toma el primer timbre de su corona, me han distinguido con el alto honor de felicitar á V. M. en su nomhrc por su concertado eniace y el del Sr. Iofante D. &lt; árlcs con :a augura casa de Braganza: esta sabia resolución, Svñor, ha ltcnado de jubilo á aquellos lea les castellanos, yjorque miran en estos ilustres iriCtrin.onic.s ase?i r: da nutstra sanra religión y ti trono de V. M , de que son y !.an *ido sien prc…</t>
  </si>
  <si>
    <t>D, Josef y</t>
  </si>
  <si>
    <t>Josef y D</t>
  </si>
  <si>
    <t>…se presentaron á S. M. y Sr. Infante D. Carlos D. Die go María Vadiíios, ministro del Consejo supremo de Almirantazgo, D. Ra fael de Morales, capitán de fragata de la Real Armada, D. Josef y D, Juen Cortés, capitán y primer teniente de Reales guardias Walonas; arengan do el primero en estos términos: „Señor*. Por la villa de Mancha Real, en el reino de Jaén, venimos á cumplimentar á V. M. y Sr Infante D. Carlos por los enlaces contratados con la ex…</t>
  </si>
  <si>
    <t>D, Jost-f y</t>
  </si>
  <si>
    <t>Jost-f y D</t>
  </si>
  <si>
    <t>…ca-sintética vv acabada en sil clase. Propu^tas» las materias del examen, se le dio principio recitando los alumnos D. Benito de Gracia, D. Bernardo Kstevez,D. Alfonso Berastegui, D. Jost-f y D.Juan Diez Prado, D. Juan y I&gt;. Gerónimo Ortega , D. J osefde la Fuente, Don Francisco Carreras y í&gt;. Josef Seoane las tabulas de Inarte y de Samaniego con exactitud, explicando la moralidad , y haciendo diversas reflexiones sobre Jos mismos alumnos ; en diálog…</t>
  </si>
  <si>
    <t>D, María Isabel y</t>
  </si>
  <si>
    <t>María Isabel y D</t>
  </si>
  <si>
    <t>…autiverio de* V. M. y Real familia , se acerca hoy-al troito *á felicitar á V. M. por su contratado matrimonio y el del Sermo. S r. Infan te B. Carlos &gt;María con las Sermas. Sras. Doña María Isabel y D oñaMA</t>
  </si>
  <si>
    <t>D, Mariano Navarro y</t>
  </si>
  <si>
    <t>Mariano Navarro y D</t>
  </si>
  <si>
    <t>…no pudieron menos de admirar á todos los que sabían.que solo contaban 1-4 n?eces de enseñanza. En seguida se presentaron ios alumnos de la clase. de me diados D. Mariano Tejadas, D. Mariano Navarro y D.'.Joaquín Suria , qüies ■ ; ■ 1-: p .■ ' ..f; ■ •*.&gt; ' A’ • * - : j - * ■ i' ‘ .'.i í **•••’ ‘ ' ‘* : ' (1) Véase la gaceta del sábado 30 cíe Noviembre, artículo de París.</t>
  </si>
  <si>
    <t>D, Rey</t>
  </si>
  <si>
    <t>Rey D</t>
  </si>
  <si>
    <t>933</t>
  </si>
  <si>
    <t>…adas con la ad miración universal, extendiéndolas no solamente en beneficio público sino en favor de sus legítimos Soberanos: tales han sido entre otros los auxilios pres tados ai Sr. Rey D.Juan el 11 para sacarle del castillo de Montalhan, donde se hallaba cercado, y la gran distinción con que se habían portado en la ba talla de Olmedo, y por lo que la ciudad logró el título de tal con la deno minación de M. N. y M. L., sin otras muchas que podr…</t>
  </si>
  <si>
    <t>Daendels</t>
  </si>
  <si>
    <t>…ue su Gobierno tiene intención de cambiar todos los establecimientos dinamarqueses de la costa por las dos islas de Sto. Tomas y dél Príncipe, que pertenecen á los portugueses. El general Daendels, comandante de los establecimientos holan deses, ha hecho poco hasta el dia para adelantar su cultura, ocupándose so lo en construir una batería en una altura para infundir temor á los fantinos, porque los negros de Elmina temían un ataque por su parte despué…</t>
  </si>
  <si>
    <t>Dalberg</t>
  </si>
  <si>
    <t>…du-Pin-Gouvernet, ministro plenipotenciario. Prusia, el marques de Bonnay, enviado extraor dinario y ministro plenipotenciario. Rusia, el conde de Noailles, embajador. Cerdeña« el duque Dalberg, idem. Suecia y Noruega, Mr..........Suiza, el conde Augusto de Ta 1 leyrand, ministro plenipotenciario cerca de la Confede ración. Toscana, el caballero de Vernejues, ministro residente. Turquía, el marques de la Riviere, embajador. Wurtetnberg, el conde de…</t>
  </si>
  <si>
    <t>Dalinau, Fiancisco</t>
  </si>
  <si>
    <t>Fiancisco Dalinau</t>
  </si>
  <si>
    <t>…rratalá; en Málaga en la de Carreras; en Palma de Mallorca en la de ' obonell ; en Pamplona en la de Fondas; en Bilbao en la de la viuda de Ibargücnjojüa , y en Granada en casa de D. Fiancisco Dalinau, profesor de matemáticas. EN LA IMPRENTA REAL.</t>
  </si>
  <si>
    <t>Dallas, A. C. G.</t>
  </si>
  <si>
    <t>A. C. G. Dallas</t>
  </si>
  <si>
    <t>…. C. á Vicente Alonso y otros desde ri de Setiembre de r8t2 hasta id, ^ A. D. A, C. G. Cra-wley á Juan Mbrevia- y otros desde 2f de Noviembre de t8ii hasta- 24;. de Abril de 1812; D. A. C. G. Dallas á Santiago Muñoz y otros desde 14 dé Noviembre dé 1812 hasta 16 de Abril, de 1S13;, Malcolm. C. C„ al. capa-</t>
  </si>
  <si>
    <t>Dalmau, Domingo de</t>
  </si>
  <si>
    <t>Domingo de Dalmau</t>
  </si>
  <si>
    <t>…Setiembre. El día 4 del presente mes á las cinco de la tarde los Sres. D. Pablo Marra de Miró, caballero maestrante de la Real de Granada, regidor decano de la villa de Reus ; el coronel D. Domingo de Dalmau, agregado al batallón de Ultramar, y el capitán D. Vicente Josef de Bofaruli, segundo tenienre del quinto batallan de Reales Guardias Wálonas , comisionados por la misma, tuvieron el honor de besar la Real mano de S. M. y cumplimentarle por el contratado enla…</t>
  </si>
  <si>
    <t>Dalmau, Francisco</t>
  </si>
  <si>
    <t>Francisco Dalmau</t>
  </si>
  <si>
    <t>…arratalá; en Málaga en la de Carreras; en Palma de Mallorca en la de Carbonell; en Pamplona en la de Longas; en Bilbao en la de la viuda de Ibarguengoitia, y en Granada en casa de D. Francisco Dalmau, profesor de matemáticas. Ilustración apologética al breviario, misal y ritual cisterciense de la congrega ción de S. Bernardo en los reynos de Castilla, donde se manifiesta el origen, ins titución, autoridad y antigüedad venerable de sus usos, costumbres, rú…</t>
  </si>
  <si>
    <t>…ía ; en Málaga en la de C irreras ; en Palma de M ui-arc r en la de Carbonell; en Pampiona en la de Lorgá,; en Bilbao en la de la viuda de lbar^uengoitia, y en Ciranada en casa de D. Francisco Dalmau , profe sar de ruatenisilbas. EN LA IMPRENTA REAL.</t>
  </si>
  <si>
    <t>…rratalá; en Málaga en la de Carreras; en Palma, de Mallorca en la de Carbonell; en Pamplona en la de Longas; en Bilbao en la de la viuda de Ibarguengoitia, y en Granada en casa de D. Francisco Dalmau, profesor de matemáticas. Salustio, traducido al castellano por el caballero Manuel Suelro. Van añadidas las cuatro elegantísimas oraciones que pronunció Cicerón contra Catilina, traduci das por el célebre segoviano Andrés Laguna. Esta obra ha merecido siempr…</t>
  </si>
  <si>
    <t>Dalp, Manuel Sánchez de</t>
  </si>
  <si>
    <t>Manuel Sánchez de Dalp</t>
  </si>
  <si>
    <t>…ejo de S. M., corregidor interino, y teniente primero de esta villa, y escri anít del nú mero de ella del cargo de D. Vicente de Ja Costa, el abintestato y juLio de acree dores de D. Manuel Sánchez de Dalp, á instancia de estos, y del defensor de los herederos alísenles, se ha maridado sacar á pública subasta por té mino de 30 dias una casa sita en la calle del Rclox, barrio de Doña María de Aragón, señalada con el núm. 11 de la manz. 554, como perteneciente á…</t>
  </si>
  <si>
    <t>Dalrnau, Francisco</t>
  </si>
  <si>
    <t>Francisco Dalrnau</t>
  </si>
  <si>
    <t>…arratalá; en Málaga en la de Carreras; en Palma de Mallorca en la de Carbonell; en Pamplona en la de Longas; en Bilbao en la de la viuda de Ibarguengoitia, y en Granada en casa de D. Francisco Dalrnau, profesor de matemáticas. Llamamientos afectuosos de nuestro Dios y Señor para que se convierta el al-, tna pecadora, y clamores del alma arrepentida para que el Señor la asista con su di vina gracia, con dos métodos muy devotos para asistir con fruto al sant…</t>
  </si>
  <si>
    <t>Damaret, Juan Bautista</t>
  </si>
  <si>
    <t>Juan Bautista Damaret</t>
  </si>
  <si>
    <t>508</t>
  </si>
  <si>
    <t>…s aspiran tes dirigirán sus memoriales al secretario de ayuntamiento en todo el mes de Mayo; pues el 24 de Junio debe .fijamente proveerse la plaza. Se desea saber el paradero(jde D. Juan Bautista Damaret, natural de Cherta, principado de Cataluña, profesor de medicina : hace 10 años que no se sabe de él: su última residencia fue en Albaladejo de la Mancha: cuya noticia se servirán co municar á D. Juan Lázaro, regente de la calcografía de la imprenta Real/quie…</t>
  </si>
  <si>
    <t>Damero, Juan</t>
  </si>
  <si>
    <t>Juan Damero</t>
  </si>
  <si>
    <t>1301</t>
  </si>
  <si>
    <t>1301 la Real y militar orden de S. Hermenegildo, regidor perpetuo de Palma, ca pital de aquel reino, y D. Juan Damero ,,sumiller de cortina de S. M. , ca ballero de la orden de S. Juan , dignidad de sacrista y canónigo de aquella iglesia catedral; con cuyo motivo dijo el primero r ,i Señor : Vuestro ayuntamiento de Palma , capital de Mallorca , siempre fiel á sus Soberanos,…</t>
  </si>
  <si>
    <t>Daoiz, Josef Moreno y</t>
  </si>
  <si>
    <t>Josef Moreno y Daoiz</t>
  </si>
  <si>
    <t>791 ESPAÑA. México 22 de Diciembre. Tima del Puente del Rey por el ejército Real. Oficio dirigido al Excmo. Sr. virey por el Sr. comandante general del egército del Sur el brigadier D. Josef Moreno y Daoiz. „ Excmo. Sr.: Con fecha it del actual me dice el comandante de las ar mas de Jalapa D. Miguel del Campo lo que copio: i, Comandancia militar de Jalapa-----El Sr. general de este egército y provincia con fecha 9 del corriente me dice lo que sigue: j, A las nu…</t>
  </si>
  <si>
    <t>Darquines, Josef</t>
  </si>
  <si>
    <t>Josef Darquines</t>
  </si>
  <si>
    <t>…nte. La persona que quisiere hacer postura en dicha especie de moneda lo egecatará dentro deí termino referido ante dicho señor juez y escribanía. ; Se desea saber el paradero del coronel D. Josef Darquines, ayudante que fue del general O-Donell en ei egército de Cataluña, para comunicarle un asunto que pue de serle de importancia. La persona que lo supiese tendrá' la bondad de avisarlo al teniente coronel D. Juan Rodríguez Calderón, calle de los Remedios, núm,…</t>
  </si>
  <si>
    <t>Daru</t>
  </si>
  <si>
    <t>…el abate Sieard, ei conde de Cessac, villar, el conde de Fontanes, el conde Francisco de Neufchateau, ei conde Bigot de Preameneu , el conde de-Segur , Lecretelle primogénito, el conde Daru, ReynOuard, Pieard, el conde Destutt-Tracy, Lemercier, Perseval- Grandmaison, el.viz conde de Chateaubriand, Lacretelle , Alejandro Duval, Campenon, Michaud , Aignau, de Jouy, Baour-Lormian, de Beausset, obispo de Alais, de Bonald, el conde Ferrand, el conde…</t>
  </si>
  <si>
    <t>Daubagna, Juan de Uroieta</t>
  </si>
  <si>
    <t>Juan de Uroieta Daubagna</t>
  </si>
  <si>
    <t>…á orden de Hill sobre Garesche, hermanos, de la Rochela: otra de 349 do blones, 19 rs. y 28 mrs. dada'eti París á 9 de Abril de 1808 por Behie y compañía á orden de J. Vises sobre D. Juan de Uroieta Daubagna y sobrino, de la Coruña, á pagar en Madrid: otra de 2237 pesos fuertes y 10 sueldos dada en Lisboa á 9 de Abril de 1808 por Jacinto Fernandez Dacosta Bandeira á orden de Jacobo Boto sobre Hope y compañía, de Amsterdan : seis de 65o, 670, 680, 690,700 y 110 do…</t>
  </si>
  <si>
    <t>Dávila, Francisco</t>
  </si>
  <si>
    <t>Francisco Dávila</t>
  </si>
  <si>
    <t>…a de Villaverde, Doña Mencía de Guzman, D. Mi guel de Abaurre, el concurso de S. Agustín de la villa de Carabajales, el convento de S. Agustín calzados de la ciudad de Valladolid, D. Francisco Dávila , Doria Isa bel Formento, D. Juan Antonio de la Rumbe, el convento de S. Quirce , órclcn de S. Bernardo de la ciudad de Valladolid, el convento de mínimos'de la villa de Mancera de abajo , las memorias de Alonso Vallejo y Doña Ana de Castro, el con vento de n…</t>
  </si>
  <si>
    <t>Dávila, Sancho</t>
  </si>
  <si>
    <t>Sancho Dávila</t>
  </si>
  <si>
    <t>…3.0: Hernán Cortés, Garcilaso de la Vega, D. Alonso de Ercilla, D. Pedro Calderón de la Barca, Miguel de Cervantes Saavedre, y D. Jo&gt;sef Patino.— Cuaderno 4.0: D. Antonio Agustín, D. Sancho Dávila, D. Juan de Austria, D. Alvaro de Bazan, Antonio de Nebrija, y D. Pedro Menendez Avilés.zzCuaderno 5 °: D. Juan de Austria, Fr. Luis de Granada, Martin de Alpizcueta, Pedro Chacón, D. Bernardino de Rebolledo, y D. Luis de Góngora.= Cuaderno 6.°: D. Alonso Tos…</t>
  </si>
  <si>
    <t>Davoust</t>
  </si>
  <si>
    <t>…s. Los accionistas del banco de Hamburgo han rehusado sancionar el arre glo concluido entre los comisarios hamburgueses y los de Francia, relativo á los capitales extraídos por el mariscal Davoust. Reclaman sus fondos por entero; pero no se hallan apoyados por ninguna potencia. PAISES-BAJOS - UN IDOS. Brusélas 29 ele Enero. En los años de 90 y 91 esta ciudad, que era entonces la capital de los Países-Bajos austríacos, dio un asilo generoso á los france…</t>
  </si>
  <si>
    <t>Decaen</t>
  </si>
  <si>
    <t>409</t>
  </si>
  <si>
    <t>…ias de Mr. Wiotti, comisario del segundo consejo de guerra de la primera división, — Al mismo tiempo está trabajan do el mismo fiscal para manifestar jurídicamente la conducta del general Decaen, asi antes como después de entrar el Rey en su capital. Rúan i.° de Abril. El Rey ha mandado entregar al prefecto del Sena-Inferior varias cantida des para que ponga en libertad á los que se hallan presos por no poder pagar sus deudas____El conde de Kergariou…</t>
  </si>
  <si>
    <t>Decano</t>
  </si>
  <si>
    <t>…El Excmo. Sr. D. Pedro Cevallos, primer Secretario de Estado y del Despacho, é interino del de Gracia y Justicia, comunicó al Consejo con fecha 6 del corriente por medio del limo. Sr. Decano de él la Real orden siguiente: ' &gt; * . ^ . ~ „ limo. Sr.: El Sr. Secretario del Despacho de Marinadme dice en 29 de: Mirzo último lo que sigue: Con consideración á el átráso’que sufre la Mari~; na en geñerál en el percibo de sus sueldos , tan notorio qué asci…</t>
  </si>
  <si>
    <t>…ULO DB' OFICIO. Circular del Consejo Real. El Excmo. Sr. D. Pedro Cevallos, primer Secretario de Estado y del Despacho, é interino del de Gracia y Justicia, ha comunicado al limo. Sr. Decano de él con fecha 4 de este mes la Real orden siguiente: ,,lhno. Sr.: El Sr. Secretario de Estado y del Despacho en Real orden de 2 del corriente me dice lo que sigue: ,, Informado el Rey nuestro Señor de que se introducen en la Península por la frontera de los…</t>
  </si>
  <si>
    <t>…ha 9 de este mes ha comunicado al Conselo el Exorno. Sr. Don Pedro Cevallos , primer Secretario de Estado y del Despacho , e interino del de Gracia y Justicia, por medio del limo. Sr. Decano de el de orden de S. M. la siguiente: „Ilmo. Sr.: El Sr. Secretario de Estado y del Despacho con fecha de 15 de Ju nio último me dice lo que sigue : ,, Con fecha de 9 del corriente he dirigido á los Capitanes generales de las Provincias de la frontera de mar…</t>
  </si>
  <si>
    <t>…ro Cevallos, primer Secretario de Estado y del Despacho, y encargado interinamente del de Gracia y Justicia» ha comuni cado al Consejo con fecha 2 de este mes, por medio del limo. Sr. Decano, la Real orden que sigue: „llmo. Sr.: Con fecha de 12 de Julio último me dice el Sr. Secretario del Despacho de Hacienda lo siguiente: „Para cumplir debidamente el obje to que el Rey se ha propuesto en el importante asunto del arreglo de arance les del Reino,…</t>
  </si>
  <si>
    <t>Decker</t>
  </si>
  <si>
    <t>…ítulo extraordinario de la orden de los Guelfbs, celebrado el día 14 de este mes,se recibieron de caballeros varios sugetos, entre otros los ge nerales Don, Murray y lord Hill. El ministro Decker, que presidió el capí tulo, dio en seguida un gran banquete. Se preparan muchas fiestas para celebrar la vuelta del duque de Cambridge. PRUSIA. Berlín 26 de Noviembre, Han circulado en estos dias varias noticias infundadas en orden á una pro* xima guerra entr…</t>
  </si>
  <si>
    <t>Degerando</t>
  </si>
  <si>
    <t>…u, Derales, Dupont de Nemours, el barón Reirihard, Guinguené, el príncipe deTalley'rand , el conde -Garan de Coulon , ei caballero Visconti, él conde Boissy de Anglas, Millin , el barón Degerando, Brial, Petit- Radel, Barbie-Dubocage, el conde de Lanjuinais y Gausin,,; Gail, Clávier, • Arnaui*.y-Duval, Bernardi, Boissonnade , el conde de Laborde, Walkenaer, Vanderbourg, Quatremere *( Etienne), Raoul-Rochette , Lefronne, Mollevant. La academia Real de…</t>
  </si>
  <si>
    <t>Delambre</t>
  </si>
  <si>
    <t>…1 le y Dumeril. Undécima sección. Medicina y Cirugía. Los señores Chevalier, Portad, el caballero Halle, el caballero Peiletan, el barón Percy, el barón Corvisar, y Deschamps. El caballero Delambre será secretario perpetuo para las ciencias matemá ticas, y el caballero Cuvier para las ciencias tísicas. La academia de las Nobles Artes conservará la organización y la distri bución en secciones de la cuarta clase del Instituto, y se compondrá del mo do sig…</t>
  </si>
  <si>
    <t>Delfín, Juan</t>
  </si>
  <si>
    <t>Juan Delfín</t>
  </si>
  <si>
    <t>…añez para su debido premio, pues ha sido Ja persona que mas ha trabajado, y á quien es toy muy agradecido, encontrándose aquel en ia edad propia para el mando. „ El segundo piloto D. Juan Delfín ha mandado la barca 1 2, en donde se embarcó á la salida de Cádiz. Para cuanto era necesario una persona de en tendimiento y arrestada, se presentaba, y á fuerza de tr-ab.-jar degradó tan to su salud , que en detrimento del servicio de S. M. falleció ya en la…</t>
  </si>
  <si>
    <t>Delgado, Francisco</t>
  </si>
  <si>
    <t>Francisco Delgado</t>
  </si>
  <si>
    <t>…de los famosos brigadieres Gar cía, Rehira, Santander, Arevalo, Madrid y otros. Dios &amp;c. Cuartel general de Suratá Febrero 23 de 1816. = Sebastian de la Calzada. = Señor teniente coronel D. Francisco Delgado.” „lo que traslado á V. para su satisfacción Stc,, Lo que traslado á V. S. para su superior inteligencia y satisfacción, despachándolo con posta á Guannre; y para lo mismo añado que por partes oficiales que he recibido de D. Simón Brito, oficial de la quinta…</t>
  </si>
  <si>
    <t>Delgado, Joaquín</t>
  </si>
  <si>
    <t>Joaquín Delgado</t>
  </si>
  <si>
    <t>…20. D. Blas María 20. D. Pedro Pacheco 20. D. Fernando Prieto 24. D. Juan Ballesteros 20. Don Ruperto Molinero 16. D Josef Brochero 40. D Manuel Palomares 30. Don Pabio Aviles 23 D. Joaquín Delgado 69. D. Sebastian Zahonero 60. D. Pe dro Espina 11 5. D. Manuel García 46. D. Francisco Meneses 4. D. Manuel Castellano 22. D. Antonio Salceda 10. D. Félix Mcdinilla 6. D. Manuel Parra 69. D. Juan Martin Parra 4. D. Francisco Carrasco 2. D. Vicente Ximenez 6.…</t>
  </si>
  <si>
    <t>Delgado, Lorenzo</t>
  </si>
  <si>
    <t>Lorenzo Delgado</t>
  </si>
  <si>
    <t>…esbítero de la Aldea del Rio de Calatrava; D. Francisco de la Roca y Arredondo, contador de la tesorería general; D. Antonio Josef Melgarejo , vecino de la villa de S. Cle mente ; D. Lorenzo Delgado, presbítero y comisario del Sto. Oficio de Se villa; D. Josef María Pau y Cánovas, vecino de Huesca; D. Ramón Anto nio Pico,.contador de la provincia de la Mancha; D. Josef de Alburruza, coronel de los Reales egérciros; D. Manuel Hernández , comisario ordenad…</t>
  </si>
  <si>
    <t>Denia, Josef Olivas y</t>
  </si>
  <si>
    <t>Josef Olivas y Denia</t>
  </si>
  <si>
    <t>…Ex tremadura á D. Demetrio Ortiz , alcalde del crimen mas antiguo de ella: para esta resulta á D. Josef Antonio Serrano; y para otra de alcalde del crimen de la misma audiencia á D. Josef Olivas y Denia, oidor de la de Canarias, Asimismo se ha dignado nombrar S. M. para el corregimiento de letras de la ciudad de Avila al auditor de guerra D, Mariano Ruiz Lorenzo: para el de Tordesillas á D. Joaquín Martínez Campaya: para el de Montejaque á D. Félix Fernandez…</t>
  </si>
  <si>
    <t>Dennewitz, Bulow de</t>
  </si>
  <si>
    <t>Bulow de Dennewitz</t>
  </si>
  <si>
    <t>…CETA DE MADRID DEL SABADO 30 DE MARZO DE 1816. PRUSIA. .Berlín &lt;T de Mario, El Rey ha mandado que todos los oficiales del egército lleven luto tres dias para Honrar la memoria del general Bulow de Dennewitz, que ha muer to en Koenigsberg. Este géneral salvó por dos veces la capital de la Prusia,. particularmente en la batalla de Dennewitz, cuyo honor se atribuló falsa mente ál egército sueco. CROACIA. Agram 24 de Febrero. Se ha publicado una orden de S. M. para…</t>
  </si>
  <si>
    <t>Desaix</t>
  </si>
  <si>
    <t>…egocio.’*---- La fecha de la carta de Vie na es algo anterior á las noticias que se han publicado. Er usé las jo de Enero. Acaban de llegar á esta ciudad el general Berthezane, el coronel Desaix, sobrino del célebre general de este nombre, muerto en la batalla de Marengo, y el antiguo prefecto Combe. El general Vandamme, que hacia algunos dias se hallaba en Cassel, pa rece que se dispone á pasar á la América. Se espera de un dia á otro :i Mr. Gambace…</t>
  </si>
  <si>
    <t>Despacho, Secretario del</t>
  </si>
  <si>
    <t>Secretario del Despacho</t>
  </si>
  <si>
    <t>…T I C u"l O DE OFICIO. El teniente general D. Francisco Xavier Abadía,, inspector general de América, ha participado, entre otras cosas , en oficio dirigido por extraordi nario al Sr. Secretario del Despacho, universal de la Guerra, con fecha de 4 de este mes, lo que .sigue: ,,Exorno. Sr.: Por un buque procedente de la Havana en 45 dias de na vegación he recibido noticias de Veracruz, que alcanzan ai 30 de Noviembre último, y con ellas el adjunto egemplar de la g…</t>
  </si>
  <si>
    <t>690</t>
  </si>
  <si>
    <t>…rden lo comunico á V. para su inteligencia y cumplimiento en la parte que le toca. Dios guarde á V. muchos años. Madrid 3 de Junio de 181Ó. Circular del Ministerio de Hacienda. El Señor Secretario del Despacho de la Guerra me dice en 3 del actual lo que sigue: Excmo. Sr.: Las repetidas quejas de los Capitanes generales de Provin cia sobre la imposibilidad de f rinarse con exactitud los estados mensuales del costo délas obligaciones militares, prevenidos en Reales ó…</t>
  </si>
  <si>
    <t>…dero de 1817. ARTICÜIO DE OFICIO. Circular del Ministerio de Hacienda. - Con fecha de 15 de Mayo de 1815^ se circuló por este Ministerio de' mi cargo la Real orden siguiente: „ El Sr. Secretario del Despacho de ía Guerra me ha comunicado con fe cha de 2 del corriente la Real orden que sigue: „E1 Rey se ha enterado de da representación del Tesorero general que me pasó V. E. con su oficio de 19 de Marzo último , en que con motivo de las dudas que ocurren á los Ha b…</t>
  </si>
  <si>
    <t>…RTICULO DB OFICIO. Circular de la Tesorería general de S. M. El Sr. Secretario de Estado y del Despacho de Hacienda con fecha 30 del mes próximo pasado me dice lo que copio: ,, El Sr. Secretario del Despacho de la Guerra con fecha 24 del corriente me dice que con la misma comunica al Inspector general de Infantería lo que sigue: ,, El Rey nuestro Señor se ha servido mandar que se extingan los de pósitos que se establecieron en la&amp; provincias por Regí orden de 4 d…</t>
  </si>
  <si>
    <t>…la Dirección general ele Rentas. El Excmó. Sr. Secretario de Estado y del Despacho de Hacienda con fe cha io del actual nos ha comunicado la resolución de S. M. siguiente: k „.El Sr. Secretario del Despacho de la Guerra ;en 29 del mes últinio me dice que con la misma fecha comunicaba al Capitán genéral de Castilla la, Vieja ló qüeJ sigue: V, He dado cuenta al Rey de 1aee? posición de V. E., f¿r cha 25 de Agosto ultimo, en que hacia presente á.S» M. que no obstan…</t>
  </si>
  <si>
    <t>…6. ' Circulares de la Dirección general de Rentas. 1.a El Excmo. Sr. Secretario del Despacho de Hacienda con fecha 20 de! corriente nos ha comunicado la Real orden que sigue: ,,E! Sr. Secretario del Despacho de ia Guerra con fecha 30 de Octubre próximo me dice lo siguiente: ,,Excmo. Sr.: Al Capitán general de Castilla la Vieja digo con esta fecha lo siguiente: He hecho presente al Rey cuanto V. E. expuso en 23 de Enero y 17 de Febrero últimos con motivo de una co…</t>
  </si>
  <si>
    <t>…ICIO* Circular dé la Dirección general de Rentas. Por el Ministerio de Hacienda con fecha n del presente mes se ha co municado á esta Dirección general la Real orden siguiente: El Sr. Secretario del Despacho de laGuerrame dice con fecha 9 del actual lo siguiente: „Excmo.Sr.: En vista de lo que ha expuesto al Rey nuestro Se-: ñor el Consejo Supremo de la Guerra en consulta de 8 de Noviembre último acerca de los medios que podrían adoptarse para auxiliar, el pago,…</t>
  </si>
  <si>
    <t>Despujoí, Josef María</t>
  </si>
  <si>
    <t>Josef María Despujoí</t>
  </si>
  <si>
    <t>…a 18 tuvieron la honra dé felicitar á SS. MM. y AA. por sqs augustos enlaces, á hombre del cabildo de la santa metropolitana iglesia de Valencia, los señores canónigos de la misma D. Josef María Despujoí, capelina mayor de las Descalzas Reales, consejero, honorario del de Castilla, y sumiller de cortina de S. M.j D. Valentín Zorrilla de Velasco, inquisidor fiscal del Sto. Oficio de corte „ y D. Lqís Exarque, caballero pensionado de Ja Real y ¿distinguida orde…</t>
  </si>
  <si>
    <t>Destutt-Tracy</t>
  </si>
  <si>
    <t>…ac, villar, el conde de Fontanes, el conde Francisco de Neufchateau, ei conde Bigot de Preameneu , el conde de-Segur , Lecretelle primogénito, el conde Daru, ReynOuard, Pieard, el conde Destutt-Tracy, Lemercier, Perseval- Grandmaison, el.viz conde de Chateaubriand, Lacretelle , Alejandro Duval, Campenon, Michaud , Aignau, de Jouy, Baour-Lormian, de Beausset, obispo de Alais, de Bonald, el conde Ferrand, el conde de Lally-Tolendal, ei duque de Levis, el du…</t>
  </si>
  <si>
    <t>Deugla</t>
  </si>
  <si>
    <t>…legado periódicos y cartas de Jamaica que alcanzan hasta 14de Setiembre: uno de ellos contiene dos cartas, por las cuales el gdnefal Morillo y D. Francisco Montalva hacen saber al almirante Deugla*, ^comandante en gefe de la isla,que el comercio con el continente español está abierto nuevamente. ' FRANCIA. París 18 de Noviembre. El marques de Ximenez acaba de recibir la cruz de S. Luis. Este caba llero se halló en la batalla de Fóntenoy; pero como no p…</t>
  </si>
  <si>
    <t>Deus, Marcelino</t>
  </si>
  <si>
    <t>Marcelino Deus</t>
  </si>
  <si>
    <t>…do Pulleiro, D. Joaquín Hernández, D. Eusebio Arróspide, D. Ramón González ,D. Domingo Balay y D. Vicente M itis.En trigonome tría esférica D. Francisco Galceran, D. Lino Pacheco, D. Marcelino Deus, y los citados Hernández, Arróspide, Bandujo , Pulleiro, González y Balay, feu cosmografía dichos Bajujo, Deus y Pulleiro. En geografía Hernández, Arróspide y Bandujo. En navegación Bandujo y Pulleiro. En la aplicación del álgebra á la geometría H rnanJez y A…</t>
  </si>
  <si>
    <t>…do Pulleiro, D. Joaquín Hernández, D. Eusebio Arróspide, D. Ra món González, D. Domingo Valay y D. Vicente Matis. En trigonometría esférica D. Francisco Gaiceran, D. Lino Pacheco, D. Marcelino Deus, y los citados Hernández, Arróspide, Bandujo, Pulleiro, González y Va lay. En cosmografía dichos Bandujo,Deus y Pulleiro. En geografía Hernán dez, Arróspide y Bandujo. En navegación Bandujo y Pulleiro. En la apli cación del álgebra á la geometría Hernández y…</t>
  </si>
  <si>
    <t>Diago, Tomas</t>
  </si>
  <si>
    <t>Tomas Diago</t>
  </si>
  <si>
    <t>…Vicente Veigi, D Josef Alonso, D. Juan Vega, D. Manuel Rodríguez Almeiras j D. Cayetano Cruz. En geometría D. Josef Pujadas, D. Fermín Galceran, D Josef Sada, D. Ignacio Palacios, D. Tomas Diago, y los citados D Josef Perez y D. Juan Pablo Rodríguez. En trigonometría plana D. Manuel Ban dujo, O. Cándido Pulleiro, D. Joaquín Hernández, D. Eusebio Arróspide, D. Ramón González ,D. Domingo Balay y D. Vicente M itis.En trigonome tría esférica D. Francisco…</t>
  </si>
  <si>
    <t>Díago, Tomas</t>
  </si>
  <si>
    <t>Tomas Díago</t>
  </si>
  <si>
    <t>128o sef Alonso, D. Juan Vega\ D. Manuel Rodríguez Almeiras y D. Cayetano Cruz. En geometría D. Josef Pujadas, D. Fermín Gaiceran, D. Josef Sada, D. Ignacio Palacios , D. Tomas Díago, y los citados D. Josef Perez y Don Juan Pablo Rodríguez. En trigonometría plana D. Manuel Bandujo, Don Cándido Pulleiro, D. Joaquín Hernández, D. Eusebio Arróspide, D. Ra món González, D. Domingo Valay y D. Vicente Matis. En trigonometría esférica D. Francis…</t>
  </si>
  <si>
    <t>Diaz, Francisco</t>
  </si>
  <si>
    <t>Francisco Diaz</t>
  </si>
  <si>
    <t>…ase- Premio, Juan Raubert: gratificación, Josef Bartolí. 3. a clase. Premio, Juan Calvet: gratificación, Josef Antonio RoseU. 4. a clase. Premio, Francisco Miguel : gratificación, D. Francisco Diaz. Señoritas premiadas. 1.a clase. Premio, Dora María Tecla de Castellarnau: gratificación, Ma riana Rivas : otra extraordinaria , Doña Narcisa de Castellarnau. 2.a clase. Premio, María Musté: gratificación, Francisca Vasallo. 3.a clase. Premio, Doña María Jose…</t>
  </si>
  <si>
    <t>Díaz, Josef</t>
  </si>
  <si>
    <t>Josef Díaz</t>
  </si>
  <si>
    <t>…no ha de escriturar por ahora mas que por un año, y después si diese gusto, y él estuviese bien, se es criturará por seis años ó el tiempo que quiera; dirigiendo los memoriales al Sr. Josef Díaz,Duezo, alcalde ordinario de ella. En la villa de Tembleque, provincia de la Mancha, se halla vacante la cátedra de preceptor de gramática latina, dotada con 290 ducados anuales, pagados por ter cios por la justicia, y ademas 15 rs. con que debe contribuir al…</t>
  </si>
  <si>
    <t>Díaz, Josef Julián</t>
  </si>
  <si>
    <t>Josef Julián Díaz</t>
  </si>
  <si>
    <t>…terceras partes del producto de una casa sita calle del Arenal, núm. 2, manz. 393 , cuyos rendimientos disfruta por alimentos de viudedad; se ha mandado se cite, llame y emplace á D. Josef Julián Díaz, á los herederos de D. Francisco del Valle, á los de D. Guillermo Norigat, á los del sastre Manuel Suarez , y á los de D. Gregorio de Tejada, que no concurrieron á dicha junta por no habérseles podido citar, á causa de no tener noticia de sus habitaciones, pa…</t>
  </si>
  <si>
    <t>Díaz, Juan Manuel</t>
  </si>
  <si>
    <t>Juan Manuel Díaz</t>
  </si>
  <si>
    <t>…so, tuvo la honra de felicitar á S. M. y Ai R. el vicario general de ellos el Dr. D. Pió Rafael Sánchez de León: otra de la villa de Camuñas, compuesta de D. Manuel María More no, D. Juan Manuel Díaz , D. Eusebio Romero , D. Juan Antonio López de la Oliva, D. Manuel Sánchez, D. Alonso María Sahagun y Chacón, y D. Lorenzo Romero: otra del ayuntamiento y clero de Villarubia de los ojos de Guadiana , compuesta de su alcalde mayor D. Salvador Gramage , de; su…</t>
  </si>
  <si>
    <t>Díaz, Lino</t>
  </si>
  <si>
    <t>Lino Díaz</t>
  </si>
  <si>
    <t>…az de la Peña y Ro zas , señor de Rivacardo, y teniente de fragata retirado ; D. Casimiro de Oren se y Rábago , abogado de los Reales Consejos, y del ilustre colegio de la cor te^ D. Lino Díaz de la Peña y Vera, subteniente del provincial de Bur gos; de los cuales el primero pronunció el siguiente discurso: „ Señor: Desde que la abadesa y comunidad de Huelgas, cerca de Bur gos, supieron el augusto enlace de V. M. con la Reina nuestra Señora Doña Ma…</t>
  </si>
  <si>
    <t>Díaz, Mariano</t>
  </si>
  <si>
    <t>Mariano Díaz</t>
  </si>
  <si>
    <t>…trucción de punzones en acero, é hincado de estos en matrices de cobre, de donde pueda surtirse el obrador de fundiciones de dicho Real establecimiento, á los "jóvenes pensionados D. Mariano Díaz, D. Antonio Macazaga, D. Matías Hidalgo y D. Lorenzo Barrio, á consecuencia de lo estipulado por dicho D. Josef en la condición tercera de su contrata, fecha 30 de Marzo de i8if, y precedido el informe que por escrito hace en esté acto, asistiendo al mismo lo…</t>
  </si>
  <si>
    <t>Díaz, Pedro</t>
  </si>
  <si>
    <t>Pedro Díaz</t>
  </si>
  <si>
    <t>…matrimonio, y comisión de la lima. Sra. Doña Lorenza de Oren se , abadesa del Real monasterio de Huelgas, cerca de Burgos, á nombre de su comunidad y monasterios de su filiación, D. Pedro Díaz de la Peña y Ro zas , señor de Rivacardo, y teniente de fragata retirado ; D. Casimiro de Oren se y Rábago , abogado de los Reales Consejos, y del ilustre colegio de la cor te^ D. Lino Díaz de la Peña y Vera, subteniente del provincial de Bur gos; de los cual…</t>
  </si>
  <si>
    <t>Diaz, PeJro</t>
  </si>
  <si>
    <t>PeJro Diaz</t>
  </si>
  <si>
    <t>…Rey nuestro Señor 1 or «u concerado enlace con la Serma Sra. Infanta de Portugal Doña Isabel Froct'c \ . y K.«^r *-u Real mano en nombre de la*&gt; meri1 dades de Castilla la Vieja, D. PeJro Diaz de la Peña y Rozar, señor de las Torres de</t>
  </si>
  <si>
    <t>Díaz, Sebastian</t>
  </si>
  <si>
    <t>Sebastian Díaz</t>
  </si>
  <si>
    <t>…ronada á D. Francisco Tomas Morales, comandan te de la vanguardia; á.D. Juan.;Gamacho„: capitán de Ingenieros; á D. Vi cente Sánchez Lima , capitán, de húsares, dé Fernando Vu ; ú D. Sebastian Díaz ,;capitaty-de,^apadqresqíá ]},. :Jo$ef Arguelles,&gt;capitan dei regimiento.de lá; Victoria ;pá Qfcfcndó;» capitán-graduado; de teniente coronel dél ?ext,o esóuadrpn de D. Miguel Riaúo, teniente de húsares de</t>
  </si>
  <si>
    <t>…jos en la formación y des empeño de las baterías, en que no han reposado dia y noche. „ Al teniente coronel del Real cuerpo de ingenieros D. Juan Camacho y al capitán de zapadores D. Sebastian Díaz les estoy muy reconocido, al pri mero porque dirigió la acción en que se derrotó á los enemigos en la isla dei Barú con ei capitán del batallón del Rey D. Simón Sicilia, habiéndose tam bién acreditado en otras operaciones de mar, y al segundo por su constanci…</t>
  </si>
  <si>
    <t>…e Sta. Cruz , idein de granaderos del regimiento del Rey, D. Miguel Andrés Fresno , capitán graduado de húsares de Fernando vn, D. Simón Sicilia, capitán del regimiento del Rey, y D. Sebastian Díaz, ídem de Zapa dores , grado de teniente coronel: á D. Joaquín Cornijo , teniente de cazado res de Barbastro, empleo de capitán efectivo : á D. Gregorio Valiente, tenien te de cazadores de Castilla, D. Manuel Ximenez, ídem de Barbastro , Don Francisco Ronquill…</t>
  </si>
  <si>
    <t>Die</t>
  </si>
  <si>
    <t>…conducente á d ebo concurso; apercibidos que si no lo hiciesen, Ies parará el perjuicio que haya lugar. Se desea saber para asuntos' iinportantas la existencia ó fallecimiento ele D. Die go Selonf, natural de Cartagena de Levante, avecindado en Guadalajara de Indias, ded'c.ido al comertio, y casado con Doña María Gertrudis Correa, natural de la misma ciudad: si pasó ó no i Vcracruz, como pensaba hacerlo en el ano de 1800; y en caso de haber f…</t>
  </si>
  <si>
    <t>s * D. Rodrigo Ximenez, Sto. Tomas de VilLinueva, Diego García de Paredes, y Fran cisco Pizarro. “Cuaderno i 2 : Josef Ribera , Pablo de Céspedes , D. Die o Velazquez de Silva, Alonso Cano, Bartolomé de Murólo, y Juan de Herrera. “Cua derno 13: D. Iñigo López de Mendoza, Juan Gines de Sepúlte 'a, hrarwisr.o de Salinas, F¡. Bcniio Gerónimo Fe je o, D. Alonso Perez de Guzman , y Rodrigo D iaz de Vivar. Se vende c…</t>
  </si>
  <si>
    <t>Diego</t>
  </si>
  <si>
    <t>…ue fabrica de lana., donde subsisten en la actualidad solo 70 pobres; y por las determinaciones de su Real junta de gobierno, y el. zelo y desinterés con que la dirige su director D. Diego de la Torre y Arce, canó nigo de ía santa primada iglesia, se ha vuelto á restablecer la citada fabrica de lana, en cuanto lo han permitido las circunstancias ^Labrándosecomo an tiguamente las ropas necesarias, para el vestuario de sus pobres, y también paños…</t>
  </si>
  <si>
    <t>Dieguez, Antonio</t>
  </si>
  <si>
    <t>Antonio Dieguez</t>
  </si>
  <si>
    <t>…público para que llegue á noticia de los interesados. Se ha remitido al alcalde mayor de la villa de Castellón de la Plana, remo de Valencia, una Real cédula de premio á favor del sargento Antonio Dieguez, solda do del regimiento caballería deAlmansa; y como no ha podido saberse su parade ro , cualquiera que tenga noticia de su existencia y residencia lo avise á dicho alcal de mayor, ó acuda el interesado ante el mismo señor á recogerla. Ensayos sobre Jos verd…</t>
  </si>
  <si>
    <t>Diez, Fermín</t>
  </si>
  <si>
    <t>Fermín Diez</t>
  </si>
  <si>
    <t>…ratados enlaces, se dignaron también S. M. y A. R. admitir á su presencia una diputación de Ciudad-Real , capi tal de la provincia de la Mancha, compuesta de su corregidor el Lie. Don Fermín Diez, de los regidores perpetuos D. Félix Martínez de Saavedra y D, Alonso Pedro Maldonado y Treviño , y del síndico personeroel Lie. Don Josef Antonio Arenas, los cuales expusieron á S. M. y A. R. los grandes y extraordinarios servicios que había hecho aquella pr…</t>
  </si>
  <si>
    <t>Diez, Juan Martin</t>
  </si>
  <si>
    <t>Juan Martin Diez</t>
  </si>
  <si>
    <t>…imiento. Aun cuando algún ciudadano en particular (que lo dudo) se cubriera con el negro borron de olvidadizo, este precioso monu mento no podrá menos de recordarle que el insigne D. Juan Martin Diez, el Empecinadoy es el generoso libertador de esta ciudad y su comarca. Este grande hombre es aquel valiente militar , que con solo un batallón de infan tería arrolló en este mismo pa^age mas de 2500 franceses, y les obligó á des amparar la ciudad y el campo l…</t>
  </si>
  <si>
    <t>Dio, Matías González</t>
  </si>
  <si>
    <t>Matías González Dio</t>
  </si>
  <si>
    <t>…os justos homenages de respeto y amor de los habitantes de aquella ciudad y,su tierra. 1. * En seguida fueron igualmente presentados aquel día á presenci&lt;ajde S. M. y A. los Sres. D. Matías González Dio^dado, alcalde de la villa de Marcheña, D. ¡Juan de Morillas y D. .Francisco Montero , ¡regidores de la misma, que- en nombre del ayuntamiento y vecindario »de aquella viflla cumpUme n tar jen á S. M. y A. por su feliz arribo, manifestándoles sus deseos de emp…</t>
  </si>
  <si>
    <t>Director</t>
  </si>
  <si>
    <t>…a de incendiarse los olives, v el estar alcemos años sin dar fruto, lo que tal vez habrá sido causa de que no se adopte; ofre ce un premio de 17^00 rs. vn. costeado por el Encino. Sr. Director, los de mas individuos, y por diferentes hacendados de olivos al autor de la mejor memoria, en que exponiéndose el origen v causa de esta enfermedad , se rioponga un remedio tan notoriamente económico v equitativo corro . Ucaz , y por ello de fácil - y cómoda…</t>
  </si>
  <si>
    <t>…r entregado las composiciones para archivarlas en secre taría^ á tir» de qtie pueda formarse idea de 1 rs pr-gresos que vayan haciendo los que se dediquen á este estudio, e bxemo. Sr. Director primero pronun cié un breve y expresivo discurso c»bte f. úti é irttresante de una ciencia que se debía generalizar, pues sus ern-■«. in.k uto* influyen en la prosperidad individual, y son los únicos para hacer id:/. &lt; una ua iou. Hiogió los rapi»dco ; remesa…</t>
  </si>
  <si>
    <t>Dnbur</t>
  </si>
  <si>
    <t>…6.=Firmado=Sálvador de Moxál” * : , ? f' ' /. . i k . - ‘ .. f ' ’ . ', , Extracto de una carta dirigida de' Fuerte Real, en .la Martinica , su fe cha ig de Agosto de jSi&amp;j por el Sr. Dnbur, intendente, d S. E. el Sr. ministro secretario de Estado de marina y las colonias, ntím. 8r. „Las noticias venidas de la isla de Sto. Tomas, y que se referían como ciertas, eran quedosjndependientes que ocupaban hacia tiempo la Margarita se habían apoderado…</t>
  </si>
  <si>
    <t>Doile</t>
  </si>
  <si>
    <t>9*7 de la Gran Bretaña le fueron presentados por lord Bathurst el general Doile, que está al servicio de España, y el general Cox, al de Portugal, á quienes c a R. confirió el título de caballeros. Idem 20. La gaceta del 17 anuncia que el Príncipe Regente ha mandado que el Parlamento, que estaba prorogado para el 24 de este mes, lo quede…</t>
  </si>
  <si>
    <t>Doiz, Anacivto Ton-n y</t>
  </si>
  <si>
    <t>Anacivto Ton-n y Doiz</t>
  </si>
  <si>
    <t>…sistema de balanza mercantil es enteramente inútil.__ D. Juan María Biec. El comercio que hace la metrópoli con sus Colonias e* so!o ventajoso eí los comerciantes en particular.___D. Anacivto Ton-n y Doiz. 1 oda prohibición ó imposición de derechos sobre los géneros ó mercaderías es una traba que entorpece el comercio exterior, y trastor na el que las provincias hacen entre sí.----D. Manuel Pcrez Jaimes. Los raí!amentos gr&lt; t* iule¿ producen obstáculos sobrema…</t>
  </si>
  <si>
    <t>Dolz, Jcsef</t>
  </si>
  <si>
    <t>Jcsef Dolz</t>
  </si>
  <si>
    <t>…grabados por D. Rafael Esteve y D. Tomas Enguídan* s : a iS rs. cada ur.a.—Vúia en perspecti va de la plaza nueva de la ciudad de . v gec ras, dibujada por ei coronel ce a.iiuexía D. Jcsef Dolz, y grabada por D. Tuinas Engrúdanos, a i 2 rs. {Se cor.t'nuara.) En virtud de providencia del Sr. D. Joaquín Almazan. de) Consejo de S. M., teniente corregidor de esta villa, á quien está cometí ca po Real fuuh.id ía er iceración de una huerta sita extra muro…</t>
  </si>
  <si>
    <t>Domingo</t>
  </si>
  <si>
    <t>…e haya lugar. El marques de Real Proclamación, vecino de la Havana, hace saber que Dona Mariana Saens, D. Josef Retortillo, D. Felipe Esmilch, D. Josef Gomara, Don Pedro Subviaga, D. Domingo de la Torre, D. Manuel García Tejada, D. Santiago Merino y D. Ignacio Yanci pueden ocurrir por sí ó sus poderes á cobrar de los bie nes de D. Gonzalo Recio Oquendo, marques de Real Proclamación, sus capitales y premios á que está comprometido en los autos que…</t>
  </si>
  <si>
    <t>…lo 20: el corregidor y su señora, del propio pueblo, 12 pares de zapatos y compostura de 12 sillas: D. Lúeas Moreno, del cor* crcio, 24 herrages: D. Josef Francisco Perez 24 id. : D. Domingo tía raya y Don Vicente Quintana 36 id.: Lorenzo Arcon i* pares dt -apatos*. Tr.re, de Blas, vecino de Montejo , cinco pares id.: el alcalde de fuer.: lupina 40 pares de alpargatas: la justicia de la Nava de Roa , provincia de Burgos, sie te camisas.</t>
  </si>
  <si>
    <t>Domínguez, Blas</t>
  </si>
  <si>
    <t>Blas Domínguez</t>
  </si>
  <si>
    <t>D. Felipe Crespo , D. Blas Domínguez, D. Joaquín Lumeras, D. josef García, D. Lázaro Canillas y D. Tomas Asensio. D. Manuel Fernandez, D. Bernardo de la Iluerga y D. Andrés Redonzo lo fueron igualmente con unos lazos de distinción. Todas estas condecoraciones, colocadas en ricas bandejas, con la…</t>
  </si>
  <si>
    <t>Domínguez, Jaime</t>
  </si>
  <si>
    <t>Jaime Domínguez</t>
  </si>
  <si>
    <t>…sonas de su aprecio que acaban de favorecerlos con su visita , recor darán siempre con placer el dia 9 de Agosto, digno de anotarse con piedra blanca en los fastos de la compañía. D. Jaime Domínguez, vocal de la Real junta de comercio de Cataluña» diputado en corte en la de diputados consulares, tuvo la honra de ser admi tido ei 31 de Agosto último á besar la Real mano de S. M. para ofrecerle a</t>
  </si>
  <si>
    <t>Donadieu</t>
  </si>
  <si>
    <t>…do obsequiado por el oónsul y los comerciantes de su nación. En la gaceta ministerial se ha insertado una lista de los oficiales retirados que ofrecieron su" servicios al teniente general Donadieu cuando los aconte cimientos de Grenoble. En consecuencia de su adhesión muchos de aquellos oficiales han vuelto al servicio activo, y se espera que también sean otros re puestos en sus destinos. Se ha reunido ya la suficiente cantidad de bronce para fundir la…</t>
  </si>
  <si>
    <t>…vino á esta ciudad, cuyas calles estaban hermosamente adornadas. Grenoble ro de Junio. El consejo del departamento del Isere, deseando manifestar publicamente su agradecimiento al general Donadieu por haber salvado á este país en la noche del 4 al 5 de Maj o, ha determinado regalarle una espada ricamen te guarnecida.</t>
  </si>
  <si>
    <t>Ayer se publicó la sentencia contra Didier por el tribuna! precostal, la cual se comunicó el dia mismo ai general Donadieu. El reo fue condenado á la pena de muerte como culpable de haber dirigido una conspiración con el objeto de mudar el gobierno, de excitar los habitantes á amarinarse contra la autoridad Real, de provocar á la guerra civil, y de haber hecha resistencia á las t…</t>
  </si>
  <si>
    <t>Doñamayor, Manuel</t>
  </si>
  <si>
    <t>Manuel Doñamayor</t>
  </si>
  <si>
    <t>426</t>
  </si>
  <si>
    <t>…ondos necesa rios de su bolsillo secreto. ESPAÑA. Madrid 26de Abrih El dia 20 del próximo pasado Marzo se presentaron á felicitar á S. M. á nombre de la ciudad de Murcia los Sres. D. Manuel Doñamayor, maestrante de la Real de Ronda , corregidor político de aquella capital, y D. Fran cisco López de Aguiíar, regidor perpetuo de la misma , y alguacil mayor segundo del tribunal de Inquisición de aquel reino; el primero de estos dijo: „ Señor: Vuestra ciudad d…</t>
  </si>
  <si>
    <t>Donnadieu</t>
  </si>
  <si>
    <t>…retirados para que acudiesen á Grenoble en cierto día señalado. El 4 por la mañana supo el prefecto que se formaban cuadrillas en Vizile y Mure, pueblos inmediatos á Grenoble. El general Donnadieu, coman dante del departamento, tomó inmediatamente las disposiciones convenientes para dispersar á los sediciosos e inutilizar sus tentativas. A este fin hizo dis tribuir cartuchos á las tropas que manifestaban los mejores sentimientos , y les mandó preparars…</t>
  </si>
  <si>
    <t>…e los facciosos, ni con los gritos horribles que lan zaban, el destacamento,después de haber hecho una descarga, los embistióá la bayoneta gritando viva el Rey* En este momento el general Donnadieu * después de haber mandado á los habitantes que pusiesen luces en las ventanas, y que se estuviesen quietos en sus casas y se presentó al frente de las valientes tropas que mandaba. Unos cuantos cañonazos á metralla bastaron para poner en fuga á los sedicioso…</t>
  </si>
  <si>
    <t>Donoughmore</t>
  </si>
  <si>
    <t>…á la cámara de los comunes por conducto de Mr. Grattan , y la otra á. la misma cámara por medio de Mr- Parnell. Las dos peti ciones á la cámara de los pares serán presentadas por lord Donoughmore, que reúne la confianza de uno y otro partido. FRANCIA. , . ;1 Nanct .8u.de Marzo, Habiendo sido herido por un soldado ruso el adjunto del corregidor de Lenoncourt en el mes de Octubre anterior, el conde de Woronzoíf, coman dante en gefe de la división rusa d…</t>
  </si>
  <si>
    <t>Dorre, Mam Ramona Esparza y</t>
  </si>
  <si>
    <t>Mam Ramona Esparza y Dorre</t>
  </si>
  <si>
    <t>…n Madrid á D. Francisco San tiago Curramolino, calle de Luzon , núm. 3, cuarto tercero; en Valladolid á Don Simón Pino Fernandez, procurador de aquella chancillería; en Pamplona á Doña Mam Ramona Esparza y Dorre, y en el lugar de Asiain de Navarra al presbítero D. Josef J oaqutn Ibañez, beneficiado de dicho lugar; y en el caso que haya falleci do y dejado sucesión, ó perdona que represente sus derechos, igualmente se desea saber quien sea estampara instruirla de asun…</t>
  </si>
  <si>
    <t>Doventon</t>
  </si>
  <si>
    <t>…nuestro principal baluarte en aquel pais. Sin embargo fue devuelta al Scindiah por lord Corn— "Wallis ,de orden expresa de nuestro Gobierno. El egército de Madras , al man do del coronel Doventon , en fuerza de 50© hombres, estaba reunido en Elichpoor: las tropas auxiliares del Nizam y del Peishwa se hallaban en Jatil— na. Todas estas fuerzas se consideraban suficientes para contrarestar al Scin diah y al Rajjh de Berah; ademas de lo cual el egércho d…</t>
  </si>
  <si>
    <t>Dr</t>
  </si>
  <si>
    <t>…la sentencia de degradación , pronunciada por dicho Sr. limo. , Señores ? Irnos, y dignidades, asociados según lo dispuesto por el santo concilio de Trento, que lo fueron el limo. Sr. Dr. D. Antonio Bergosa y Jordán, obis po de Antequera: el limo. Sr. marques de Castañiza , obispo electo de Durango: el Sr. Dr. D. Joscf Mariano Beristain , deán de esta santa iglesia : los señores canónigos Lie. D. Juan de Sarria y Alderete , chantre: Dr. D. Ju…</t>
  </si>
  <si>
    <t>…esidencia de algunos de dichos acreedores, ha mandado se les haga notorio por medio de este periódico para su concurrencia. En virtud de providencia de 10 de Junio de este año del Sr. Dr. D. Salvador Roca, presbítero, teniente vicario de esta villa , se ha mandado sacar á pública sub asta por termino de ios 30 dias de la ley la mitad de una casa propia de D. Joset</t>
  </si>
  <si>
    <t>…ral el martes de cada semana. Continuación de las estampas que se renden en la Rea! Calcografía, sita en la imprenta Real. Diez vistas del Real Sitie de A-.aniuez,. dibujadas po** D. Dr min go de Aguirre, espitan del Real cuerpo ce Irgcnieros, grabadas por I&gt;. utl Salvador Carmena, D. Fernando Selma* y tires buenos profesores: cada rst¿ mpa a *0 rs. Estas estampas y las anunciadas c:¡ la gaceta antericr sets en pliego marca imperial. En plie…</t>
  </si>
  <si>
    <t>…el despacho de la imprenta Real. Se suscribe en dicho despacho, y en las provincias en todas las ad ministraciones principales y agregadas de correos. En virtud de providencia del Sr. Dr. D. Francisco Josef de Mardones, pres bítero, teniente vicario de esta villa de Madrid y su partido, y por el oficio del notario de número D. Juan Francisco de Relagos, se ha mandado sacar á pública subasta la mitad de una casa sita en la cálle de la Magdalen…</t>
  </si>
  <si>
    <t>Dr, Je Antequera</t>
  </si>
  <si>
    <t>Je Antequera Dr</t>
  </si>
  <si>
    <t>…esen en todo lo concerniente á la jurisdic ción eclesiástica. El limo. Sr. arzobispo electo de esta santa iglesia metropolitana, con sos asistentes, qoe lo fueron los limos. Sres. obispo Je Antequera Dr. D Anto nio Bergosa y Jordán, y obispo electo de üurango marques de Castañiza* s</t>
  </si>
  <si>
    <t>Droizlhet, Esteban</t>
  </si>
  <si>
    <t>Esteban Droizlhet</t>
  </si>
  <si>
    <t>…o Gu ierrez. £1 Sr. D. Tadeo Soler, del Concejo de Si M. r alcalde decano de la Real casa y corte, se fii servido convocar á’junía general á Jos acreedores á la extinguida casi de D. Esteban Droizlhet y compañía para el domingo 29 de Setiembre'próximo á lis hueve de su mañana én la posada de S. S., calle de Fuencarral, pasada la casa de Astrearena: lo que se hace saber á dichos acreedores por el presente para que *c ncurran por sí ó apoderado, autorizado e…</t>
  </si>
  <si>
    <t>Dueñas, Josef Antonio</t>
  </si>
  <si>
    <t>Josef Antonio Dueñas</t>
  </si>
  <si>
    <t>…la de Blanco; en Zaragoza en la de Pardo; en Bárgos en la de Alvarez; en Segovia en la de Alejandro; en Cuenca en la de Mariana; en León en la de Candanedo; en Avila en la casa de D. Josef Antonio Dueñas, agen te procurador; en Murcia en Ja de Benedito, y en Toledo en ia de Hernández. Pláticas ó instrucciones familiares sobre las epístolas y evangelios de todo el ano, y de las principales fiestas que celebra la Iglesia ; como asimismo sobre las ora ciones y c…</t>
  </si>
  <si>
    <t>Dulce</t>
  </si>
  <si>
    <t>…l Sto. Rey D. Fernando el iii , de tan extraordinaria virtud que no quiso ser abadesa: Doña Blanca, hija de D. Alonso iii, Rey de Portugal: Doña Blanca, hija del Infante D. Pedro: Doña Dulce, hija de los P^eyes D. Alonso y Doña Teresa: Doña Leonor, hija de D. Fernando el iv: Doña María de Aragón, hija de D. Fernando v de Aragón: Doña Elvira , hija de los Reyes de Navarra: Doña Leonor de Castilla, nieta de D. Pedro el Jus ticiero: Doña Ana de Aust…</t>
  </si>
  <si>
    <t>Duncan</t>
  </si>
  <si>
    <t>…ue 31 muertos y 113 heridos; total 144. En' la acción del Cabo de S. Vicente había 15 velas de línea con, 10® hombres , y hubo 73 muertos y 227 heridos; total 300. En la acción de lord Duncan de it de Octubre de 1797 habia 16 bu ques , dos de á 50, que conducían 85® hombres, y hubo 191 muertos y 560. heridos; total 751. En la batalla del Nilo el i.° de Agosto de 1798 entraron en acción 14 buques de línea con-85® hombres, murieron 218, y fueron her…</t>
  </si>
  <si>
    <t>Dupont</t>
  </si>
  <si>
    <t>…seo en el norte de América par Pablo S'wmim, que fue dos años in dividuo de la legación rusa en. el norte de América. Idem 25?. Ayer dio S. M. una audiencia particular al general conde Dupont. En una carta de la Nueva Orleans de 20 de Agosto se contienen las no ticias siguientes, que son de bastante interes para el -comercio 1 ,, Los corsa-; ríos de Cristóbal (llamado Rey de Haitíj no tienen la menor consideración? pero Petion , que domina en el m…</t>
  </si>
  <si>
    <t>Duque</t>
  </si>
  <si>
    <t>45</t>
  </si>
  <si>
    <t>…ro de 1816. ~D. Bartolomé Munosr. 2. a El Excmo. Sr. D. Tomas Moyano, Secretario de Estado y dél Des pacho de Gracia y Justicia, comunicó al Consejo, por medio del Excelentí simo (Sr. Duque dei Infamado, Presidente de él, con fechá i 1 de'Neviefribre del ano próximo pasado vía Real; prden siguiente :&gt; „ Exorno. Sr.: Con fecha de 7 del corriente me dice el Sr. Secretario del Despacho de Hacienda ló que sigue:</t>
  </si>
  <si>
    <t>…ausas de estado: 5 o® rs. librados en los mismos términos que la anterior partida, con fecha de 9 de Diciembre último: una letra de 10835 rs*. &gt; giradi de Cádiz á favor de! Excmo. Sr. Duque presidente del consejo contra la casa de los once M;queletorena, del comercio de esta corte , endosada por S. E. al Sr. Gobernador de la sala en 21 de Febrero de este año, y percibida por Moreda *. 17490 rs. entregados al mismo de las multas impuestas por la…</t>
  </si>
  <si>
    <t>…Stuardos, de los Reyes de Saxonia y Polonia, y con las mismas casas Real de Francia e Imperial de Austria, son bien notorios. Trasladada á España por su mitri nonio con el Excmo. Sr. Duque de! Infamado en el ano de 17 58, comenzó desde luego á dar muestras de ¡as virtudes que han resplan decido en todo ei curso de su vida. Mientras casada fue constantemente un</t>
  </si>
  <si>
    <t>Dur, María</t>
  </si>
  <si>
    <t>María Dur</t>
  </si>
  <si>
    <t>…tinuará todos los lunes, miércoles y viernes de cada semana. Habiéndose reclamado en el año de 1808 58 vales Rea'es de distintas creacio nes por Doña Juana Bertomiu, y después por Doña María Dur&gt;n , su heredera, en la audiencia del Sr. D. León de-la Camara Cano , del Consejo de S M. , primer te niente corregidor de esta villa, y escribanía del número de D. Sant ago E'tepar, se pidieron á los señores directores del Crédito púbíico remitiesen al juzgad…</t>
  </si>
  <si>
    <t>Duran, Josef María</t>
  </si>
  <si>
    <t>Josef María Duran</t>
  </si>
  <si>
    <t>…el Avapies á 36 rs. en pergamino y 45 en pasta. Elementos de terapéutica y materia médica, seguidos de un nuevo ensayo sobre el arte de formular: por J. L. Alibert; traducidos por D. Josef María Duran: tres tomos en 4.0 con una lámina, á 83 rs. en pasta. Se hallará en casa de la viuda de Barco López, calle de Ja Cruz, y de Rodríguez, cálle dejas Carretas. Instrucción pastoral de los limos. Sres. obispos de Lérida, Tortosa, Barcelona, Urgel, Teruel y Pamplo…</t>
  </si>
  <si>
    <t>Durand, Francisco</t>
  </si>
  <si>
    <t>Francisco Durand</t>
  </si>
  <si>
    <t>…esta villa, se cita, llama y emplaza á los tenedores de 58 vales Reales de diversas creaciones que se hallan retenidos judicial mente á instancia de Doña Juana Bertumui, viuda de .D. Francisco Durand , que los reclamó como pertenecientes, á ella., para que en el término de 30, dias, contados desde el r 2 del corriente mes, acudan á su juzgado y por la escribanía de número de D. Santiago de Estep'ar á deducir sus acciones; apercibidos que no comparecien do…</t>
  </si>
  <si>
    <t>Durango, Francisco</t>
  </si>
  <si>
    <t>Francisco Durango</t>
  </si>
  <si>
    <t>…nuel Corte*; D. Josef María de Aguirre, teniente goberna dor subdelegado de Rentas de Cantabria; D. Antonio Reguera., regidor de la Coruña; D. Mariano Moxo, maestrante de Ronda, y D. Francisco Durango, vecino de Santander. Cruz de mimero A D. Genaro Azcona y Balanza, oficial 'segundo primero de la secreta ría del Despacho de Gracia y Justicia. Opción a cruz de número A D. Josef Antonio Larraz , oficiab mayor primero de la secretaría del Despacho de Haciend…</t>
  </si>
  <si>
    <t>Durazzo</t>
  </si>
  <si>
    <t>por el amor que le manifestaron en los años pasados, ha enviado al Sr. Durazzo la serie de todas las medallas de oro acuñadas durante su pontificado. Este presente iba acompañado de una carra, que será un monumento perpe tuo de honor para la casa de.Dunazzo. El general Legarde, comandante de Nimes, ha sido condecorado por el Rey de Prus…</t>
  </si>
  <si>
    <t>Dusay, Josef María</t>
  </si>
  <si>
    <t>Josef María Dusay</t>
  </si>
  <si>
    <t>…os semblantes, era tal, que apenas podia la severa disciplina á que están tan acostumbrados conte ner los impulsos de su 'gozo y los deseos de vitorear á su Monarca. El bri gadier D. Josef María Dusay , comandante del batallón , previno los deseos de sus soldados y oficiales, y prorumpió en vivas, que fueron repetidos con la mas sincera efusión por todos los individuos del batallón. Asi que S, M. se apeó, y manifestó su designio de visitar el hospital del…</t>
  </si>
  <si>
    <t>i°34 pector, el comamJante y capitanes del batallón; y se dignó últimamente honrar con su presencia el alojamiento del brigadier D. Josef María Dusay. A estos rasgos de su paternal bondad por la suerte de sus defensores añadió el Monarca otras de su Real generosidad , indultando la vida á un soldado condenado por el consejo de guerra, y concediendo otras gracias, que dejaron á todos enteramente penetrados…</t>
  </si>
  <si>
    <t>Dutari, Anacleto Fagoaga y</t>
  </si>
  <si>
    <t>Anacleto Fagoaga y Dutari</t>
  </si>
  <si>
    <t>…nio Fernandez de Quesada por el de Hacienda , nombrando por Fiscal á D. Bernardo Mozo Rosales, Fiscal antes, y ahora Ministro del Consejo de Hacienda; y para Secretario con voto á D. Anacleto Fagoaga y Dutari, Ministro de la Chancillería de Granada, con plena jurisdicción y facultades para conocer única y privatimamente de la restitución de las propiedades secuestradas ó confis cadas á los franceses no domiciliados en estos Reinos, y de todos los nego cios é incid…</t>
  </si>
  <si>
    <t>Dutarl, Anacleto de Fagoaga y</t>
  </si>
  <si>
    <t>Anacleto de Fagoaga y Dutarl</t>
  </si>
  <si>
    <t>…se anunciase su insta lación en la gaceta para noticia y gobierno de los interesados; previniéndo les que dirijan sus redamaciones por la secretaría de la junta, que al cargo del Sr. D. Anacleto de Fagoaga y Dutarl se halla establecida por ahora en la calle de Preciados, núm. 1 7, cuarto principal, casa del oficial may’or in terino de l.i misma D. Pedro Xavier de Vera. Ei Rey nuestro Señor se ha servido conceder su Real permiso á D. Josef González lV-toruia y Dnmmpuez,4…</t>
  </si>
  <si>
    <t>Duvernct, Mouton</t>
  </si>
  <si>
    <t>Mouton Duvernct</t>
  </si>
  <si>
    <t>…ues de Ahremberg y d^Ursel son socios honorarios de ella. FRANCIA. París 29 de Julio.„ El viernes á las siete de la mañana se egecutó la sentencia de muerte pro nunciada contra el general Mouton Duvernct. Escriben de Bruselas con fecha de 25 de Julio, que habia llegado á aque lla ciudad el duque de Susex, y que se esperaba también allí para mediados de Agosto al duque de Wellington.. ESPAÑA. Cuenca j de Agosto* Continúan las felicitaciones hehas d S. M. en es…</t>
  </si>
  <si>
    <t>Duvernet, Mouton</t>
  </si>
  <si>
    <t>Mouton Duvernet</t>
  </si>
  <si>
    <t>…e exige la prudencia. A pocos oficiales se Íes permite ba jar á tierra, y á veces los capitanes mismos no obtienen este permiso. FRANCIA. París 2 7 de Febrero. . Se asegura que el general Mouton Duvernet, comprendido en la primera orden de 24 de Julio último, ha sido arrestado en Montbrison. Por orden del ministro de la Policía general, Mr. Verni, antiguo sub prefecto de Wessemburgo, ha tenido que salir de la ciudad de Strasburgo y retirarse á Soissons, en do…</t>
  </si>
  <si>
    <t>…lo cual roga mos á Dios que os tenga en su santa guarda. Dada en el palacio de las Tu nerías á 19 de Julio del año de gracia de 1816, y 22 de nuestro reinado. = Luis.” El teniente general Mouton Duvernet fue condenado á muerte el 19 de este mes por el consejo de guerra de la décimanona división militar residen te en León, de cuya sentencia ha apelado el reo. Su esposa llegó ayer de León á esta capital; y habiéndose echado á los pies del Rey implorando clemenc…</t>
  </si>
  <si>
    <t>Éathurst</t>
  </si>
  <si>
    <t>332</t>
  </si>
  <si>
    <t>…rios vocales opinaron que esta propuesta, equivalente áuna cen sura general del ministerio, era demasiado vaga, y abrazaba tantos puntos, que no podia producir utilidad alguna. El conde Éathurst entró en largas explicaciones sobre los diversos asun tos de queja. Hizo ver que ya se habia ventilado otras veces el punto de Is política exterior; que el estado militar acababa de discutirse en la cámara de los comunes; que el proyecto de licenciar el egérc…</t>
  </si>
  <si>
    <t>Eaureano</t>
  </si>
  <si>
    <t>…r á subtenientes del Real cuerpo de Artillería en premió de su constante aplicación , aprovechamiento y buena conducta eo la academia Trulitar de Segovia; á Tos caballeros cadetes D. Eaureano, ü£uloaga y del Arco , D. Luis ,C^s.ti.llá y de Castilla ,, D. Fran-, ciscó Castilla y/4e Castilla p.j.Bartoloméy Spldevilla D. Andrés Calera, yiRosas., D.; juáin itiéVI&gt;ios.1Dig^"rdenMojíes, D., Jo§ef Vernaci y; Aguado ,&lt; D. Rasrion tQrtii rdatMon$eUía.n¡ól…</t>
  </si>
  <si>
    <t>Echalecu, Blas</t>
  </si>
  <si>
    <t>Blas Echalecu</t>
  </si>
  <si>
    <t>…lace, á nombre de la M. N. y M. L. ciu dad de Viana , cabeza del principado del reino de Navarra, el limo. Sr. conde de Torre Muzquiz, del supremo Consejo y Cámara de Indias, y el Sr. Don Blas Echalecu, dignidad de chantre de la santa iglesia de Santiago, y sumi ller de cortina de S. M.; en cuyo acto dijo el primero á S. M. lo siguiente: „ Señor: La lealtad y amor de esta ciudad á sus Soberanos ha sido en to dos tiempos, es y será en los que sucedan, la div…</t>
  </si>
  <si>
    <t>Echandia, Marcos de</t>
  </si>
  <si>
    <t>Marcos de Echandia</t>
  </si>
  <si>
    <t>…sus casas dispersas en el campo, cuya dotación es de 600 ducados , pagados por trimestres de los fondos comunes y un real por visita. Los pretendientes remitirán sus memoriales á D. Marcos de Echandia, secretario de ayuntamiento, que se admitirán hasta el dia 30 del corriente. Se halla vacante la plaza de médico de la villa de Leganes por jubilación de su actual D. Josef Fraile, su dotación en el dia son 7700 rs. anuales, cobrados por la justicia; pero lue…</t>
  </si>
  <si>
    <t>Echevarría, Josef Giménez</t>
  </si>
  <si>
    <t>Josef Giménez Echevarría</t>
  </si>
  <si>
    <t>…: para la de la villa del Cerro á D. Antonio Morco é loza: para la del Burgo de Osma á D. Juan Galban Valiente: para la de Gerga á D. Miguel Antonio Compani; y para la de Cerezo á D. Josef Giménez Echevarría. Se halla vacante ía plaza de maestro de primeras letras de la ciudad de Guadalajítra, dotada en 300 ducados anuales pagados mensualmente por el mayordomo de propios* y ademas un real que paga mensualmente cada niño de leer, y dos los de escribir y contar. Lo…</t>
  </si>
  <si>
    <t>Echeverría, Juan Felipe de</t>
  </si>
  <si>
    <t>Juan Felipe de Echeverría</t>
  </si>
  <si>
    <t>…8 dineros id. id. á la órderr de Choreau y hermanos sobre Bastiat y Mondar, de Bayona , á pagar en París: siete de 4^00,5400,66co ,7500,8300,8700 y 9® libras id. id. ¿ la orden de D. Juan Felipe de Echeverría sobre id. id.: otra de 6733 id. 12 sueldos id. id. á la orden de Daquene Dospiíal é Iturbide sobre id. id.: otra de 2740 lib. id. id. á la orden de D. Santiago Bermejo sobre Rougemont de Lowemberg, de París: otra de 500 pesos fuertes dada en Cartagena en io.d…</t>
  </si>
  <si>
    <t>Echeverría, Juan Vives y</t>
  </si>
  <si>
    <t>Juan Vives y Echeverría</t>
  </si>
  <si>
    <t>…Dios guarde á V. S. muchos años. Madrid 20 de Febrero de 18 id. Por el justo aprecio que han merecido al Rey los distinguidos méritos y los particulares y amargos sufrimientos de D. Juan Vives y Echeverría por su constante fidelidad, se ha servido S. M. conferirle los honores de Inten dente'de egército, y nombrarle Superintendente de la casa de moneda de Chile, con el sueldo de su dotación, continuándole el medio de Intendente de Huancavelica hasta que tome pos…</t>
  </si>
  <si>
    <t>Echeverría, Manuel</t>
  </si>
  <si>
    <t>Manuel Echeverría</t>
  </si>
  <si>
    <t>…de la formación de las letras hasta lo último de la gramá tica del idioma egerciiaron doblemente, á saber, por escrito y en voz: del mismo modo etLCuanto á la aritmética común ; y D. Manuel Echeverría tam bién manifestó Wb conocimientos en la geometría. Todos los alumnos mere cieron tanto la pública compasión, como el elogio; pero entre ellos se dis tingue notablemente dicho Echeverría, á quien se hicieron á propósito pre guntas difíciles y arbitrarias, pa…</t>
  </si>
  <si>
    <t>Echezuria, Juan Josef</t>
  </si>
  <si>
    <t>Juan Josef Echezuria</t>
  </si>
  <si>
    <t>…D. Fernando Gaver, el sargento mayor del regimiento de Badajoz Don Joaquín Gayón, el teniente coronel D. Luis Clouet, ei subteniente de dra gones retirado D. Josef Mariano Zavala, D. Juan Josef Echezuria, vecino de Caracas; el coronel del Real cuerpo de ingenieros D. Josef Parreño; Don Juan Antonio de Rojas Queipo, racionero de la santa iglesia de Caracas; Don Domingo de Mier y Mioño, maestrante de Sevilla; D. Ignacio Canivell, consejero de Hacienda; D Josef…</t>
  </si>
  <si>
    <t>Eduardo</t>
  </si>
  <si>
    <t>…ef Gallinaus: dos de á 300 pesos, el mismo encabezamiento y creación, con los números 80982 y 84537, y endosados últimamente el uno á D. Eduardo B. Iitymaurice, y el otro al mismo D. Eduardo: 13 de 150 pesos, creación asimismo de Enero de 1808, señalados con los números 241844, 262123, 264173, *83416, 291249, 29*333* *9374* * 996110, 308592, 317537* 3356?7» 343°5 2 f 343°75 » encabezados asimismo al citado Adanero, y endosados últimamente seis de…</t>
  </si>
  <si>
    <t>…Gallinaus: dós dé á 300 pesos, el mismo encabezamiento y crea.ion, con los nú meros 8098*2 y 84337 , y endosados últimamente el uno á D. Eduardo B. Ittymaurice, y el otro al mismo D. Eduardo: 13 en los miamos términos, de 150 pesos, creación tafnbien de Enero de 1808, señalados ccn los números 241844, 262123, 264173, 283416, 291249, 292333, 293742, 296120, 308592, 317537* 335607, 34305,2 y 343075, encabezados asimismo al citado Adanero, endosados…</t>
  </si>
  <si>
    <t>Ee</t>
  </si>
  <si>
    <t>…, ofreció una recompensa de 2500 fran cos en favor del brigadier y de los gendarmas de la brigada de la Ferte-Milon, que tan esforzadamente arrestaron á los hermanos Eallemant, ai general Ee— febvre- Desnouettes, y á los que les acompañaban. Sí no hubieran ocurrido las circunstancias pasadas esta deuda del reconocimiento público estaría ya satisfecha; pero no tardará en serlo, gracias á la actividad del prefecto del Sena y Marne. Restablecida la…</t>
  </si>
  <si>
    <t>Egua, Andrés</t>
  </si>
  <si>
    <t>Andrés Egua</t>
  </si>
  <si>
    <t>…la Nueva ; y habiendo tenido el debido cumplimien to la soberana resolución de S. M., ha declarado el consejo de Guerra de ge nerales en el celebrado en 5 de Abril ultimo, que el coronel D. Andrés Egua guirre y los paisanos D. Domingo Acacio Cambronero y Vicente Villatela queden libres de todo cargo, sin que la prisión que han sufrido les sirva de perjuicio en su opinión, reservándoles su derecho de repetir contra quien ha ya lugar; y habiéndose S. M. digna…</t>
  </si>
  <si>
    <t>Eguaguirre, Andrés</t>
  </si>
  <si>
    <t>Andrés Eguaguirre</t>
  </si>
  <si>
    <t>…duos que prestaron tan importante servicio. A consecuencia de haber sido delatado al capitán general de Valencia el coronel vivo de infantería, agregado al regimiento de Valencey, D. Andrés Eguaguirre sobre haber tenido con otros conversaciones subversibas de la tran quilidad pública ,en que se le imputaba haber tratado de proyectos de suble vación en aquella ciudad y sus inmediaciones, se le formó causa por el con sejo de guerra permanente de la nombrada…</t>
  </si>
  <si>
    <t>Eguía, Francisco</t>
  </si>
  <si>
    <t>Francisco Eguía</t>
  </si>
  <si>
    <t>neral de Castilla la Vieja y presidencia de la chancillería de Valíadolid á D. Francisco Eguía: para el gobierno militar y político de la plaza de Cá diz , con la capitanía general y presidencia interina de la audiencia de Sevi lla , al mariscal de campo marques de Castelldosrius. Y se ha dignado S. M. conceder honores y antigüedad de alcalde de casa y…</t>
  </si>
  <si>
    <t>EHo</t>
  </si>
  <si>
    <t>…reputación ; sellando su sin gular conducta, talento y prudencia nuestro mismo Soberano con un elogio eterno, de resultas de la bien sabida ocurrencia y alevosía tramada contra el general EHo, y los funestos efectos que evitó la cordura y previsión del conde de Cervelion. Finalmente, el término de su gloriosa carrera ha priva do al Rey de un vasallo laborioso, -leal y adicto á toda prueba á su Real Persona; á la patria de un ciudadano virtuoso, ín…</t>
  </si>
  <si>
    <t>Eicuno, Juan Sebastian de</t>
  </si>
  <si>
    <t>Juan Sebastian de Eicuno</t>
  </si>
  <si>
    <t>…den superior hizo para la colegiata de O&amp;ma Sto. Domingo de Gua rnan y S. Pedro de Alcántara, colosales : para Guetaria la estatua de piedra, su altura pies, del célebre navegante D. Juan Sebastian de Eicuno, com pañero de Magallanes , y el primero que dió vuelta al mundo: para Peñaran da de Duero un bajo relieve de 18 pies de alto con la Virgen , S. Joaquín y Sta. Ana: por Real orden de S. M. el Sr. D. Carlos iv estudió un modelo de lina estatua ecuestre de cinc…</t>
  </si>
  <si>
    <t>Elake, D Joaquín</t>
  </si>
  <si>
    <t>D Joaquín Elake</t>
  </si>
  <si>
    <t>…pasar el Rey nuestro Señor acompañado dtl S.rmo Sr. Irfante D. Antonio por la ciudad de Alcalá de Henares de vu ha de los baños de Sacedrn , se dig nó S. M. manifestar al capitán general D Joaquín Elake vifita ría la academia del Real cuerpo de Ingenieros de su c¿ rgo establecida en aquella ciudad, y revistaría el regimiento Real de Zapadoies-MinadoresPontoneros , que tiene durante la paz su residencia en ella. Por medio de instituciones tan sabias, notablem…</t>
  </si>
  <si>
    <t>Elgin</t>
  </si>
  <si>
    <t>44i GRAN BRETAÑA. Londres ij de Abril. La comisión del parlamento encargada de examinar los mármoles anti guos que lord Elgin ha traído de Grecia, y particularmente de Atenas, ha propuesto que se compren estas preciosas obras en el precio de 35® libras esterlinas (unos 3.360® rs.), que es la mitad del valor en que las han esti mado los artistas y otros inteligentes. El friso del tem…</t>
  </si>
  <si>
    <t>666</t>
  </si>
  <si>
    <t>…eldes, de los cuales se prenden algunos diariamente. Idem 8. Ayer hubo en la cámara de los comunes una discusión importante sobre la compra de los mármoles recogidos en Atenas por lord Elgin, embajador que fue de Constantinopla. El informe de la comisión encargada de examinar estos monumentos de escultura griega , egecutndos en parte por Fidias y en parte por otros bajo su dirección , y por dibujos suyos, es una obra sumamente curiosa. Los ar tis…</t>
  </si>
  <si>
    <t>Elío, Francisco Xavier</t>
  </si>
  <si>
    <t>Francisco Xavier Elío</t>
  </si>
  <si>
    <t>director el señor marques de Villores, teniendo á su-derecha al Excmo. Se ñor D. Francisco Xavier Elío , capitán general de este egército y reino, y se dio principio por un discurso, que leyó el secretario D. Vicente María de Vergara, en que á tenor.de las expresiones del Real decreto de 9 de Junio, en que dice S. M. hallarse convencido de los buenos efectos q…</t>
  </si>
  <si>
    <t>Elío, Juan</t>
  </si>
  <si>
    <t>Juan Elío</t>
  </si>
  <si>
    <t>…ar, á los niños, y 36 á las niñas: á mas de solo la medalla de honor pendiente de un collar se distribuyeron 12 á los niños y 7 á las niñas. En la clase de dibujo fueron premiados D. Juan Elío con una medalla de plata emblemáti-i ca, y D. Mariano Sigüenza con 100 rs., ambos discípulos de la Real aca^ demia de Nobles Artes de S. Cárlos. En el mismo acto de la distribución ce dieron la parte pecuniaria del premio D. Juan Bautista Genoves, D^Bernar do…</t>
  </si>
  <si>
    <t>Elizalde, Juan Manuel de</t>
  </si>
  <si>
    <t>Juan Manuel de Elizalde</t>
  </si>
  <si>
    <t>…erales y gefes militares, y otras varias personas á quie nes se dignó admitir S. A. R. con aquella bondad que le caracteriza. El día 3 de Junio el coronel D. Luis de Urrejola y el capitán D. Juan Manuel de Elizalde se presentaron á cumplimentar á S. M. á nombre del egircito, cabildo y tribunales del reino de Chile por su próximo enlace con la Serma. Sra. Infanta de Portugal Doña María Isabel Francisca : el pri mero arengó en e^tos términos: ,,Penetrados, Señor, los dipu…</t>
  </si>
  <si>
    <t>Ellemborough</t>
  </si>
  <si>
    <t>…clavitud de ios blancos. Dias pasados hubo en Brighton un consejo de gabinete muy importante, al cual asistieron entre otros personages el marques de Hertford, el lord Te sorero y lord Ellemborough. Dícese que se ha tratado en él de un casamien to entre la Princesa Carlota de Gáles y uno de los ilustres extrangeros que se hallan actualmente en Inglaterra. Según el presupuesto de Hacienda publicado en Francia, el gasto total de aquel reino, comprendido e…</t>
  </si>
  <si>
    <t>Elola, Antonio de</t>
  </si>
  <si>
    <t>Antonio de Elola</t>
  </si>
  <si>
    <t>…y por otros varios individuos que componían un numeroso, lucido é ilustrado concurso. A pocos momen tos se principió el acto por una pieza de música marcial, concluida la cual el Sr. D. Antonio de Elola, intendente graduado de egército, general de esta provincia , y director de la sociedad, pronunció un elegante y sólido discur so, en el que manifestó el origen de las sociedades económicas, su naturale za, la grande influencia de sus tareas en la prosperidad…</t>
  </si>
  <si>
    <t>Eltz, Entérico Felipe de</t>
  </si>
  <si>
    <t>Entérico Felipe de Eltz</t>
  </si>
  <si>
    <t>…ericana debe marchar á Corfú. AUSTRIA. Vien a 12 de Setiembre. Habiéndose concluido las capitulaciones matrimoniales del Emperador Francisco con la Princesa Carlota de Baviera, el conde Entérico Felipe de Eltz, antiguo ministro plenipotenciario de Austria en Madrid, ha salido do esta capital á fin de pedir solemnemente la mano de la Princesa. Las habitaciones de la augusta novia deben estar amuebladas para prime ros de Noviembre. La brillantez dé la ceremonia se au…</t>
  </si>
  <si>
    <t>Elvira</t>
  </si>
  <si>
    <t>…o en ei casti lo de Luna, y fue trujo con las prisiones á esta santa iglesia. Señor.a Reinas. i.a La Sra. Reina Doña Urraca , esposa del Sr. Rey D. Alonso el iv. 2.a La Sra. Reina Doña Elvira , segunda esposa del Si. Rey D. Ordoño el 111. 3.a La Sra. Reina Doña Urraca, esposa del Sr. Rey Don Ramiro el 111. 4.a La Sra. Reina Dona Elvira, esposa del Sr Rey’ D. B.rmudo el 11. ^.a La Sra. Reina Doña Elvira, e'poi^a del Sr Rey D. Alonso el v. 6.a La Sr…</t>
  </si>
  <si>
    <t>…, hija del Infante D. Pedro: Doña Dulce, hija de los P^eyes D. Alonso y Doña Teresa: Doña Leonor, hija de D. Fernando el iv: Doña María de Aragón, hija de D. Fernando v de Aragón: Doña Elvira , hija de los Reyes de Navarra: Doña Leonor de Castilla, nieta de D. Pedro el Jus ticiero: Doña Ana de Austria, hija de D. Juan de Austria: Doña Isabtl de Molina, hija del Sr. de Molina. ARTICULO DE OFICIO. Circular del Ministerio de Guerra. El Sr. Secretario…</t>
  </si>
  <si>
    <t>Encinas, Aniceta</t>
  </si>
  <si>
    <t>Aniceta Encinas</t>
  </si>
  <si>
    <t>…e, se cita, lla ma y emplaza á las personas que se consideren con derecho á los bienes , caudal y efectos que han quedado por muerte rntestada acaecida en 2 de Setiembre último de Doña Aniceta Encinas, de estado soltera, natural que fue de la villa de Villarubia de Ocaña, á fin de que dentro de 20 días perentorios, que por primero, segundo y tercer término se les concede, contados desde dicho dia, concurran ante el referido señor juez, y por la escribanía…</t>
  </si>
  <si>
    <t>Enciso, Lorenzo Cubero y</t>
  </si>
  <si>
    <t>Lorenzo Cubero y Enciso</t>
  </si>
  <si>
    <t>…aballos todas las especies de cuartos, de razas, galápagos ▼ sobrepues tos, con varias reflexiones acerca del defecto que tienen los caballos de rozarse, j modo de corregirle. Por D. Lorenzo Cubero y Enciso, mariscal mayor del tercer escuadrón del Real Cuerpo de Guardias de la Persona del Rby. Esta memoria es sumamente importante, y aun necesaria , á los labradores, tr agí ñeros, aficionados, r principalísima mente á ios señores oficiales de caballería, por cont…</t>
  </si>
  <si>
    <t>Encuídanos, Tomas</t>
  </si>
  <si>
    <t>Tomas Encuídanos</t>
  </si>
  <si>
    <t>…renta Real. Estampas en pliego de marca mayor. Una vista del puerto de Cádiz, tres de su carraca, una de Sevilla y otra de Luarca, dibujadas por D. Pedro Gro1 lies, y grabadas por D. Tomas Encuídanos, D. Vicente Mariani y otros acredita dos profesores: á 6 rs. cada una. rz Dos vistas del prado de Madrid, dibujadas y grabadas por D. Isidoro Velazquez: á 30 rs.rrSeis estampas de la artillería vo an te, dibujadas por D. Antonio Guerrero y D. Asensio Julia, y…</t>
  </si>
  <si>
    <t>Engrúdanos, Tuinas</t>
  </si>
  <si>
    <t>Tuinas Engrúdanos</t>
  </si>
  <si>
    <t>…y D. Tomas Enguídan* s : a iS rs. cada ur.a.—Vúia en perspecti va de la plaza nueva de la ciudad de . v gec ras, dibujada por ei coronel ce a.iiuexía D. Jcsef Dolz, y grabada por D. Tuinas Engrúdanos, a i 2 rs. {Se cor.t'nuara.) En virtud de providencia del Sr. D. Joaquín Almazan. de) Consejo de S. M., teniente corregidor de esta villa, á quien está cometí ca po Real fuuh.id ía er iceración de una huerta sita extra muros de esta corte en ¡a vega de A'g.n/…</t>
  </si>
  <si>
    <t>Enguídanos, Temas López</t>
  </si>
  <si>
    <t>Temas López Enguídanos</t>
  </si>
  <si>
    <t>…a, á 80 rs. vn-__ La bendición dejacobásus nietos, del original del Oücrchino, grabada por D. Rafael Esten; , á 60 rs---- La Caridad ro mana , del original de Murillo, grabada por D. Temas López Enguídanos, á 60 rs. ( Se cent ¡finará.') A. instancia de varios acreedores al concurso de D. Cir os Manelía, el Sr. Don Joaquín Abruzan , del Consejo de S. M., teniente corregidor de esta villa, ha se ñalado para celebrar junta el domingo i.° del mes de betiembre en su…</t>
  </si>
  <si>
    <t>Enguídanos, Tomas</t>
  </si>
  <si>
    <t>Tomas Enguídanos</t>
  </si>
  <si>
    <t>…o de Madrid, dibujadas y grabadas por D. Isidoro Velazquez: á 30 rs.rrSeis estampas de la artillería vo an te, dibujadas por D. Antonio Guerrero y D. Asensio Julia, y grabadas por Don Tomas Enguídanos, D. Rafael Estere y otros: á 1 a rs. cada una.rzLa plegaria de amor, dibujada y grabada por D. Blas Ametller: á 16 rs.r=El amor maligno, por el original de Aníbal Caracci, dibujada por D. Josef Camarón, y grabada por Don Rafael Esteve: á 16 rs.zz Retrato del…</t>
  </si>
  <si>
    <t>Enrile</t>
  </si>
  <si>
    <t>…Gospique, donde me hallaba, para que fuesen las tropas á Ja mayor breve dad. Asi lo verificaron las de los puntos mas avanzados, y á poco tiempo lo egecuté yo, y en mi compañía el general Enrile y el coronel de artillería' 15. Gabriel de Torres, pasando órdenes sin la menor detención al brigadier D. Antonio Cano, situado en el punto de Ternera, yá los demas de la línea, para que aceleradamente se acercasen todas las tropas á la ciudad. Ai tiem po de…</t>
  </si>
  <si>
    <t>…landra Becher, y místico Ladrón, que todos compo nen 12. Instruido el Rey nuestro Señor muy particularmente del distinguido mérito que han contraido los individuos que menciona el general Enrile en el refe rido parte, se ha servido mandar que se reúnan todas las noticias, correspon dientes para que sean premiados según merecen y S. M. desea: que este general amplíe sus informes respecto á ios de los regimientos Reales de Ma rina, brigadas de artiller…</t>
  </si>
  <si>
    <t>Enrile, D Pascual</t>
  </si>
  <si>
    <t>D Pascual Enrile</t>
  </si>
  <si>
    <t>…a viuda é hijos menores del capataz de calafates Josef Cancela, los dos tercios de sueldo que este disfrutaba por via de pensión ; y por último que se remitan al citado comandante general D Pascual Enrile nueve cédulas de la cruz dispensada por S. M. al valor de los marinos para premio de accio nes militares y.marineras á efecto de distribuirlas entre los individuos oe que no se hace aquí mención, y conceptúe dignos de esta condecoración. Igualmente para dar S…</t>
  </si>
  <si>
    <t>Enrile, Pascual</t>
  </si>
  <si>
    <t>Pascual Enrile</t>
  </si>
  <si>
    <t>…ge neral D. Pablo Morillo, general en gefe del egército expedicionario de la Coíta-firme, de su segundo, y comandante general de las fuerzas navales del mismo el mariscal de campo D. Pascual Enrile, y-del teniente general D. Francisco Montalvo, capitán general del nuevo reino de Granada, que alcanzan hasta el 31 de Diciembre ultimo. De ellos consta que la fuerte é importante plaza de Cartagena de Indias fue ocupada á discreción por las tropas de S. M. e…</t>
  </si>
  <si>
    <t>…o, ha procedido siempre al me jor servicio del Rey ; pudiendo asegurar á V. E. que es uno de los mas afec tos á S. M., y que le acompañan los mejores deseos. „E1 mariscal de campo D. Pascual Enrile, general de la escuadra, y mi segundo en el egército, ha trabajado incesantemente en uno y otro obje to, y á su actividad, conocimientos y genio dispuesto para todo se deben muchos de los pasos que sucesivamente han ido proporcionando ia entrega de Ja plaza;…</t>
  </si>
  <si>
    <t>…á la ciudad en menos de hora y media-, adonde había concurrido intrépida mente una hora antes con la tropa que tuvo á mano el general en gefe del egército -y el mariscal de.Capapo D. Pascual Enrile. El aspecto horrible qué presentó la ciudad á nuestros Ojos no se'puede describir exactamente. Cadá-^ veres por las calles^ y casas-de la ciudad ,- unos de l&amp;s que acababan de morir al rigor del hambre., y otros» de los que habían espirado dos'ó tres dias a O…</t>
  </si>
  <si>
    <t>…as , que se darán al público tan liiego co mo se realicen para satisfacción de los interesados en ellas. El comandante general de las fuerzas marítimas de S. M. en la Costa-fir me D. Pascual Enrile ha dirigido al Exorno. Sr- secretario de Estado y del despacho universal de Marina / con fecha de 31 de Diciembre ultimo desde Cartagena de Indias, el parte siguiente: : „Por mis anteriores oficios se habrá servido V. E. enterar á S. M. de lo apurado de mi si…</t>
  </si>
  <si>
    <t>…Manuel Ortíz una canongía de Caracas, y al ilustre cabildo de la ciudad de Sta. Marta los honores de mariscal de cámpo de los Reales egércitos. EnlaArtyiada. Al mariscal de campo D. Pascual Enrile la graii' cruz dé la Real orden</t>
  </si>
  <si>
    <t>…rencia de que los Gefes ó Comandantes pasarán las listas expresadas al Mayor General de su arma, quien las pasará al Comandante general de las fuerzas navales el Mariscal de Campo D. Pascual Enrile, que las dirigirá al Sr. Secretario del Despacho de Marina, por cuyo Ministerio se extenderán los correspondien tes diplomas. Por lo que respecta á las clases de Sargentos, Cabos y Soldados, tanto del egérciro de tierra como de la marina, y á los empleados en…</t>
  </si>
  <si>
    <t>Entrambasaguas, Manuel de</t>
  </si>
  <si>
    <t>Manuel de Entrambasaguas</t>
  </si>
  <si>
    <t>…ovidencia de los Sres. del Real y supremo Consejo de Castilla, y su sala de Provincia, se cita, llama y emplaza á D. Pedro Gómez de Rozas, vecino de esta corte, D. Andrés Cálvelo, D. Manuel de Entrambasaguas, D. Manuel Cano, D. Luis de Nestrosa , O. Antonio Castillo de Lerin, apoderados del conde de Vistaflorida, de D. Josef Manuel de Trevilla, D. Josef Rubiano y otros consortes, acreedoies á la testamentaria de D. Manuel Rivas Aibear, vecino y del comercio que f…</t>
  </si>
  <si>
    <t>Eraso, María Rafaela Carpintero y</t>
  </si>
  <si>
    <t>María Rafaela Carpintero y Eraso</t>
  </si>
  <si>
    <t>…mo Narciso. En el año de 1808 á la entrada de los franceses en esta capital faltó de ella Don Remigio González Soria, empleado en la contaduría de Propios y Arbitrios, casa do con Doña María Rafaela Carpintero y Eraso. Sus señas son las siguientes: esta tura de unas dos varas, cerrado de barba, ojos negros, color moreno, pelo negro, mucha patilla y el cuerpo bien formado. Quien supiere su paradero se servirá dar razón en la calle de Juanelo, núm. 21 , cuarto bajo. En virtu…</t>
  </si>
  <si>
    <t>Ercilla, Alonso de</t>
  </si>
  <si>
    <t>Alonso de Ercilla</t>
  </si>
  <si>
    <t>…, Gonzalo Fernandez de Córdoba , el gran du que de Alba, Arias Montano, D. Francisco Quevedo y Villegas, y D. Juan de Ferreras. —Cuaderno 3.0: Hernán Cortés, Garcilaso de la Vega, D. Alonso de Ercilla, D. Pedro Calderón de la Barca, Miguel de Cervantes Saavedre, y D. Jo&gt;sef Patino.— Cuaderno 4.0: D. Antonio Agustín, D. Sancho Dávila, D. Juan de Austria, D. Alvaro de Bazan, Antonio de Nebrija, y D. Pedro Menendez Avilés.zzCuaderno 5 °: D. Juan de Austria, F…</t>
  </si>
  <si>
    <t>Erel, Isabel de Meneses y</t>
  </si>
  <si>
    <t>Isabel de Meneses y Erel</t>
  </si>
  <si>
    <t>…. El ayuntamiento de la villa de Villafranca de Córdoba ha hecho el do nativo de 628739 rs. y 31 mrs. en recibos de lo suministrado á las tropas, y 11260 rs. y 3 mrs. en dinero___ Doña Isabel de Meneses y Erel 9900 rs. que la debe la Real Hacienda de su viudedad. _ El pueblo de Soto de Ca-</t>
  </si>
  <si>
    <t>Esca, Josef Antonio</t>
  </si>
  <si>
    <t>Josef Antonio Esca</t>
  </si>
  <si>
    <t>…itares 6 patriotas que hubieren muerto en defensa de la justa causa de la nación, ha cabido en suerte del primer extracto de Ja de este dia á Doña María Vicenta, hija del patriota D. Josef Antonio Esca lera, muerto en el campo del honor. La extracción siguiente se egecutará el dia 14 de Octubre. ARTICULO D B OFICIO. 3. M. ha sabido con la mayor satisfacción que la Reina nuestra Señorav la Serma. Sra. Infanta Doña María Francisca de Asís continuaban sin no v…</t>
  </si>
  <si>
    <t>Escacha, Lúeas</t>
  </si>
  <si>
    <t>Lúeas Escacha</t>
  </si>
  <si>
    <t>…villa de Priego. El alcalde de Alcobujate á nombre de su ayuntamiento. D. Sebastian Martínez Falcro, presbítero, y D. Francisco Martínez V¡llanueva á rombre del putHo de Saelices. D. Lúeas Escacha y D. Gabriel Talamanco, diputado por el ayunta miento de la villa de Orche. El párroco de la villa de Millana en nombre de sus feligreses. El cura párroco de la villa del Villar de Domingo García. Madrid 24 de Julio. ARTICULO DE OFICIO. El Rey nuestro Señor se ha servido expedir el…</t>
  </si>
  <si>
    <t>Escaja, Fausto</t>
  </si>
  <si>
    <t>Fausto Escaja</t>
  </si>
  <si>
    <t>…. „ Particulares de la cuidad de León. D. Antonio Fernandez un par de zapatos: D. Manuel Rodríguez , boticario, uno: D. Tomas López 1 2 rs.: Don Josef Chicarro un par de zapatos : D. Fausto Escaja uno: D. Gerónimo Gó mez uno: D. Fernando Pareja uno: D. Martin Ginoves 10 rs.: D. Santiago Gallego un par de zapatos: D. Manuel Alonso uno: D. Antonio Chalanzon uno:D. Santiago Treve uno: D. Juan Hechilla uno: D. Ricardo Muñoz uno: D. Marcos Unzue uno: D. Man…</t>
  </si>
  <si>
    <t>Escariad, Francisco</t>
  </si>
  <si>
    <t>Francisco Escariad</t>
  </si>
  <si>
    <t>…ejo y cámara de Indias ; D. Juan Paez de la Cadena, del de Guerra; D. Diego María Badiilos, del de Almirantazgo; D. Santiago Masarnau y Torres , secretario de la mayordomía mayor; D. Francisco Escariad, contador general de la Real casa y patrimonio; D. Pedro de Vargas , teso rero general de la misma Real casa y patrimonio; D^ Francisco Alonso de Ojeda, asesor general, y D. Ramón Calvo de Rozas , fiscal. Reunidos t&lt; dos con este objeto en la secretaría de la…</t>
  </si>
  <si>
    <t>Escariche, Manuel Eugenio Sánchez de</t>
  </si>
  <si>
    <t>Manuel Eugenio Sánchez de Escariche</t>
  </si>
  <si>
    <t>…cas, acuda ante la justicia de la expresada villa del Molar, que admitirá las que se hicieren, siendo arregladas, ó en esta corte á la escribanía de Cámara de la sala del cargo de D. Manuel Eugenio Sánchez de Escariche. Retrato de la Reina nuestra Señora y su augusta Hermana Doña María Fran cisca dé Braganza, Infanta de España, dibujadas por D. Vicente Ximeno, y graba das en cuartilla regular por D. Luis Noseret. Se venden en el almacén de estampas de la calle Mayor, frente…</t>
  </si>
  <si>
    <t>Escartin, Francisco Antonio de</t>
  </si>
  <si>
    <t>Francisco Antonio de Escartin</t>
  </si>
  <si>
    <t>…monias y usos de la Iglesia: escritas en francés por el P. Francisco Amado Pouget; traducidas en caste llano con acuerdo del Emo. Sr. Lorenzana , cardenal arzobispo de Toledo, por Don Francisco Antonio de Escartin: sexta impresión. Lleva á su frente una pastoral del mismo señor cardenal, por la cual recomienda á los párrocos y clero el referido car tecismo para el us» de su ministerio é instrucción de sus feligreses: 4 tomos en 4.0 Se hallará en las librerías de Perez,…</t>
  </si>
  <si>
    <t>Escondrillas, Andrés de</t>
  </si>
  <si>
    <t>Andrés de Escondrillas</t>
  </si>
  <si>
    <t>…esta villa de Madrid, refrendada del escribano del número-D. Juan Antonio de Urraza , se cita, llama y emplaza á D. Josef de Sand^Juce , D. Pedro Antonio de Olabarría y Sta. Cruz, D. Andrés de Escondrillas , D. Cristóbal de Vicuña, D. Pedro Fermín de lbarra y Doña María Antonia de Amantegui, tenedores de tres vales Reales, tres de ellos de 150 pesos, vales dinero de Ja renovación de i.° de Enero de 1809, números 312838, 311427 y 311806: dos de 600 pesos, tam bi…</t>
  </si>
  <si>
    <t>Escovar, Bernardo</t>
  </si>
  <si>
    <t>Bernardo Escovar</t>
  </si>
  <si>
    <t>…. Nicolás Suarcz dos: D. Josef Robles uno: D. Blas López cuatro: el mar ques de Villadangos dos : e! marques de Castrojanillos dos: D. Josef Quiño nes dos: D. Claudio Quijada dos: D. Bernardo Escovar dos: D. Manuel Lorenzana uno : el provisor dos : los señores Jclís y compañía dos : D. Ma nuel Castaáon dos: D. Josef R*eovar dos: D. Ruperto Cea dos: D. Aniceto Cavero uno: D. Tomas Ríos uno: D. Francisco Val le jo dos : el cura de San Salvador Pala del Rey…</t>
  </si>
  <si>
    <t>Escribano, Victoriano</t>
  </si>
  <si>
    <t>Victoriano Escribano</t>
  </si>
  <si>
    <t>…amo: para la de Fuensalida á D. Manuel Fernandez Azcona; para la de Doña Mencía á Don Alfonso Josef de Frías: para la deTorija á D. Telesforo Valero: para la de Aguilar de Campó á D. Victoriano Escribano: para la de Budia á D. Vi cente Perez Sánchez: para la de Cañete de las Torres á D. Indalecio Coro nel: para la de Orce á D. Francisco Saturio de Puerta: para la de Bonillo á D. Jcaquiu González: para la de Aimanza á D. Antonio Merino y Calvo: para la de Ques…</t>
  </si>
  <si>
    <t>Escudero, Joaquín</t>
  </si>
  <si>
    <t>Joaquín Escudero</t>
  </si>
  <si>
    <t>…ió el M. R. Padre Mtro-, prior de Sto. Domingo un elocuente discurso, manifestando las bené ficas intenciones del Rey nuestro Señor; yen seguida el primer secretado del patronato- D. Joaquín Escudero llamó á- los que habían sido premia dos con respecto á su clase y mérito, que fueron con los premios- prime ros D. Joaqurn Cañed'o , D. Leo na rdo-García , D. Bernardo Cadenas, Don Joaquín Vargas y D. Mantiél Ribera: con los segundos D. Juan García Cefedonó’…</t>
  </si>
  <si>
    <t>Escuré, Matías</t>
  </si>
  <si>
    <t>Matías Escuré</t>
  </si>
  <si>
    <t>…división de vanguardia ha trabajado con un zelo infatigable, como lo tiene antes acreditado repe tidas veces. ,,El coronel de la Victoria D. Miguel de la Torre y el sargento mayor D. Matías Escuré han llenado completamente mis deseos en cuantas ocasio nes los he empleado. „E1 coronel de artillería D. Gabriel de Torres, comandante general in terino de su arma, ha trabajado con un zelo decidido en su instituto, y en la actualidad está empleado de goberna…</t>
  </si>
  <si>
    <t>Escuté, Matías</t>
  </si>
  <si>
    <t>Matías Escuté</t>
  </si>
  <si>
    <t>…te egército * ique unida á ella contribuyó eficazmente á la vic toria con sus valientes y acreditados soldados, dirigidos por la pericia y ar dor del sargento mayor de la Victoria D. Matías Escuté, que los manda. Han llegado á mi poder las tres banderas que se citan.” El brigadier D. Salvador Moxo, gobernador y capitán general interino de las provincias de Venezuela , con Fechas de 5 y 12 de Abril último desde Caracas dirige igualmente al Sr. Secretari…</t>
  </si>
  <si>
    <t>Esmilch, Felipe</t>
  </si>
  <si>
    <t>Felipe Esmilch</t>
  </si>
  <si>
    <t>…que corresponda en derecho, pa rándoles el perjuicio que haya lugar. El marques de Real Proclamación, vecino de la Havana, hace saber que Dona Mariana Saens, D. Josef Retortillo, D. Felipe Esmilch, D. Josef Gomara, Don Pedro Subviaga, D. Domingo de la Torre, D. Manuel García Tejada, D. Santiago Merino y D. Ignacio Yanci pueden ocurrir por sí ó sus poderes á cobrar de los bie nes de D. Gonzalo Recio Oquendo, marques de Real Proclamación, sus capitales y…</t>
  </si>
  <si>
    <t>Espárragos, Narciso</t>
  </si>
  <si>
    <t>Narciso Espárragos</t>
  </si>
  <si>
    <t>…para extraer las criaturas olava das en e! paso, sin riesgo de su vida ni ofensa de la madre, y para extraer la cabeza que ha quedado en el útero separada del cuerpo.: por el Dr. D. Narciso Espárragos» y Gallardo, profesor de medicina y cirugía. Se hallará en la librería de Arribas, calle de las Carretas. Oficio de la semana santa y de la octava de pascua, con una explicación en cada dia de sus ceremonias y misterios: traducido por el Dr. D. Luis Monfort,…</t>
  </si>
  <si>
    <t>Espino, Juan</t>
  </si>
  <si>
    <t>Juan Espino</t>
  </si>
  <si>
    <t>…el ma^ot orden y serenidad, manifestando su valor y pericia miliiar. En este ataque sufrimos la sensible pérdida del expresado capitán Maortua, la del subtenien te de la Victoria D. Juan Espino, y ocho cazadores, asi como cuatro ofi ciales y 10 soldados heridos. „ Amaneció el dia 12: se observó que todas las fuerzas de mar enemigas se hallaban fondeadas inmediatas á Bocagrande , las cuales hasta el númerd de 13 entre goletas, balandras y bongos, vin…</t>
  </si>
  <si>
    <t>Espino, Juan Alonso</t>
  </si>
  <si>
    <t>Juan Alonso Espino</t>
  </si>
  <si>
    <t>…o de Perellós y Palafox, conde de Revillagigedo, marques de Albaida, conde de Casaflores, y marques de Barbará. Gentileshombres de cdmara con entrada Al Sr. D. Martin de Zaldivar, D. Juan Alonso Espino, conde de Calatrava, marques de Casa-boca , y marques de Corpas. Mayordomos de semana Al barón de Carondelet, al conde de Casa-Rojas, á D. Antonio de Agüe ra y Mollinedo , D. Gaspar María Soler y Arcayo, y D. Josef Bruno Mag dalena. Ayudas de cdmara A D. Nico…</t>
  </si>
  <si>
    <t>Espinosa, Josef de</t>
  </si>
  <si>
    <t>Josef de Espinosa</t>
  </si>
  <si>
    <t>…oesías líricas de D. J. B. de Arriaz»: dos tomos en 8.° con portadas y viñetas del mejor birrii y gusto. Se venden á 40 rs. en pasta en la imprenta Real. Elogio postumo del Excmo. Sr. D. Josef de Espinosa, director del depósito de hidrografía, po; el teniente de fragata D. Ramón Tamayo. El autor de este opús culo historial, haciendo un paralelo de las empres:s literarias y marítimas del ge neral Espinosa con las de otros ilustres aewiiur.es, presenta este dign…</t>
  </si>
  <si>
    <t>Espinosa, Luisa</t>
  </si>
  <si>
    <t>Luisa Espinosa</t>
  </si>
  <si>
    <t>…. Agustín Perez de la Las tra 100. Doña María Josefa Jurado 100. D. Sebastian de Castro López 300. Doña Ana de Castro López 100. Juan de Murez iod. Doña María Josefa Zamorano 200. Doña Luisa Espinosa 200. D. Pedro Juan de Molina 200. Doña Catalina Zamorano 370. D. Juan Blas Zamorano 60. D. Rafael de Blancas 60. D. Andrés Ramírez Sousa .60. D, Antonio Melero 60. D. Pablo del Valle 40 Juan Pastor 80. Antonio Féiíx Ortiz 80. D. Lorenzo Gavi lán 50. Miguel Ro…</t>
  </si>
  <si>
    <t>Esquiaqui, Domingo</t>
  </si>
  <si>
    <t>Domingo Esquiaqui</t>
  </si>
  <si>
    <t>…gobernador de Ja provincia de Rio Hacha con fecha de 8 del actual me dice lo siguiente: — El señor capitán general del reino me dice lo que sigue:__ Por aviso de estar en poder de D. Domingo Esquiaqui la plaza de Cartagena, por haber el 6 del actual abandonado á sus habitantes mucha parte de los cabecillas que los han engañado, y algunos de sus secua ces , en unos buques corsarios que tenían en sus puertos, he dispuesto que el brigadier D. Antonio Cano tom…</t>
  </si>
  <si>
    <t>Esquivel, Francisco María</t>
  </si>
  <si>
    <t>Francisco María Esquivel</t>
  </si>
  <si>
    <t>…preve nir á los caballeros maestrantes que corrieron fueran á palacio á besar se gunda vez su Real mano. El teniente del Rey nuestro Señor, hermano mayor de esta Real maes tranza D. Francisco María Esquivel, adornó é iluminó la fachada de su ca sa con una vistosa decoración; y varió y adornó sus habitaciones para la función que en obsequio de S. M. y A. dispuso, á que asistieron el Ex</t>
  </si>
  <si>
    <t>Esquivel, Manuel</t>
  </si>
  <si>
    <t>Manuel Esquivel</t>
  </si>
  <si>
    <t>…el nvsmo, 6 rs._Irstav gr. de nuestra Sra. con su Hijo en los brazos, pintada por Munilr , y grabada por D. B as Amttller, 10 rs__Otra pinta da por D. Ratid Mcngs, y g¡ abada por D. Manuel Esquivel, 8 rs. (JV continuará.') Se vende una huerta cor po/o noria, vestido de cal y ladrillo, muy abundante de aguas, consistente en te-mino de Carabanchel alto, y sitio que llaman del Ríajai, de caber ocho i.&lt;ntg. s, las seis y media de regadlo, lasadas en ^00 rs.…</t>
  </si>
  <si>
    <t>Estado, Secretario de</t>
  </si>
  <si>
    <t>Secretario de Estado</t>
  </si>
  <si>
    <t>77</t>
  </si>
  <si>
    <t>…Varela, hija del subteniente, muerto en el campo del honor. La extracción siguiente se egecutará el dia 26 de Febrero. ARTICULO DE OFICIO. Circular del Ministerio de Hacienda. El Sr. Secretario de Estado y del Despacho de Guerra me comunica cort fecha de 7 de este mes la- Real orden siguiente: He dado cuenta al Réy nuestro Señor de varios ofir?o«-del Intendente de Valencia, Contador de Egército del mismo Reino, y del Inspector general.</t>
  </si>
  <si>
    <t>239</t>
  </si>
  <si>
    <t>…su inteligencia, circulación y cumplimiento en la parte que le corresponde. Dios guarde á V. muchos años. Madrid u de Enero de 1816. Circular del Consejo Supremo de la Guerra. El Señor Secretario de Estado y del Despacho de la Guerra me dice con fecha de 3 del corriente lo que sigue: „He dado cuenta al Rey de cuanto V. S. expuso en 18 de Octubre úl timo,de acuerdo del Consejo Supremo de la Guerra acerca de variar el artí culo 7.0, capítulo 8.° del reglamento de…</t>
  </si>
  <si>
    <t>…atisfacerse antes de la ocupación enemiga, hizo presente á S. M. esta Dirección general cuanto creyó oportuno en el asunto; y por Real orden, que se la ha comunicado por el Excmo. Sr. Secretario de Estado y del Despacho de Hacienda en 21 de Febrero próximo , se ha dignado S. M. resolver por punto general: „Que los arrendamientos de los ramos de cimales que por sus circunstancias y condiciones debieron realizarse antes de la ocupación enemiga en el año de i8c8…</t>
  </si>
  <si>
    <t>…gército expedicionario de Costa-firme , y Capi tán general de las provincias de Venezuela , y el segundo capitán general de las del Nuevo-,Reino de Granada, han dirigido al Excmo. Sr. Secretario de Estado .y del Despacho universal de la Guerra desde Cartagena de Indias, y con;fecha de.3 j de Diciembre, los,siguientes partes acercare la reconquista de aquella plaza. Copia del parte del teniente general D. Pablo Morillo general en gefe del v_, egército expedicio…</t>
  </si>
  <si>
    <t>…a virtud. ESPAÑA. Madrid 6~ de Mayo. ARTICULO DE OFICIO. Circular del Ministerio de Guerra. Por el Ministerio de la Guerra se ha circulado al Egército la Real orden siguiente: „E1 Sr. Secretario de Estado y del Despacho de Hacienda en 22 del ac tual me dice lo que sigue: „ Queriendo el Rey nuestro Señor dar á los individuos de su Egército y Armada una prueba positiva del aprecio que hace de estas clases beneméritas, según manifestó V. E., y al ictismo tiempo p…</t>
  </si>
  <si>
    <t>…grangeará una inmortal corona de gloria.” ARTICULO DB OFICIO. El capitán de navio de la Real armada D. Francisco Xavier de Salazar, comandante de marina de Cumaná, ha dirigido al Sr. Secretario de Estado y del Despacho del mismo ramo ,con fecha de 12 de Enero último desde Pampatar,el siguiente parte: „E1 alférez de fragata D. Juan Gabaso, comandan te de la goleta de S. M. General Morillo con esta fecha me dice lo que sigue: „A las cuatro de la tarde del dia d…</t>
  </si>
  <si>
    <t>…Secretario de Estado y del Despacho, é interino del de Gracia y Justicia, ha comunicado al limo. Sr. Decano de él con fecha 4 de este mes la Real orden siguiente: ,,lhno. Sr.: El Sr. Secretario de Estado y del Despacho en Real orden de 2 del corriente me dice lo que sigue: ,, Informado el Rey nuestro Señor de que se introducen en la Península por la frontera de los Pirineos muchas personas sin traer sus pasaportes con ios requisitos prevenidos, y que estas, y…</t>
  </si>
  <si>
    <t>…Matehuala, Real de Catorce y Venado: sufrió igual suerte de ser pasado por las armas. Madrid 24 de Mayo. ARTICULO DE OFICIO. Circular de la Dirección general de Rentas. El Excmo. Sr. Secretario de Estado y del Despacho de Hacienda con fe cha 15 de Febrero último nos ha comunicado la Real orden siguiente: Para mayor alivio de los pueblos se ha servido el Rey nuestro Señor re solver que no se hagan eo adelante escrituras formales de encabezamiento con la Real H…</t>
  </si>
  <si>
    <t>…de á V. muchos años. Madrid*1^8 de Mayo de i8t6í'!; 1 j . . r • . I . .1 ¡. Circular de la Dirección general de Rentas. Gon fecha de 21 de Abril último nos ha comunicado el Excmo. Señor Secretario de Estado y del Despacho de Hacienda la Real orden que sigue: Entecado, el RpY. ds Ja exposición de VV. SS. de 22 de Marzo" últi mo", que tiene por objeto dar reglas fijas, y poner fin á las dudas que ocur ren sobre el abono y señalamiento de sueldos á los empleados in…</t>
  </si>
  <si>
    <t>…fecha de 9 de Febrero de este año dice desde Pampatar en Margari ta el capitán de navio de la Real armada D. Francisco Xavier Salazar , co mandante de marina de Cumaná, al Excmo. Sr. Secretario de Estado y del despacho universal de este ramo, que con la de 31 de Enero anterior le había dado parte el teniente de navio D. Manuel de Cañas, comandante de la go leta Ferro leña, de todas sus operaciones desde que llegó á su crucero del N. de aquella isla, reducido…</t>
  </si>
  <si>
    <t>…teniente general D. Pablo Morillo, general en gefe del egército expe dicionario de Costa-firme, con fecha de 27 de Febrero último desde su cuartel general de Mompox dice al Excmo. Sr. Secretario de Estado y del despacho universal de la Guerra lo siguiente: „ Excmo. Sr.: El coronel D. Sebastian de la Calzada me participa con fecha de 23 del corriente lo que sigue: Excmo. Sr.: Los enemigos que habían ocupado esta provincia han sido completamente derrotados ; y m…</t>
  </si>
  <si>
    <t>…ro Cevallos , primer Secretario de Estado y del Despacho , e interino del de Gracia y Justicia, por medio del limo. Sr. Decano de el de orden de S. M. la siguiente: „Ilmo. Sr.: El Sr. Secretario de Estado y del Despacho con fecha de 15 de Ju nio último me dice lo que sigue : ,, Con fecha de 9 del corriente he dirigido á los Capitanes generales de las Provincias de la frontera de mar y tierra de la Península, y á los Je las islas Raleares y Canarias la Real ord…</t>
  </si>
  <si>
    <t>…y con que se ha distinguido entre todos los pueblos de la monarquía. M idrid 5 de Agosto, La comisión de gefes y oficiales de todas armas que á las inmediatas órde nes del Exento. Sr. Secretario de Estado y del despacho universal de la Guerra existe en esta corte en la calle de la Flor baja, núm. 12 , tuvo la sa tisfacción el 26 de Ju¡io último de que S. A. R. el Sermo. Sr. Infante Ge neralísimo se dignare honrarla con su presencia. Se presentó S. A. en dicho…</t>
  </si>
  <si>
    <t>…u amor al Soberano en estos dias tan plausibles y para siempre memorables entre estos habitantes tan amantes de su Rey. ARTICULO DE OFICIO. Circular del Ministerio de Hacienda. El Sr. Secretario de Estado y del Despacho con fecha 26 del presente me dice lo siguiente: „ F.xcmo. Sr. : En medio de los repetidos avisos dados al público , y á pesar de la instrucción que se publicó en la gaceta de 8 de Junio de este año para fijar la mas acertada dirección de las re…</t>
  </si>
  <si>
    <t>f)’0 H\j no. Sr. Secretario de Estado y del Despacho de Hacienda la Real orden .subiente : Al Tesorero general en egercicio digo con esta fecha lo que sigue: ,,Ente rado el Rey de las últimas exposiciones de V. S. de 8 del pagado y 10 del corriente, insistiendo, con motivo de los apuros y obligac…</t>
  </si>
  <si>
    <t>…s de su zelo, invitando al apuntamiento y demas cuerpos, y adoptando las medidas mas conducentes para evacuar Us Reales comisiones que se le comunkaban directamente , or el Excmo. Sr. Secretario de Estado y del Des pacho , S abiendo merecido cuanto hizo la aprobación de S M. El éxito correspondió i n efecto a tan acertadas disposiciones, pues en po cos dus se vió Guadatajara una población nueva, adornada de maravillosos arcos triunfales costeados por el mismo…</t>
  </si>
  <si>
    <t>…des de Id Real Casa y Corte. Por el limo. Sr. Decano del Consejo se ha comunicado al Sr. Goberna dor de la Sala con fecha 16 del corriente la. Real orden siguiente: * ’■ , r: ,,EI Sr. Secretario de Estado y del Despacho de Gracia y Justicia me</t>
  </si>
  <si>
    <t>T°39 dice con fecha de $ de! corriente lo que sisue: limo. Sr.: Con fecha de avor me ha comunicado el Sr. Secretario de Estado y del Despacho de Marina la Real orden siguiente: ,,De resultas de un expediente de que se ha dado cuenta á S. M. por esta Secretaría de Marina de mi Gargo por haber llegado á la Coruíía dos Franceses nombrados Pedro Foly y Federico Pablot, embarcados en el '…</t>
  </si>
  <si>
    <t>Yen 9 de Junio último comunicó el Sr. Secretario de Estado y del Des pacho á los Capitanes generales de las Provincias de la frontera de mar y tier ra de la Península otra Real resolución de S. M.en que se sirvió mandar que todas las personas que entrasen ó saliesen de España con dirección á rei nos extrangeros, ya f…</t>
  </si>
  <si>
    <t>…s, he omitido dar á V. E. el detall de estas pequeñas acciones. Dios guarde á V. E. muchos años. Guayana 22 de Marzo de 1816. =r Excelentí simo Sr. = Fernando de Lizarza. = Excmo. Sr. Secretario de Estado y del Des pacho universal de Marina.” ,,Excmo. Sr.: Tengo el honor de participar á V. E. que las fuerzas que tengo apostadas en el caño del Tigre han apresado 15 embarcaciones á los insurgentes en el reconocimiento que practicaban en dicho caño y sus inme dia…</t>
  </si>
  <si>
    <t>…D. Pedro el Jus ticiero: Doña Ana de Austria, hija de D. Juan de Austria: Doña Isabtl de Molina, hija del Sr. de Molina. ARTICULO DE OFICIO. Circular del Ministerio de Guerra. El Sr. Secretario de Estado y del Despacho de Hacienda con fecha de 20 de este mes me dice lo siguiente: „Fl Rey nuestro Señor por decreto rubricado de su Real mano se ha servido resolver: Que por título ni pretexto alguno se permita la extracción del ganado merino, sobre cuyo punto se…</t>
  </si>
  <si>
    <t>…el patriota D. Andrés, muer to en el campo del honor. La extracción siguiente se egecutará el dia 23 de Diciembre. ARTICULO DB OFICIO. Circular de la Tesorería general de S. M. El Sr. Secretario de Estado y del Despacho de Hacienda con fecha 30 del mes próximo pasado me dice lo que copio: ,, El Sr. Secretario del Despacho de la Guerra con fecha 24 del corriente me dice que con la misma comunica al Inspector general de Infantería lo que sigue: ,, El Rey nuestro…</t>
  </si>
  <si>
    <t>…a, y cuy.o nombre como el de V. M. presagia las mayores felicidades y recuerda gratas memorias.” ARTICULO DE. OFICIO. ; . !f Circular de la Dirección general ele Rentas. El Excmó. Sr. Secretario de Estado y del Despacho de Hacienda con fe cha io del actual nos ha comunicado la resolución de S. M. siguiente: k „.El Sr. Secretario del Despacho de la Guerra ;en 29 del mes últinio me dice que con la misma fecha comunicaba al Capitán genéral de Castilla la, Vieja l…</t>
  </si>
  <si>
    <t>Estado, Secretario del Despacho de</t>
  </si>
  <si>
    <t>Secretario del Despacho de Estado</t>
  </si>
  <si>
    <t>…o 2% de de Febrero-de *816.^Ma nuel López Araujo. Ci rcular de la Tesorería general. Con fecha 15 del actual me dice el Sr. Secretario del Despacho de Han cienda lo siguiente: „E1 Sr. Secretario del Despacho de Estado me dice con fecha 14 del cor-* ríeme lo que sigue: „ Excmo. Sr.: El Rey nuestro Señor, animado del ma$ vivo deseo de. cumplir religiosamente las obligaciones que se Impuso .por el artículo i.° adicional del tratado de París de 20 de Julio de 1814, al mismo ti…</t>
  </si>
  <si>
    <t>…r. Francisco Miguel, prior curado, Miguel Burgued, Mariano Ser rano, D. Joaquin de la Figuera, Miguel Albiac. — £s copia. = Campo-Sa grado. Circular del Ministerio de Hacienda. El Sr. Secretario del Despacho de Estado , y encargado del de Gracia y Justicia, me comunica con fecha de ayer la Real orden siguiente: „ El Rey se ha servido conferir la Asistencia de Sevilla á su Intendente con las facultades acostumbradas.1' De la de S. M. la traslado á V. para su inteligencia y…</t>
  </si>
  <si>
    <t>…nación entera.” En seguida pasaron dichos' comisionados á felicitar con igual motivo al Sermo. Sr. luíante JD. Cárlos. ARTICULO DE OFICIO. Circular del Ministerio de Hacienda. El Sr. Secretario del Despacho de Estado me dice con fecha de 30 de Setiembre anterior lo que sigue: ,,Excmo. Sr.: D. Ignacio Gil del Palacio me ha dirigido desde Sevilla la representación adjunta, en que solicita que el Superintendente de la Real Fá brica de Tabacos de aquella ciudad le devuelva la…</t>
  </si>
  <si>
    <t>Estado-, Secretario</t>
  </si>
  <si>
    <t>Secretario Estado-</t>
  </si>
  <si>
    <t>…rio de Estado y del Despacho dé Gracia y Justicia, comunicó al Con sejo por medio del Excmo. Sr* Duque del Infantado , Presidente de él , la Real orden siguiente-zr Excmo* Sr.: EL Sr. Secretario Estado- y del Despa- ‘ cho con fecha 23 del corriente me dice lo que sigue. = Fara determinar difenitivamente en el estado en que se hallase un voluminoso pleito que siguen en tre sí el Colegia mayor de S. Ildefonso y la Universidad de Alcalá de He nares sobre la ind…</t>
  </si>
  <si>
    <t>Estaquero, Manuel</t>
  </si>
  <si>
    <t>Manuel Estaquero</t>
  </si>
  <si>
    <t>…Ximenez 200 rs. D. Francisco Rafael González 60. Catalina Prados 6. D. Juan Cantarero 60. D. Joaquín Obrero 400. D. Diego Bernia 100. D. Pedro Herrera 200. D. Antonio Velasco ioo. D. Manuel Estaquero 120. D. Ra fael Salinero, presbítero, 60. Doña Rosalía de Negrete 20. El colegio de San Roque 500. El convento de S. Pablo, religiosos dominicos , 8800. La Exce lentísima Sra. marquesa de Benamejí 16®. El convento de religiosos de la Merced 4®___Viíiafranea--…</t>
  </si>
  <si>
    <t>Estdama</t>
  </si>
  <si>
    <t>…nación visitando los santos lugares; en riqueció esta iglesia con muchas reliquias; fall ció con grande opinión de san tidad , y se conserva su cuerpo incorrupto. Item, la Infanta Doña Estdama, hija dd Emp rador D Alonso: consérvale su cuerpo incorrupto. La Señora Doña Teresa de Lara, esposa de D. Fernando el 11. Los Sres. Infames Don García y D Fernando , hijos dd Señor Rev D. Fernando el 11 La Sra. In fanta Doña Leonor, hermana del Sr. Rey S. Ler…</t>
  </si>
  <si>
    <t>Este</t>
  </si>
  <si>
    <t>…bienes mostrencos, vacantes y abintestatos se han denunciado, en el concepto de no tener sucesor conocido, dos vínculos ó aniversarios perpetuos, que poseyó hasta su fallecimiento D. Este ban de Tapia, vecino que fue de la villa de Illescas; y consisten el i.° en varias imposiciones hechas en el banco nacional de S. Carlos, en ¡a Real ren ta de tabaco, juros, efectos de villa, y una casa en la villa de la Puebla de Montalban; y el 2.a en varia…</t>
  </si>
  <si>
    <t>7&lt;3° Real sangre de Francia, con su esposo el conde D. Ramiro: D. García , hi jo Je losados: lu condesa Doña María Froila , madre de Ñuño M-.lendez: la condesa Doña Este tan 14: el conde D. Froila, muy d.voro d: eia Iglesia: el conde D. Di go: el conde 1&gt;. Sancho : Ñuño Melcndez , el Hcrnuso, y oíros sin epitafio. También hay nueve lucillos sin título, los seis pequeños y los tres mayores, y son de Infantes ¿ Infantas, todos…</t>
  </si>
  <si>
    <t>Este, Manuel de</t>
  </si>
  <si>
    <t>Manuel de Este</t>
  </si>
  <si>
    <t>…r los tutores y curadores de los hijos y herederos de estos, á fin de que en el término de 30 dias perentorios comparezcan en dicho pleito por la escribanía de cámara del cargo de D. Manuel de Este par por sí ó por medio de procurador con poder bastante á deducir lo que les convenga según el estado que tiene; con apercibimiento de que si no lo hiciesen, cumplido que sea dicho término, se procederá á lo que corresponda en derecho, pa rándoles el perjuici…</t>
  </si>
  <si>
    <t>Este, Rafael</t>
  </si>
  <si>
    <t>Rafael Este</t>
  </si>
  <si>
    <t>…asa del conde .de Oñate, se vende la estampa nueva de nuestra Señora del Rosario, sacada del célebre cuadro pintado por Carlos Marati,.y grabada en medio pliego de marca mayor por D. Rafael Este ve, grabador de cámara de S. M., á 6 rs. en negro y á 30 iluminada. EN LA IMPRENTA REAL.</t>
  </si>
  <si>
    <t>…sia, Africa v América*, dos las virtude s cardinales; y las otras dos las batallas de Oranada, grabadas por D. Juan Barcclb *. todas 8o rs. —Vista de la isla de Malta, grabada por D. Rafael Este ve, 4 4 rs. (JV etntinuard.') . A virtud de comisión de la suprema junta de Reintegros se están practicando varias diligencias .relativa* 4 averiguar las personas ó corporaciones á quienes cor respondan la huerta de Morales y una hacienda de olivas sitas en l…</t>
  </si>
  <si>
    <t>Esté-</t>
  </si>
  <si>
    <t>…ontero de Arritola en el pueblo de Coroneo. Con fecha 26 de Octubre desde la hacienda de Teperitlan dice el tenien te coronel D. Matías Aguirre, que habiendo dado orden ai alférez D. Esté-</t>
  </si>
  <si>
    <t>Esteban, Santiago de</t>
  </si>
  <si>
    <t>Santiago de Esteban</t>
  </si>
  <si>
    <t>…n varios trozos de geografía antigua y moderna ; lo cual fue tamo mas de admirar, cuanto estos niños no se habían dedicado á la gramática hasta entrado ya el año 1815. Hecho esto, D. Santiago de Esteban pronun ció una oda castellana á la venida de nuestra Señora del Pilar á Zaragoza, y D. Francisco Aula un romance endecasílabo en loor de S. Josef Calasanz. Luego después los de la clase de prosodia tradujeron las vidas de los varones ilustres por Cornelio Nep…</t>
  </si>
  <si>
    <t>Esteban-Anto</t>
  </si>
  <si>
    <t>…ceneque se■ ha de'ce'ebrar el remate podra acudir a la contaduría-principal de recaudación dehmismo establecimiento. r " En virtud de providencia de n del corriente del limo. Sr; D. Esteban-Anto*nio de Orellana , del Consejo y Cámara de S. M. en el Real y supreino de la Guer ra, y asesor general de todos Jos cuerpos y tropas de casa Real y ‘su juzgado privi legiado, se cita, llama y.emplaza por segúrido término á todas y cualesquiera per-</t>
  </si>
  <si>
    <t>Esten, Rafael</t>
  </si>
  <si>
    <t>Rafael Esten</t>
  </si>
  <si>
    <t>…entes: El Pasmo de Si iba, de! original de Rafael de Urbíno, grabada por D. Fernando Selma, á 80 rs. vn-__ La bendición dejacobásus nietos, del original del Oücrchino, grabada por D. Rafael Esten; , á 60 rs---- La Caridad ro mana , del original de Murillo, grabada por D. Temas López Enguídanos, á 60 rs. ( Se cent ¡finará.') A. instancia de varios acreedores al concurso de D. Cir os Manelía, el Sr. Don Joaquín Abruzan , del Consejo de S. M., teniente c…</t>
  </si>
  <si>
    <t>Estep'ar, Santiago de</t>
  </si>
  <si>
    <t>Santiago de Estep'ar</t>
  </si>
  <si>
    <t>…d , que los reclamó como pertenecientes, á ella., para que en el término de 30, dias, contados desde el r 2 del corriente mes, acudan á su juzgado y por la escribanía de número de D. Santiago de Estep'ar á deducir sus acciones; apercibidos que no comparecien do pasado dicho término se providenciará lo conveniente, y les parará el perjuicio que haya lugar. Se desea saber el paradero de D. Bernardtno Gutiérrez, organista mayor que fue de la catedral de Burgos,…</t>
  </si>
  <si>
    <t>Estepar, Saaíiago de</t>
  </si>
  <si>
    <t>Saaíiago de Estepar</t>
  </si>
  <si>
    <t>…30 días, contados desde e! d¡a i.° del corriente, comparezcan ante el Sr. D. Joaquín de Almazan, del Consvjo de S. Mi, teniente corregidor de esta villa, y escribanía de número de D. Saaíiago de Estepar, por sí ó por medio de procurador, á pedir la cuarta parte de bienes que quedaron por muerte de los referidos D. Manuel y Doña Polonia, según su disposición testamentaria; con apercibimiento que pasado, no compareciendo, les parará ei perjuicio que haya lugar…</t>
  </si>
  <si>
    <t>Estepar, Santiago de</t>
  </si>
  <si>
    <t>Santiago de Estepar</t>
  </si>
  <si>
    <t>…coletas de la ciudad de Palcncia, para que en el precuso termino de 30 dias, contados desde el 8 del corriente, mes, acudan al juzgado de dicho señor por la es^tibama de número de D. Santiago de Estepar á deducir sus acciones; apercibidos que no comparecien do pasado dicho término, se procederá á lo conveniente en justicia, y les parará el perjuicio que haya lugar. Por providencia del Sr. D. León de !a Cámara Cano, de! consejo de S. M., te niente primero de…</t>
  </si>
  <si>
    <t>…ncia del Sr. D. León de la Cámara Cano, del Consejo de S. M., te niente primero de corregidor de esta villa de Madrid, y por la escribanía del nú mero y ayuntamiento défi cargo de D. Santiago de Estepar, 4 instancia del Pi prior del convento de S. Felipe el Reai, orden de 3. Agustín de ésta dicha villa, se cita, llama y emplaza por segundo término a todas las personas que tengan derecho de patronato á las capillas que en la iglesia de dicho convento les corr…</t>
  </si>
  <si>
    <t>Estere, Rafael</t>
  </si>
  <si>
    <t>Rafael Estere</t>
  </si>
  <si>
    <t>…y grabadas por D. Isidoro Velazquez: á 30 rs.rrSeis estampas de la artillería vo an te, dibujadas por D. Antonio Guerrero y D. Asensio Julia, y grabadas por Don Tomas Enguídanos, D. Rafael Estere y otros: á 1 a rs. cada una.rzLa plegaria de amor, dibujada y grabada por D. Blas Ametller: á 16 rs.r=El amor maligno, por el original de Aníbal Caracci, dibujada por D. Josef Camarón, y grabada por Don Rafael Esteve: á 16 rs.zz Retrato del V. Fr. Sebastian S…</t>
  </si>
  <si>
    <t>Esteve, Rafael</t>
  </si>
  <si>
    <t>Rafael Esteve</t>
  </si>
  <si>
    <t>…cada una.rzLa plegaria de amor, dibujada y grabada por D. Blas Ametller: á 16 rs.r=El amor maligno, por el original de Aníbal Caracci, dibujada por D. Josef Camarón, y grabada por Don Rafael Esteve: á 16 rs.zz Retrato del V. Fr. Sebastian Sillero, del original de Don Gregorio Ferro, grabada por D. Manuel Salvador Carmona: á 10 rs. ~Retrato de Carlos n, del original de Claudio Coello, grabado por D. Luis Nose^et: i 8 rs.= Retrato del P. Fr. Francisco de…</t>
  </si>
  <si>
    <t>…-. á 11 rs cada una. = Tres vistas del anfiteatro de Murviedro, dir.i o as por el autor cíe las obser vaciones sobre el remo de Valencia D. Jostf Aniomo Cas-anides, y grabados por D. Rafael Esteve y D. Tomas Enguídan* s : a iS rs. cada ur.a.—Vúia en perspecti va de la plaza nueva de la ciudad de . v gec ras, dibujada por ei coronel ce a.iiuexía D. Jcsef Dolz, y grabada por D. Tuinas Engrúdanos, a i 2 rs. {Se cor.t'nuara.) En virtud de providencia del Sr. D. Joaquín Almaza…</t>
  </si>
  <si>
    <t>Estrada, Julián de</t>
  </si>
  <si>
    <t>Julián de Estrada</t>
  </si>
  <si>
    <t>…osiciones al capitán general D. Joaquín Blake, presidente de la junta de nuevas Condecoraciones militares. El teniente coronel agregado al regimiento de infantería de Campo Ma yor D. Julián de Estrada ha solicitado por conducto.del teniente general conde del Abisbal, genera! en gefe que fue del primer egército, que las prero gativas que obtuvieron los defensores de la inmortal Gerona por Real decreto de 3 de Enero de 1810 sean extensivas á los defensores d…</t>
  </si>
  <si>
    <t>Esttvez, Bernardo</t>
  </si>
  <si>
    <t>Bernardo Esttvez</t>
  </si>
  <si>
    <t>…valor de sus números, saliendo á operar en las pizarras, demostrando cuantos problemas se les propusieron á sa tisfacción de las autoridades y lucido concurso. D-. Benito García y Don Bernardo Esttvez explicaron con energía los principios de geometría, re solviendo los teoremas y problemas con acierto; D. Jojef Pequeño y Don Manuel Carballo manifestaron el modo de cuartear la aguja efe marcar en cada uno de sus cuadrantes, los grados y minutos que vale el…</t>
  </si>
  <si>
    <t>Et, Josefde</t>
  </si>
  <si>
    <t>Josefde Et</t>
  </si>
  <si>
    <t>…terior plaza, de la cual hizo dimisión a su llegada á Es paña por d mal esta do de su salud , conservando sc’o la dirección de Ilidrograíia hasta su tallecimiento. El carácter de D. Josefde Et pinosa modesto, sufrido y reservado; su exactitud y esmero en el servicio y desempeñe de sus obligaciones; su propensión á hacer el lien ocultar do siempre que le hacia ; su constancia y buena le en la amistad; su ingenuidad y dulzura en ci trato familiar; su…</t>
  </si>
  <si>
    <t>Eu, Josef</t>
  </si>
  <si>
    <t>Josef Eu</t>
  </si>
  <si>
    <t>…e Meteorología porToaldo, el primer premiado D. Josef Lucio Perez; y habiendo S. E. adjudicado el premio segundo, com puesto de ios mismos libros, excepto el Toaldo y el Laguna, á D. Josef Eu sebio Quintanilla, quedó concluido el acto. ARTICULO DE OFICIO. Circular del Ministerio de Hacienda. Habiendo llamado la atención del Rey las frecuentes solicitudes de</t>
  </si>
  <si>
    <t>Euge</t>
  </si>
  <si>
    <t>…. ESPAÑA. Uinojósa del Duque 29 de Febrero. En este dia se han celebrado exámenes públicos en Ja escuela de prime** ras letras á cargo de D. Josef González, presididos por el Lie. D. Euge nio Jabalquinto y Portillo, corregidor, alcalde mayor por S. M. (que Dios guarde), y hallándose presente el ayuntamiento, los curas párrocos, el guar dián del convento de S. Diego, el custodio de la provincia religiosa de los Angeles , difyiidor, lectores jub…</t>
  </si>
  <si>
    <t>Eulate, Ramón</t>
  </si>
  <si>
    <t>Ramón Eulate</t>
  </si>
  <si>
    <t>…hicieron á la vela los enemigos, sufriendo un fuego horroroso; llevaron muchas averías, y una goleta perdió uno de sus palos, fondeando todos en Bocachica. ,,El capitán de fragata D. Ramón Eulate despachó á la goleta Fernan do vil á avisar al comandante de la fragata Iíigenia la novedad de haberse rendido la plaza, y yo le avisé á aquel, para que con todas las fuerzas de barlovento se pusiese 4 las órdenes de dicho comandante, colocase dos go letas en…</t>
  </si>
  <si>
    <t>Eulate, Vicente</t>
  </si>
  <si>
    <t>Vicente Eulate</t>
  </si>
  <si>
    <t>…o presidente de su diputación eri corte; D. Francisco María de Campuzano, como director de la misma so ciedad; D. Martin Fernandez iNavarrete, como secretario de la diputación,, y D. Vicente Eulate, individuo de ella; el primero de los cuales dijo á SS. MM.: „Señor: La sociedad patriótica Riojana, de quien somos los represen tantes, mira ya cumplidos sus ansiosos votos en el venturoso enlace de V. M. con la augusta Infanta de Portugal Doña Marta Isabel…</t>
  </si>
  <si>
    <t>Europa, Quijote de U</t>
  </si>
  <si>
    <t>Quijote de U Europa</t>
  </si>
  <si>
    <t>…s librerías de Pcrez, Rtnz, Higuera y Minutria, y en París en la de Rodríguez: y en las mismas se hallarán la Historia razonada de la gloriosa revolución de Es paña, e! Napoleón ó D. Quijote de U Europa, las sencillas reflexiones sobre la cons titución, y el tratado de Simón Abril sobre el mejor modo de estudiar las ciencias. EN LA IMPRENTA REAL.</t>
  </si>
  <si>
    <t>Eutwell</t>
  </si>
  <si>
    <t>…entre muertos y lieridos 74 soldados.Todas nuestras fuerzas no llegaban á 500 hombres, com prendiendo los soldados de marina y los marineros de los cruceros, acaudi llados por el capitán Eutwell, que han hecho grandes servicios. FRANCIA. JDijon 20 de Noviembre. Ayer pasó por esta ciudad, con dirección á París,un sugeto libertado úl timamente de la esclavitud de los argelinos en virtud del tratado hecho con lord Exmouth. Este hombre fue sirviendo á S.…</t>
  </si>
  <si>
    <t>Eüzalde, Pió</t>
  </si>
  <si>
    <t>Pió Eüzalde</t>
  </si>
  <si>
    <t>…canónigo de Ciudad-Rodrigo, é inquisidor de Llerena. Idem de intendente de Egército A D, Bernardo Temes, D. Antonio Barata y D. Diego de la Torre, di rectores del Crédito público; D. Pió Eüzalde, ídem de Reales provisiones; D. Carlos Rusconi , cónsul en Venecia, y D. Rafael Ruiz de Arana, ministro del tribunal de Cruzada. Idem de Provincia Á D. Mariano Vallejo, superintendente y director de las Reales fábricas de Guadalajara; D. Pascual Román, contad…</t>
  </si>
  <si>
    <t>Ex</t>
  </si>
  <si>
    <t>…erbería , y que él mismo positiva mente declaró que las intenciones desgobierno ingles no fcran e)l mezclarsej sino en los asuqtos dje.su, nación;; porreonsiguiente argüía que el’ lord Ex mouth solo seria ahora un negociador en lo relativo á los estados del Rey de Ñapóles y del de Cerdeña/, y que deljfcria tener instrucciones posteriores á las del cónsul de Francia, á fin de hacerle suspender sus negociaciones. El almirante cortó estos razonam…</t>
  </si>
  <si>
    <t>…inarias tantas veces concluidas con la regencia. El rescate por los esclavos napolitanos asciende á un millón y 70© duros. La escuadra llegó el ti de Abril delante de Túnez, donde lord Ex mouth tuvo mejor suerte que en Argel, consiguiendo que los esclavos napo litanos fuesen entregados á ;co duros por persona y los esclavos sardos por nada. El número de los infelices que por estos convenios recobraran su liber tad es de cerca de ^0. Como el be…</t>
  </si>
  <si>
    <t>Exarque, Lqís</t>
  </si>
  <si>
    <t>Lqís Exarque</t>
  </si>
  <si>
    <t>…ayor de las Descalzas Reales, consejero, honorario del de Castilla, y sumiller de cortina de S. M.j D. Valentín Zorrilla de Velasco, inquisidor fiscal del Sto. Oficio de corte „ y D. Lqís Exarque, caballero pensionado de Ja Real y ¿distinguida orden de Carlos iii , inquisidor honorario del Sto. Ofi cio-de, corte y-secretario de ia Patriarcal; habiendo el primero manifestado del-nipdo mas expresivo los sentimientos de amor y fidelidad que animan á tan…</t>
  </si>
  <si>
    <t>Excelmans</t>
  </si>
  <si>
    <t>…ue ha formado parte de la guarnición de Maguncia , llegó el 18 á Manheín, desde donde continuó su marcha para los Estados hereditarios. PAISES-BAJOS-UNIDOS. Bred * 24 de Julio. El general Excelmans, que entró el 15 ea esta ciudad , acaba de ser ar restado por un oficial de policía que quería llevarle á la cárcel; pero habien do reclamado el general, y apoyado su reclamación el comandante de la plaza , su antiguo compañero de armas, se le permitió perman…</t>
  </si>
  <si>
    <t>Exinouth</t>
  </si>
  <si>
    <t>…El almirante argelino, conocido por sus intenciones hostiles contra los ingleses, fue decapitado en la noche de la batalla por orden dd dey , porque le habia aconsejado resistir á lord Exinouth. La vuelta del tiempo húmedo, muy perjudial á la siega, ha lucho alzar</t>
  </si>
  <si>
    <t>Exinoutli</t>
  </si>
  <si>
    <t>…io, como tan interesado en esto, ha ofrecido á S. M. contribuir con todos sus esfuerzos para poner fin á la in solente piratería que egercen , especialmente después del tratado de lord Exinoutli, que no ha servido sino para hacerlos mas osados. GRAN BRETAÑA. Londres 4 de Julio. Ayer se recibió por la via de Malta la noticia de que en Túnez se han cometido las reumas atrocidades que en Bona, habiendo sido asesinados mu chos críspanos ingleses, frances…</t>
  </si>
  <si>
    <t>Exmomh</t>
  </si>
  <si>
    <t>…arista Puif, intercaló en las noticias que le yó, antes de entregarlas á la prensa , el pasage siguiente:,, Acabo de hacer al gunas reflexiones sobre las noticias recibidas hoy de lord Exmomh, concer nientes á los sucesos gloriosos de nuestra expedición contra Jos argelinos. Su ciudad destruida, su escuadra quemada, y su Príncipe obligado á pedir la paz, son los resultados de nuestros esfuerzos; lo cual convencerá sir duda al mundo de la humanidad…</t>
  </si>
  <si>
    <t>Exmouhh</t>
  </si>
  <si>
    <t>…, que ha de presentarse al parlamento sobre el es tablecimiento militar, solicitando su reducción, como también la disminución en los gastos públicos. Un oficial de la escuadra de lord Exmouhh escribe de Malta, con fecha de 26 de Enero, lo siguiente: Hace algún tiempo-que los piratas berberís-* eos están cometiendo grandes depredaciones en los estados europeos, y el buen éxito les ha hecho tan.insolentes que han osado atacar al pabellón ingleSi En…</t>
  </si>
  <si>
    <t>Exmoulrh</t>
  </si>
  <si>
    <t>…tos mas notables‘de la in dustria nacional, y por la noche asistieron al teatro, en donde fueron reci bidos con mil aclamaciones. PI AMONTE. Gíno.va 2j de Aíarzo. A la escuadra de lord Exmoulrh, que dió la vela el día 1 r de este mes, se ha reunido el navio de línea el Ber-wick.- parece que esta escuadra está destilada á una expedición secreta, cuyo objeto se ignora.</t>
  </si>
  <si>
    <t>Exmouth</t>
  </si>
  <si>
    <t>…gleses tienen orden de no oponerse á viva fuerza á las piraterías de los berberiscos cometidas á vista suya; y sola mente se les permite emplear medios de persuasión. Ei almirante lord Exmouth, comandante de las fuerzas británicas en el Mediterráneo, encontró últimamente un corsario de Argel, quien le pidió víveres para 200 esclavos cristianos que había cogido en las costas de la Pulla y de la Marca deAncona, amenazando que los tiraría al mar, si e…</t>
  </si>
  <si>
    <t>…de Austria. No se sabe el objeto de la comisión del Prín cipe reinante. PI AMONTE. Génova ti de Marzo. El día 3 del corriente ancló en este puerto la escuadra británica que manda lord Exmouth, y se compone del . navio de línea Byonas á cuyo bordo se halla el almirante; del Ajax y del Leviathan ; de la corbeta Hermcsf y de los bergantines Piloto y, Bayitern , y de un gran número de transportes. El antiguo Rey de Sue ia parece que ha abandonado su p…</t>
  </si>
  <si>
    <t>…Valais están en esta ciudad hace dias con el objeto de negociar una capitulación de un batallón de su distrito. ITALIA. Liorna 24 de Marzo. Xa escuadra inglesa, á las órdenes del almirante Exmouth, se ha hecho</t>
  </si>
  <si>
    <t>…uerte. Idem 15. Algunos periódicos ingleses del 11,cuyos editores deberían estar mejor informados, han repetido la noticia publicada por la gaceta de Francia de que la escuadra de lord Exmouth se había hecho á la vela para los Abruzzos,á fin de ocupar las fortalezas de aquellas provincias; pero el hecho cier to es que dicha escuadra ha salido de Génova para Inglaterra, donde se es pera de un dia á otro. El coche del regicida Roger-Ducos, que se dir…</t>
  </si>
  <si>
    <t>ESPAÑA. Barcelona go de Abril• Un oficial de la escuadra de lord Exmouth en carta escrita á un amigo suyo en Mahcn, fecha 6 de Abril, dice lo que sigue: ,, Todas nuestras relaciones con Argel han sido arregladas satisfactoria mente: consisten en haberle hecho firmar la paz con la Cerdeña bajo los mismos términos y condiciones que…</t>
  </si>
  <si>
    <t>488</t>
  </si>
  <si>
    <t>…ciendo saber qífó frov podía continuar lastentativas sobre el país fti^ el rescate d'e' los cautivos napolitanos. En fin, des pués de las mas serias y vivas discusiones ^consiguió lord Exmouth la liber tad sin estipendio alguno de los esclavos sardos, y mediante la promesa de un donativo se pondrán en libertad también los cautivos napolitanos; condes cendiendo por último; el:Uajá éh^dmirir la ‘mediación* dé la Inglaterra para ajustaf’ lás paces dif…</t>
  </si>
  <si>
    <t>ExmÓuth</t>
  </si>
  <si>
    <t>…a. escuadra inglesa compuesta de seís riávíósq únó dedllos de tres puéates p dos fragatas,: lina corbefay cinc b-bergantines', una goleta y tres transportes al mando dél,almirante lord ExmÓuth, y del contra-almirante PemrÓse. La Princesa manifestó que. nada tenia qiie1 ver corrdbs sr$untós'.'pp!£ticos, y. que deseaba ir. ai convite del baja ; Ip^qué^áé efectuó ,y edh mucha ■satr^facCibii suya foe'recibida y obsequiada1 pór lós dos hijos dél bajá y…</t>
  </si>
  <si>
    <t>…inción y respeto. En la misma tarde , estando la Princesa con el almirante, vieron las órdenes é instrucciones del cónsul de Francia relativas á los asuntos de Ñapóles. Parece que lord Exmouth sintió .mucho tales disposiciones, que contrariaban sus miras. El dia 14 ai cumplir las 24 horas envió el bajá su respuesta al almirante diciendo que no quería absolutamente ceder por fuerza ios esclavos napolita nos, porque la misma corte deNápoles le ofrecí…</t>
  </si>
  <si>
    <t>…ro de S. Cirios. El pueblo sigue dando á este Príncipe las mq ores pruebas de amor. PIA MONTE. Génova 23 de Mayo. Se han publicado los pormenores siguientes sobre la expedición de lord Exmouth contra Ls regencias berberiscas. La eccuadra se reunió) en Puerto Mahon., v se componía de ios buques si guiente' : e! Bdne de 90 cañones, á cuyo bordo iba el almirante ; ti hom~ ¿c. r c. .-i 4 de 74 ; J Leviatan de 94; el Montayne de 74; si. te ♦ v.. ro rrr.…</t>
  </si>
  <si>
    <t>…a, la eicuadra recibió orden de prepararse para el combate, y de es tar pronta para el dia siguiente. Llegado este, é impidiendo los vientos á la encuadra el acercarse al puerto , lord Exmouth resolvió de&lt;e "burear, como en efecto lo hizo. Algunas horas después S. E. volvió á bordo de su navio, habiendo obtenido con la firmeza de su conducta algunos de los ar tículos que pedia. Según el tratado concluido con el dey todos los esclavos napolitanos y…</t>
  </si>
  <si>
    <t>…lia y de la isla de Malta se ha sabido que el bey deTúnez ha sido asesinado por su hijo,quien se habia hecho cabeza de una porción de descontentos á causa del tratado ajustado con lord Exmouth, especialmente por un artículo de él, en que se establece la abolición de los esclavos cristianos. Inmediatamente después de este levantamiento los tunecinos han hecho tripular una gran porción de cor sarios. Casi al mismo tiempo de recibir esta noticia » hem…</t>
  </si>
  <si>
    <t>…o; bien que este último ha po dido escapar. Atribuyese esta horrorosa atrocidad á una insurrección dima nada del descontento que han causado en Argel los tratados concluidos entre lord Exmouth y el dey. No liá mucho tiempo que tuvimos noticia de otra insurrección en Túnez , originada de la misma causa,de cuyas resultas los se diciosos se apoderaron de varios buques, y los armaron para egercer sus acostumbradas piraterías. Resulta de todo que son in…</t>
  </si>
  <si>
    <t>775</t>
  </si>
  <si>
    <t>…ya definitivamente arreglado. GRAN BRETAÑA. Londres i.° de Julio. Este Gobierno ha tomado, como era de esperar, providencias prontas y enérgicas contra las potencias berberiscas: lord Exmouth , q e llegó diis hi á esta capital, y ha tenido desde entonces frecuentes conferenci.is con el pri mer lord del Almirantazgo, sale mañana para Porrsmouth, y se hara desdo alli á la vela con una escuadra para Argel. Hoy ha llegado á esta capital el esclarecido…</t>
  </si>
  <si>
    <t>…cit en el trimestre de Julio ; de suerte que el Morning chronicle pudiera con mas razón haber vaticinado entonces un déficit general, el cual tampoco hubo. La escuadra al mando de lord Exmouth está ya pronta para dar la vela, y solo espera viento para salir. H Aladagascar, fragata que manda el capi tán Gord m, se incorporará también en la expedición contra los berberiscos. Se dice ademas que no solamente la escuadra holandesa, sino también la na po…</t>
  </si>
  <si>
    <t>Idem 2$. Habiéndose mudado ayer el viento se hizo á la vela la escuadra que man da lord Exmouth, y esperamos que dentro de poco tiempo serán reducidos á la razón los berberiscos. Se han recibido noticias de la India hasta el 3 de Marzo. Según ellas el general Ochterloni empezó las hostilidades,dejando á sus espaldas tres plazas fuertes para dirigirse en…</t>
  </si>
  <si>
    <t>…os. Se presume que el Dey será sostenido por las tropas del Rey de Marrue cos. Este musulmán, que se precia de político, ha dicho algunas bufonadas acerca de la conducta del noble lord Exmouth por no haberse aprovechado de su situación ventajosa en la anterior expedición. Es indudable que el lord le responderá de manera que le quite la gana de bufonear. » PRUSIA. Berlín 20 de Julio. La partida del Rey para Carlsbad está determinada para el día 23 d…</t>
  </si>
  <si>
    <t>cruzar en las costas de Africa. Aunque se habla dicho que irían á reunirse con la escuadra de lord Exmouth , y que estarian á sus órdenes , parece ya positi vo que obrarán en conformidad á las órdenes de la corte de Viena , y que no están destinados para atacar á las regencias berberiscas, siendo mas bien unos ligeros cuerpos de &lt; bservación parav estar á la mira…</t>
  </si>
  <si>
    <t>…y de consiguiente han de dar mucha luz sobre las relaciones personales del Du que, y sobre la historia y caricter de los últimos acontecimientos. Muchos creen que la expedición de lord Exmouth no va únicamente des tinada contra Argel y Túnez. La falta de un cuerpo de tropas de desembar co hace presumir que las operaciones contra las regencias barberiscas se limi tarán á un bombardeo, que es verosímil sea seguido de la pronta sumisión de los piratas…</t>
  </si>
  <si>
    <t>…querer recibir visita alguna, ni aun la de los comisarios de las potencias que habían llegado de Inglaterra con el caballero Pultney Maicoím. Ayer se dijo aquí que la escuadra de lord Exmouth estaba ya delante de Argel; pero nos parece muy prematura esta noticia. Se teme que empiece de nuevo la guerra en la India contra el Napaul. El Duque de Cambridge debe salir de Londres en la primera semana de Setiembre para volver á Hannóver. FRANCIA. Parts 2…</t>
  </si>
  <si>
    <t>993</t>
  </si>
  <si>
    <t>…° Minuta Je una conversación entre el Dey de Argel y e! espitan Jaime Brisbane del navio de S. M. la Reina Carióla, tenida en el d.a 2^ ce .Agos to de 1816 por orden del almirante lord Exmouth. j,Informe al Dev que lord Exmouth esperaba diese una satisfacción por el insulto hecho ai cónsul ingles , por el mal tratamiento que se le había da do, y por el insulto que de esto resultaba á la nación inglesa. ?,Ll Deyr respondió que estaba pronto a hacerl…</t>
  </si>
  <si>
    <t>…o9 duros. LaescuiJra c msi tia en el navio Reina Carlota, el Impregnable, el Minden, Albiony Sjperle, ademas de las fragatas &amp;c. La-pér dida de los ingleses ha sido la ‘iguL*1 te: lord Exmouth y los capitanes Ekins y Codd heridos, y 888 entre mu rt^s y heridos: los holandeses nan tenido 10 muertos y 40 heridos. El Impregnable padeció mas que ningún otro por ha ber reventado en él dos bombas.__ El almirante Pemrose llegó el día des pués de la acción…</t>
  </si>
  <si>
    <t>…se hizo á la vela para Gibraltar un bergantín de guerra después de haber conferenciado su capitán con sir Enrique Lushingtun, y no dudamos que haya ido con el objeto de informar á lord Exmouth de la llegada de la escuadra americana y de sus intenciones hostiles.__ Las tropas austríacas , de las cuales ha tomado el Rey á su servicio 15© hombres, han ocupado ios fuertes y el castillo: los puestos se han doblado en las ba terías , y los artilleros est…</t>
  </si>
  <si>
    <t>…cumplido el aniversario de su matri monio contraido hace 5 5 años. Se sabe que ia escuadra anglo-americana dio la reía de Gibraltar 15 dias antes que llegase á aquel puerto la de lord Exmouth, quien había anunciado at comandante americano que no necesitaba la asistencia de sus fuerzas como le había ofrecido. El Gobierno de íos Estados-Unidos ha hecho saber de oficio que desde el día 20 de Febrero próximo no se recibirán los billetes de bancos part…</t>
  </si>
  <si>
    <t>…n por los judíos de Gibraltar de la venida de la escuadra, lo que dió Jugar á que sa liesen casi tocias las familias á los jardines* A Los argelinos entregaron al almirante ípgles lord Exmouth gran cantidad de dinero, que se embarcó á bordo del navio Carlota ;de forma que el re saltado ha sido e4 perder los argelinos, su mejor gente, su escuadra* sus fa~</t>
  </si>
  <si>
    <t>…e* ranzas de hacer otros en lo sucesivo. "Nota de los buques de que se componía la escuadra inglesa y holandesa que batió la plaza de Argel. \ &gt; Navios. La Real Carlota, almirante lord Exmouth, de no cañones; el Impregnable, al mando del vice-almirante Millen, de 98; el Soberbio , al del capitán Kins, de 74; el MinJen, al de Guillermo raterson, de 74; el Albion, al de Juan Coode, de 74: estos tres últimos de línea. Fragatas. La Leandra, al mando de…</t>
  </si>
  <si>
    <t>…mouth vuelve á Inglaterra, con lo cual se desvanece la noticia que había circulado en París de que dicho almirante pasaba á Túnez y á Trípoli. En lo mas recio del combate de Argel lord Exmouth y el capitán Brisbaae estaban conferenciando , cuando este último recibió un golpe de una bala fría , que le tiró al suelo. Lord Exmouth llamó en seguida al primer te niente; y le dijo: „El infeliz Brisbane ha muerto: tomad el mando.” Le vantándose entonces e…</t>
  </si>
  <si>
    <t>…la victoria consegui da contra los argelinos. El teniente de navio Arriens llegó esta mañana con pliegos del vice-almirante Vander-Capcllen, los cuales están conformes con los del almirante Exmouth. Nuestra escuadra, igualmente que la inglesa, es taba animada de los mas nobles sentimientos á favor de la causa de la hu manidad. Ei orden y la tranquilidad con que se correspondió al fuego horro roso de las baterías , tan cerca de las fuertes murallas de Ar…</t>
  </si>
  <si>
    <t>…ticias so bre este particular, por cuanto pudieran resultar algunos inconvenientes si llegasen á acreditarse los rumores de semejante proyecto. AL principio de ia primavera pasada lord Exmouth recibid instrucciones para tratar con las potencias berberiscas, á fin de que las islas Jónicas fuesen consideradas como posesiones británicas, y negociar al mismo tiempo una paz entre los berberiscos y los reinos de Ñapóles y de Cerdeña, tratando al paso de…</t>
  </si>
  <si>
    <t>…e rio varios barcos magníficos; pero ninguno tan suntuoso como este.’* Idem 24. La gaceta ministerial de ayer anuncia que el Príncipe Regente ha confe rido el título de vizconde á lord Exmouth. Al mismo tiempo ha nombrado S. A. R. al contra-almirante Milne caballero comendador de la orden del Baño , y ademas ha conferido el titulo de caballeros á otros varios capitanes de navio que se han distinguido en el combate de Argel. Ayer se recibieron plieg…</t>
  </si>
  <si>
    <t>…urrida en este negocio dimanó de haber reusado el Dey entregar dos españoles que estaban hacia tiempo presos como sospechosos ó acusados de graves delitos; pero habiendo insistido lord Exmouth fueron entregados, y ya estaban á bs/rdo del navio almirante cuando se expidieron los pliegos. ESPAÑA. Madrid 14 de Octubre. El día 4 del corriente mes tuvo la honra de felicitar á S. M., á nombre del rector y cabildo de beneficiados de la villa de Valls D Fr…</t>
  </si>
  <si>
    <t>…ristianos; y es del te nor siguiente: ,, Declaración de S. A. S. Omar, bajá, dey y gobernador de la belicosa ciudad y reino de Argel, hecha y firmada con el muy honorable Eduardo, barón Exmouth, caballero gran cruz de la muy distinguida orden del Baño, almirante de la escuadra de S. M. Británica, y comandante en gefe de los navios y buques de S. M. empleados en el Mediterráneo. „En consideración al grande ínteres manifestado por S. A. R. el Prínci p…</t>
  </si>
  <si>
    <t>…de haber devuelto el dey 1655382500 duros que había recibido de los Gobiernos de Ñapóles - y Gerdeña * y haber puesto en libertad 1013 esclavos cristianos que había en Argel, supo lord Exmouth que aun se ha llaban en una mazmorra , bajo el pretexto de estar presos por deudas , dos españoles, de los cuales uno era el vice-cónsul y otro un comerciante. Las representaciones que hizo S* E. sobre el particular le convencieron de que estaban injustamente…</t>
  </si>
  <si>
    <t>…mó el mando del navio la Reina Carlota. Idem 10. Según las noticias dadas por uno de los dos cautivos españoles, que de bieron últimamente su libertad á la firmeza y constancia de lord Exmouth, era en extremo deplorable la situación de los esclavos cristianos en Argel. Estos infelices empezaban á trabajar al romper el dia, y no lo dejaban hasta la tarde , en que principiaba el culto supersticioso de los moros, dos horas ano tes de ponerse el sol. V…</t>
  </si>
  <si>
    <t>…nas el'embajador de Rusia había principiado los preparativos para alojar á 5. A., pues no le esperaba hasta pasadas tres semanas. El Príncipe Regente dará mañana un gran convite á lord Exmouth y á los principales oficiales de su escuadra. FRANCIA. Parts 1$ de Octubre. S. M. decretó el 11 de Setiembre que á los militares, á quienes se dio li cencia absoluta al tiempo de disolver el antiguo egército, y que después se han alistado ó se alistaren volun…</t>
  </si>
  <si>
    <t>…barón de StrogonofF. Habiendo después propuesto la Puerta que enviaría una corbeta turca para el viage de Mr. Italinsky, no fue aceptada. Al saber el resultado dé la expedición de lord Exmouth, el pueblo de Oonstantinopla manifestó al pronto el mas vivo interes en favor de los arge linos , creyendo que toda lá ciudad había perecido $ pero poco á poco se fue ron calmando los ánimos. El capitán bajá, que se hallaba con su escuadra en la rada de Smirn…</t>
  </si>
  <si>
    <t>…RANCIA. JDijon 20 de Noviembre. Ayer pasó por esta ciudad, con dirección á París,un sugeto libertado úl timamente de la esclavitud de los argelinos en virtud del tratado hecho con lord Exmouth. Este hombre fue sirviendo á S. A. R. el conde de Artois al sitio deGibraltar cuando tenia 15 años; y habiéndose embarcado en un buque que llevaba órdenes al conde de Estaing, fue á dar á la costa de Africa, don- de le cogieron unos árabes, y después le vendi…</t>
  </si>
  <si>
    <t>9</t>
  </si>
  <si>
    <t>…inete de mucho peso para forjar anclas. La escuadra anglo americana ha llegado á la bahía deGibraltar de vuel ta de Argel. Parece que el Dey, aterrado todavía con la expedición de lord Exmouth, ha concedido sin oposición cuanto exigían los anglo-americanos. Idem i.° de Diciembre La Junta popular anunciada para mañana en Spa-Fields ha hecho to mar las precauciones necesarias á fin de que se mantenga la tranquilidad; no porque el Gobierno tema alguna…</t>
  </si>
  <si>
    <t>…los lagos y ríos de corriente rápida del interior de Africa. También se ocupó la junta en fijar definitivamente la leyenda de la medalla histórica que ha de grabarse en honor del vizconde Exmouth. Se asegura que el duque de WelHngton llegará á esta capital el 25 del corriente. El 3 safó de Camibray para Bruselas-, donde se hallaba el gene ral Murray, gefe de estado mayor del egército ingles. En él periódico intitulado Diario de la Bélgica del 4 de ¡es…</t>
  </si>
  <si>
    <t>…reído d&gt; Ixr informar á V. ti. que cuando oficie'al Bey de Túnez y al Bajá de •Trípoli , á consecuencia de la gran victoria ganada por la escuadra de S. M., al mar do di almirante lord Exmouth en Argel, escribí ai mismo tiempo á SS„ AA., recomendándoles que en honor de S. A. R. el Príncipe Regente, y Condescendiendo., con sus notorios sentimientos de humanidad, entregasen to dos los criítianos detenidos en sus dominios, habiendo terminado ya la esc…</t>
  </si>
  <si>
    <t>Exorno</t>
  </si>
  <si>
    <t>…y la interce sión poderosa de la Virgen y h s Saraos, para que sa va mi pobrerira a¡ma, vaya á pedirle a Dios incesantemente el remedio de tantos mates como he causado. Estos son, Sr. Exorno., mis sentimientos, qre desto leguer á noticia de todos para que se aprovechen de e.Ics los extraviados, representándote en el trance en que me vto ; y pruder árdeles con !a e!« tcernía á rué n« al canzo en las oiréunstarcus en que me tullo, sup.ico á V. E. *…</t>
  </si>
  <si>
    <t>Exrapúth</t>
  </si>
  <si>
    <t>…iop empezaba ya la soldadesca á dar indicios que en llegando á romper el fuego seria muy amarga la situación de todos los cristianos, pues hubieran sido sa crificados. Sin embargo lord Exrapúth pidió otra atrdienaia al bajá para el dia si guiente (15 de Abril) á las séisjde la mañana. Se le respondió que siendo una hora incómoda no podrían admitirle, y lo diferían para las ocho; por lo que</t>
  </si>
  <si>
    <t>Eyaralar, Ramón de</t>
  </si>
  <si>
    <t>Ramón de Eyaralar</t>
  </si>
  <si>
    <t>…de ios Borbones.” El día ir de Junio último tuvieron el honor de cumplimentar á S. M., y besar su Real mano en nombre del cabildo catedral de Cuenca ,D. Guillermo Hoalde, chantre, D. Ramón de Eyaralar, arcediano de Moya, D. Joscf Santibañez, canónigo, y D. Pablo Lorenzo Carrasco, doctoral de la misma iglesia ; y el primero dijo: „Señor: Él cabildo catedral de Cuenca, constante en los sentimientos de lealtad y amor á vuestra Real Persona, que en varias ocas…</t>
  </si>
  <si>
    <t>Eyaralazcapellán, Ramón</t>
  </si>
  <si>
    <t>Ramón Eyaralazcapellán</t>
  </si>
  <si>
    <t>…es y canónigos siguientes: . El arcediano de Huete D- Raimundo Ettenhard: y Salinas » ministro del Consejo de S. M. en el de la suprema y general Inquisición; el arcediano de Moya D. Ramón Eyaralazcapellán de honor de S- M.., y confesor del Sermo¿ .Sr- Infante D- Antonio;; el prior y canónigo D. Josef Amarilla,, mi nistro» d'eL Conseja dé S.. M.. en el de la suprema, y general Inquisición; el canónigo D. Juan García Iñigor capellán dé honor, y del mismo Consejo…</t>
  </si>
  <si>
    <t>F'rancisca, Isabel</t>
  </si>
  <si>
    <t>Isabel F'rancisca</t>
  </si>
  <si>
    <t>…l.del reino que la ha sido encomendada; no puede menos de tribu tar la mas sincera enhorabuena por el plausible suceso del augusto matrimo nio de V. M. con la Reina nuestra Señora Doña Isabel F'rancisca , del que se promete, junto con las satisfacciones particulares, las mayores ventajas del reino. Y para que asi se verifique, no dejará incesantemente de implorar los auxilios del cielo." El mismo dia 8 tuvieron la honra de presentarse á cumplimentar al Rey n…</t>
  </si>
  <si>
    <t>F, Manuel</t>
  </si>
  <si>
    <t>Manuel F</t>
  </si>
  <si>
    <t>…orte de Leinos 1500 rs. vn. — El capitán de fragata D. Francisco Rodríguez del Manzano 1® rs. vn. que en tregó en 1808 de préstamo, según recibo del tesorero de.la juma de Murcia. D. Manuel F rey re, procurador general de la ciudad de Santiago, ha ofre cido para socorro de las urgencias multares de aquella provincia la renta de un año que corresponde á su hijo racionero de Sancti Spiritus, y lo restan te hasta completar 6o$ rs. vn.; proponiendo ad…</t>
  </si>
  <si>
    <t>Fabier, Mateo</t>
  </si>
  <si>
    <t>Mateo Fabier</t>
  </si>
  <si>
    <t>…ión adjunta, en que solicita que el Superintendente de la Real Fá brica de Tabacos de aquella ciudad le devuelva la libranza de 62481 reales y 27 maravedís que presentó , dada por D. Mateo Fabier, Intendente del egército francés en tiempo de la dominación enemiga , cuya representación paso á V. E. para que se resuelva cual corresponde por el Ministerio de su car go, y que después me la devuelva para dar el curso conveniente por este de Estado á la rec…</t>
  </si>
  <si>
    <t>Fabricius</t>
  </si>
  <si>
    <t>…que volviese á egercer pacífi camente las funciones de su ministerio. DINAMARCA. Copenhague $ de Julio. Por un convenio ajustado entre Mr. Rothe, comisario de nuestra marina, y el almirante Fabricius, la Dinamarca cede á la Suecia por la suma de escudos en dinero sus buques de guerra que se quedaron en los puertos de Noruega. En el Sund se espera una escuadra rusa, que debe conducir algunas tro pas destinadas á completar el egército ruso de ocupación que…</t>
  </si>
  <si>
    <t>Fadrique</t>
  </si>
  <si>
    <t>…pado de León, el caal tiene de asignación 4© rs. anuales. Se admiten memoriales hasta el i.° de Abril próximo. Se halla vacante el partido de cirujano de la villa de la Puebla de D. Fadrique, provincia de la Mancha, cuya población es de unos 400 vecinos: su dotación son 300 ducados, cobrados y pagados por la justicia por tercios, y á mas casa, lo que produzca el estado eclesiástico y golpes de mano airada. Se admitirán memoria les hasta el 30 de…</t>
  </si>
  <si>
    <t>Fajar, Diego Saavedra</t>
  </si>
  <si>
    <t>Diego Saavedra Fajar</t>
  </si>
  <si>
    <t>…e la traducción, y por el lenguage puro y correcto-con que está escrita: un totno en 4.0 de buena impresión, adornado con una estampa , á 24 rs. en pasta.zr República literaria de D. Diego Saavedra Fajar do: un tomo en 8.a marquiila de buena impresión, adornado con láminas y una por ción de viñetas finas, á 24 rs. en pasta. Se hallaran en las librerías de B.run, frente á las gradas de S. Felipe, y de Rodríguez, calle de las Carretas. Nicimíento, vida, prisión…</t>
  </si>
  <si>
    <t>Fajardo, Diego de Saavedra</t>
  </si>
  <si>
    <t>Diego de Saavedra Fajardo</t>
  </si>
  <si>
    <t>…in de Alpizcueta, Pedro Chacón, D. Bernardino de Rebolledo, y D. Luis de Góngora.= Cuaderno 6.°: D. Alonso Tostado, Luis Vives, D. Diego Hurtado de Mendoza, D. Gerónimo de Zurita, D. Diego de Saavedra Fajardo, y D. Alvaro Navia Osorio.—Cuaderno 7.0: D. Luis de Requesens, D. Bartolomé Leonardo de Argensola, D. Francisco Valles, D. Juan de Ribera, D. Juan de Palaíox y Mendoza, y el Mt ro. Fr. Luis Ponce de León. (iV continuará.') Por providencia de los Sres. del Rea…</t>
  </si>
  <si>
    <t>Fajardo, JosefClavijo</t>
  </si>
  <si>
    <t>JosefClavijo Fajardo</t>
  </si>
  <si>
    <t>…a villa de Madrid, dada por la escribanía riel número de D. Cristóbal de Vicuña, se saca á pública subasta un gabinete de histo ria y meneralogia, perteneciente á los herederos de D. JosefClavijo Fajardo, al cual se halla hecho postura en la cantidad de 5© rs. vn. Quien quisiere mejorarla acuda á la audiencia de dicho señor ei dia 29 cítfcorriente, dia señalado para su remate, con apercib:miento de que no haciéndolo se rematará en esta suma. Por providencia d…</t>
  </si>
  <si>
    <t>Falcro, Sebastian Martínez</t>
  </si>
  <si>
    <t>Sebastian Martínez Falcro</t>
  </si>
  <si>
    <t>…un diputado por el ayuntamiento de la villa de San Pedro de Palmiches. El cura párroco y ayuntamiento de la villa de Priego. El alcalde de Alcobujate á nombre de su ayuntamiento. D. Sebastian Martínez Falcro, presbítero, y D. Francisco Martínez V¡llanueva á rombre del putHo de Saelices. D. Lúeas Escacha y D. Gabriel Talamanco, diputado por el ayunta miento de la villa de Orche. El párroco de la villa de Millana en nombre de sus feligreses. El cura párroco de la v…</t>
  </si>
  <si>
    <t>Fando, Juan López</t>
  </si>
  <si>
    <t>Juan López Fando</t>
  </si>
  <si>
    <t>…entos y contratos del mismo autor, corrigiendo lo esmerado en éi sobre ei prurito, que no es conforme á la citada Real cédula poste rior á !a publicación de aquella obra: su autor D. Juan López Fando. Se hallará en la librería de Escovar, calle andii de Majadeólos, núm. 8 y 9, á 6 is. en pasta. Ei n* ble ariepentijo al poder de ia razón s( bre el uso y abuso del coche. Se hallará en la librería de Calleja, calle de las Cañetas. EN LA IMPRENTA REAL.</t>
  </si>
  <si>
    <t>Fantoni, Rafael Ignacio</t>
  </si>
  <si>
    <t>Rafael Ignacio Fantoni</t>
  </si>
  <si>
    <t>…aquín Almazan y Xímeno, del Consejo de S. M., teniente corregidor de esta villa , dada por la escribanía del número al cargo de D. Cristóbal de Vicuña , se cita, llama y emplaza á D. Rafael Ignacio Fantoni, O. Ensebio Domingo de Urqutjo, D. Josef Vidal y Garriga, D. Fran cisco Arger é hijos, D. Agustín Alcgrin, D. Domingo Perez é hijo, D. Miguel Alvarez de Pazos, D. 'Carlos Bazzoni y D. Jaime Ordeix, interesados en un vale Real de 600 pesos, creación de j.° de…</t>
  </si>
  <si>
    <t>Fantoni, RaLel Ignacio</t>
  </si>
  <si>
    <t>RaLel Ignacio Fantoni</t>
  </si>
  <si>
    <t>…aquín Almazan y Ximcno, del Consejo de S. M., teniente corregidor de esta villa ,dada por la escribanía del número al car go de D. Cristóbal' de Vicuña, se cita, llama y emplaza a D. RaLel Ignacio Fantoni, D. Eusebio Domingo de Urquíio, D. J &lt; se f Vidal y Garri ga, D. Francisco Arger é hi,ps, D. Agustín Alecrín, D. Domingo Pérez é hijo, D. Micuel Alvarez de Pazos^D. Carlos Buzzoni, D. Josef Ventura Al» ¡, D Fidel M» rago y D. Jai me Ordeig, tenedores de un va…</t>
  </si>
  <si>
    <t>Fayeu, Ramón</t>
  </si>
  <si>
    <t>Ramón Fayeu</t>
  </si>
  <si>
    <t>…D. Juan Palomino, grabado por D. Ton»s Engrúdanos, á 2 rs. zf Retrato de D. Rafael Mengs, a 2 rs zr:Trece estampas de varios'pensamientos, inventados y grabados al 3§ua fuerte por D. Ramón Fayeu, á 12 rs, conthiuará.') ,</t>
  </si>
  <si>
    <t>Fcrnardo</t>
  </si>
  <si>
    <t>…a. Reina Doña Elvira, e'poi^a del Sr Rey D. Alonso el v. 6.a La Sra. R ¿riña Doña Ximena , espo*adel Sr. Re) D. Bermudo el im. 7. a La Sra. Reina Doña Sancha, esposa del Emperador D. Fcrnardo el 1. 8. a La Sra. Reina Doña Urraca, hija del Emperador D. Fernando el 1, Rei na de Zamora y de mitad del infantado de León. 9.a La Sra. Reirá Doña Elvira, hija también de dicho Emperador D. Fernando el 1, Reina de Toro y de la otra mitad de dicho infantado.…</t>
  </si>
  <si>
    <t>Fé</t>
  </si>
  <si>
    <t>…Pertierra. = Ignacio Cam pesino.” ' v Asimismo tuvieron la honra de besar da Real máno de S. M., y felicitar le con igual motivo á nombre de la villa ,de Bailen., los comisionados D. Fé lix- Alonso y Calzas y D. Joaquín Manuel Carvajal, el primero de los cua les arengó á S. M. en los términos siguientes: ,,Señor: La villa de Bailen, memorable por. la primer victoria que estre meció al tirano de la Europa en la cumbre de su colosal poder, y á…</t>
  </si>
  <si>
    <t>Fe</t>
  </si>
  <si>
    <t>…a historia de España , refiriendo por orden cronológico los héroes y Reyes que ha habido, y sucesos memorables que han acontecido hasta el siglo x. Y finalmente amenizaron el acto D. Fe lipe Neri Carral y D. Antonio Resino, manifestando sus conocimientos en la esfera armilar y geografía, explicando los mapas y resolviendo varios pro blemas con entera satisfacción de los concurrentes; dando fin D. Antonio Res ino con un romance endecasílabo d…</t>
  </si>
  <si>
    <t>…ue tengo el honor de comunicar á V. E. para su satisfacción. „Dios guarde a V. E» muchos auos. Puebla D icienobre 18 de 181;.= Excmo. Sr. = Josef Moreno y DaAz. = Excmo. Sr. virey D. Fé ix Marta Calleja.” Se sabe ademas por carta particular lo que expresa el siguiente párrafo. „En carta particular dice este general (el Sr. Miyares) que en el ataque que la caballería de Zarzosa y las compuñígs de Ordenes y Navarra di/&gt; á la enemiga , murió mu…</t>
  </si>
  <si>
    <t>…s, el bibliotecario mayor interino D. Francisco An tonio González tuvo la honra de pronunciar el discurso siguiente: „Señor: La Real Biblioteca, fundada por la generosidad de! Rey D. Fe lipe v de Borbon , aumentada por D. Fernando vi , enriquecida singular mente por D. Carlos in , y distinguida con varios privilegios por D. Car los iv , recibe hoy el alto honor de verse favorecida por la augusta Persona de V. M. y AA. , y no puede menos de o…</t>
  </si>
  <si>
    <t>Fé, Juan</t>
  </si>
  <si>
    <t>Juan Fé</t>
  </si>
  <si>
    <t>…de la Renta en esa Provincia de su cargó, esperamos exacto aviso. Dios guarde á V. muchos años. Madrid de Diciembre de 1816. En 22 de Octubre de 1802 se despachó en esta corte por D. Juan Fé lix de Rújula, cronista y Rey de armas de S. M. que fue un despacho genealógico, histórico, y certificación de armas de los apellidos de López, Gómez, Ruizo, Morano, Perez, Dominguez, López, Alvarez, pertene ciente al Sr. D. Antonio López Gómez, natural de Cá…</t>
  </si>
  <si>
    <t>Fébrer, Manuel</t>
  </si>
  <si>
    <t>Manuel Fébrer</t>
  </si>
  <si>
    <t>…sta Provincia, se mando que por el Juzgado de la Capitanía gene ra! de su cargo se siguí se y determinase con audiencia del Abogado fiscal la causa formada á solicitud del Coronel D. Manuel Fébrer de la Torre, Te niente dé Rey electo de la plaza de Alicante, sobre deshacer los motivos y causas que V. E. manifestó habia para detener el Real despacho que se le expidió de dicho empleo en 10 de Marzo-de dicho año, y no ponerlo en posesión de él; y en 16 de…</t>
  </si>
  <si>
    <t>Federico, Vicente</t>
  </si>
  <si>
    <t>Vicente Federico</t>
  </si>
  <si>
    <t>…mano, en nombre del ayuntamiento de la ciudad de Valladolid, el Sr. D. Manuel Ma ría Junco, del consejo de S. M. en el supremo de las Indias, D. Manuel Gil Reynoso, regidores , y D. Vicente Federico, procurador síndico general de la misma ciudad; y el primero dirigió á S. M. el discurso siguiente: ,, Señor: Vuestra M. V. y M. L. ciudad de Valladolid, á quien tenemos el honor de representar en acto tan solemne, felicita á V. M. por suconcer—</t>
  </si>
  <si>
    <t>Felipe</t>
  </si>
  <si>
    <t>…a Beatriz, de D. Juan i; Doña Isabel, de D. J uan ii; Doña Juana, de D. Henrique iv; Doña Isabel, del Emperador D. Carlos v, primero entre los Reyes de este nombre; Doña María, de Don Felipe ii, y Doña María Bárbara, de D. Fernando vi. „Gloria es, Señor, de vuestra corona , y testimonio de la liberalidad de vuestro predecesor D. Alfonso i de Castilla , el origen de la casa Real de Portugal : y si porque asistió en las muchas victorias alcanzadas…</t>
  </si>
  <si>
    <t>…ovieron al Emperador ¿ solicitar la extensión de esta gracia para los reinos de Castilla, León y Toledo, la cual le fue conce dida por el Papa Julio m; y posteriormente á ruego de D. Felipe n fue ampliada por la Santidad de Gregorio xm á todos los nuevos riegos de las demas provincias de España é Islas Canarias. De estas concesiones hizo uso D. Felipe v, abriendo cauces para regar con las aguas de Jarama y de Tajo. D. F croando el vi, doliéndose…</t>
  </si>
  <si>
    <t>…n los mas particulares servicios la mas acendrada y constante lealtad, juntamente con el mas singu lar amor; el que ha manifestado siempre á la augusta familia de Borbon des de el Sr. D. Felipe v ha merecido un lugar bien distinguido en la historia, y del que profesa á V. M. lo que ha egecutado desde el principio de la última época podrá dar de él alguna idea. No intimidaron á Tudela en 1808 los nu merosos ejércitos enemigos para dejar de hacerles f…</t>
  </si>
  <si>
    <t>991</t>
  </si>
  <si>
    <t>…l plan de los canales proyectados de rita'» y navegación de Urgel. „ Esta importante o' r.) llamó desde tiempo anticuo la atención de vuestros augustos predecesores I). Carlos i , D. Felipe n y D. Felipe v. El glorioso Abuelo de V. R. M. D. i áríos m se ocupó de el,a coi la ir. tvor eticada, dignándose encargar á la junta que tengo el honor de repr^ .ntar, que el proyecto, que hasta entonces se habla limitado á riego, se extendiese a na vegación…</t>
  </si>
  <si>
    <t>Félix</t>
  </si>
  <si>
    <t>…drid 28 de Agesto. El dia 18 del presente mes de Agosto á las cinco de la tarde tuvieron el honor de besar la mano á S. M., y felicitarle por su nuevo contratado au gusto enlace, D. Félix y 1). Juan Mesía de la Cerda, regidores por su otado noble, y procurador general aquel del tribuna! de 1 a santa hermandad de Ciudad-Real á nombre de su cabildo; y dijo el primero: ,,Señor: El tribunal de la santa, Real y vieja hermandad de la ciudad de Ciuda…</t>
  </si>
  <si>
    <t>Félix, Juan</t>
  </si>
  <si>
    <t>Juan Félix</t>
  </si>
  <si>
    <t>…, se sirviesen mandar recogerlos puntualmente con los papeles y documentos que presen tó para la formación del referido despacho en esta corte á D. Antonio Rujula y Busel, hijo de D. Juan Félix, difunto cronista y Rey de armas de número de S. M. reinante, que vive en esta corte, calle de la Ruda, nú mero 5, cuarto principal, quien lo entregará todo. En 5 de Octubre próximo pasado falleció en esta corte á los 84 años de edad el Excmo. Sr. D. Antonio…</t>
  </si>
  <si>
    <t>Felsch</t>
  </si>
  <si>
    <t>…Sr. Almirante sir SidneySmith* rogándole que tenga á bien hacer cuanto esté de su parte para acelerar la iibertad del interesado.vaEl Príncipe Luis de Tichenstein? f Memorial del capitán Felsch. Viena 10 de Enero de 1815. ,,Mi hermano Francisco Felsch, cautivo en Argel, servia de tambor el año de 1798 en el regimiento del Archiduque Luis. Según una carta suya, que tengo en mi poder, fue hecho prisionero en ■10 de Abril de 1800 en el monte de Sette P…</t>
  </si>
  <si>
    <t>Femar</t>
  </si>
  <si>
    <t>…sa ,en el principado de Astúrias, por si y ñ nom bre de su hijo D. Juan Miguel de Htvia , 33136 rs. y 9 \: is. en retidos de suministros hechos ¿1 egército: el comisario de guerra D. Femar d &gt; Cosvm-J, vecino de Valencia , 10*39 rs* sueldos vencidos como oficial de la direc ción de víveres de Cartagena: D Pedro Miguel Lujan, relator que roe de la extinguida audiencia de Madrid, 8© rs.de los sueldos vencidos por aor d destino: un eclesiástico de…</t>
  </si>
  <si>
    <t>Fenelon</t>
  </si>
  <si>
    <t>…dirigirán sus me moriales á D. Francisco Lázaro, secretario de ayuntamiento, hasta i.° de Majo próximo. Aventuras deTelémaco, hijo de Ulises: obra escrita en francés por el limo. Sr. Fenelon, arzobispo de Cambray, traducido al castellano por D. Fernando Nico lás de Rebolleda. Hay tres ediciones, una de 4 tomos en 8.° con el texto francés y la versión al frente, muy útil para los que principian á traducir este idioma, á 40 rs. en pasta y á 64 con…</t>
  </si>
  <si>
    <t>Fer</t>
  </si>
  <si>
    <t>…proyecto de ley. ESPAÑA. Murcia 20 de Marz§. La Real sociedad económica de esta capital, deseando solemnizar el plau sible día 30 de Mayo, que lo es de nuestro augusto monarca el Sr. D. Fer nando vii , de un modo propio de su instituto y de los paternales desvelos de S. M. por la prosperidad de sus amados vasallos, ofrece en un acto pú blico, que celebrará dicho dia, los premios siguientes: de agricultura. i.° Siendo tan constante y tan enemiga…</t>
  </si>
  <si>
    <t>…ó cabeceras de demarcación militar, á los gefes militares y demas personas autorizadas al efecto, para hacer el debido reconocimiento de lealtad y vasallage á nuestro amado Rey el Sr. D. Fer nando vii; declarando, como declaro, extensiva esta gracia sin restricción alguna, ni aun la de expatriación que previno el bando de 22 de Junio del año próximo pasado, á los gefes ó caudillos principales de los rebeldes, y á los individuos que fueren ó hubie…</t>
  </si>
  <si>
    <t>…e va restableciendo de la enferme dad que le atacó, y habia dado bastante cuidado. ESPAÑA. Laguna, en Tenerife, jj de May. Aproximándose el dia de nuestro muy amado Monarca el Sr&lt; D. Fer nando vii, y queriendo esta Real sociedad económica celebrarlo de un mo do expresivo, y que resultase en ventaja del público su demostración afec tuosa , determinó se tuviesen exámenes de los niños de ambos sexos de las es cuelas de primeras letras que se ens…</t>
  </si>
  <si>
    <t>Fer, Josef</t>
  </si>
  <si>
    <t>Josef Fer</t>
  </si>
  <si>
    <t>…arra á D- Manuel Subiza y Armendariz; y para igual empleo del egército y provincia de Valencia á D. Manuel García Cordeii. Queriendo dar S. M. una prueba del aprecio que le merece D. Josef Fer nandez de Olarte, oficial mayor jubilado de la secretaría de Estado y del Despacho universal de la Guerra, por sus servicios, mérito, conocimientos militares , y por su constante lealtad á su Real Persona , se ha servido con cederle los honores de ministro de…</t>
  </si>
  <si>
    <t>Fermín, Pedro</t>
  </si>
  <si>
    <t>Pedro Fermín</t>
  </si>
  <si>
    <t>…úmero-D. Juan Antonio de Urraza , se cita, llama y emplaza á D. Josef de Sand^Juce , D. Pedro Antonio de Olabarría y Sta. Cruz, D. Andrés de Escondrillas , D. Cristóbal de Vicuña, D. Pedro Fermín de lbarra y Doña María Antonia de Amantegui, tenedores de tres vales Reales, tres de ellos de 150 pesos, vales dinero de Ja renovación de i.° de Enero de 1809, números 312838, 311427 y 311806: dos de 600 pesos, tam bién vales dinero, renovación de i.°de Mayo…</t>
  </si>
  <si>
    <t>Fernan</t>
  </si>
  <si>
    <t>383</t>
  </si>
  <si>
    <t>…S- Pedro Mártir, del orden de predicadores de esta ciudad, con general satisfacción y jubilo de su noble vecindario , y en cumplimiento de los deseos de nuestro’amado Soberano el Sr. D. Fernan do vii , manifestados en su Real decreto de 15 del anterior Noviembre, aca ba de establecer una' escuela '-pública,' que sirva de instrucion á la juventud desvalida', en la que á Sus expensas' se1 recibirán é instruirán gratuitamente en la doctrina cristiana,…</t>
  </si>
  <si>
    <t>…ntes críticas, en cuyo género aventaja á todos. Entre las obras que se han dado á luz últimamente se citan con estima ción las poesías dramáticas de Mr. Deinharstein, dedicadas al conde Fernan do de Palfy. Mr. Furst acaba de publicar también varias cartas sobre la lite-</t>
  </si>
  <si>
    <t>Fernan, Antonio Villa y</t>
  </si>
  <si>
    <t>Antonio Villa y Fernan</t>
  </si>
  <si>
    <t>…ta gozarán el sueldo de 51® rs de vn. anuales. Ante el Sr. D. Joaquín A Imaza n, del consejo de S. M., teniente corregidor de esta heroica vida, y escribanía del número que egerce D. Antonio Villa y Fernan dez, se ha puesto demanda reclamando la propiedad de ip vales Reales, cuyas creaciones, números y valor se expresarán , de la que se ha dado traslado á ios sugetos á cuyo favor se hallan los últimos endoses de les mismos; é ignoiárdose su existencia y domicil…</t>
  </si>
  <si>
    <t>Fernan, Gregorio</t>
  </si>
  <si>
    <t>Gregorio Fernan</t>
  </si>
  <si>
    <t>…13. D. Eustbio Arrabal 20. Fernando Gómez 20. D. Vicente Telio 4. D. Manuel Cisneros 23. D. Valentín.Ximenez 20. D. Carlos Milre40. D. Esteban Gómez 20. D» Felipe Eneri y Seda 40. D. Gregorio Fernan dez 46. D. Fernando Larrondo 92. D. Martin Ocaf.a 20. D. Blas María 20. D. Pedro Pacheco 20. D. Fernando Prieto 24. D. Juan Ballesteros 20. Don Ruperto Molinero 16. D Josef Brochero 40. D Manuel Palomares 30. Don Pabio Aviles 23 D. Joaquín Delgado 69. D. Seba…</t>
  </si>
  <si>
    <t>Fernandez, Andrés</t>
  </si>
  <si>
    <t>Andrés Fernandez</t>
  </si>
  <si>
    <t>…r. D. Joscf Mariano Beristain , deán de esta santa iglesia : los señores canónigos Lie. D. Juan de Sarria y Alderete , chantre: Dr. D. Juan Josef de Gamboa , maestre-escuela: Lie. D. Andrés Fernandez de la Madrid, tesorero ; se decidió que Morelos, como reo de alta traición, era digno de !a deposición perpetua y degradación solemne que debía verificarse el citado dia 27. A consecuencia vestido de pontifical el limo. Sr. obispo de Antequera procedió1 á la…</t>
  </si>
  <si>
    <t>Fernandez, Antonio</t>
  </si>
  <si>
    <t>Antonio Fernandez</t>
  </si>
  <si>
    <t>…o vu, y á D. Gaspar Boigas, teniente dei regimiento de Granada. La medalla de plata coronada á D.Juan Sicilia, capitán del batallón del Rey; á D. habían Perez, teniente de ídem; á D. Antonio Fernandez , te niente de ídem ; á D. Cosme Rodríguez, sargento primero graduado del ba tallón de la Victoria ; á D. Joaquin Gomiel, soldado graduado de sargento segundo del sexto escuadrón de Artillería; á Juan Hurtado, soldado gradua do de sargento segundo del sexto e…</t>
  </si>
  <si>
    <t>…Benavides 20: monasterio de Carrizo 10 : monasterio de Espinareda 2Q: el ayuntamiento de Valencia de S. Juan 16: el de ia villa de Grajal 10. „ Particulares de la cuidad de León. D. Antonio Fernandez un par de zapatos: D. Manuel Rodríguez , boticario, uno: D. Tomas López 1 2 rs.: Don Josef Chicarro un par de zapatos : D. Fausto Escaja uno: D. Gerónimo Gó mez uno: D. Fernando Pareja uno: D. Martin Ginoves 10 rs.: D. Santiago Gallego un par de zapatos: D. M…</t>
  </si>
  <si>
    <t>Fernandez, Antonio Villa</t>
  </si>
  <si>
    <t>Antonio Villa Fernandez</t>
  </si>
  <si>
    <t>…ón ni emplazamiento. . &lt; á. c: , ' ‘ Por providencia del "Sr. D. Jóaqilin Almázan, del consejo de S. M., teniente corregidor de ésta Villa, por la escribanía del número que egerce D. Antonio Villa Fernandez , se han mandado sacar ¿ pública subasta por término de 30 diás, conta dos desde 8 del corriente, cuatro pedazos .de tierra en ¡términos.dé los, lagares de Vfllecas y Vicálbaro, cuyas cabidas, sitios, linderos y valor es el siguiente : una en el término dp VV…</t>
  </si>
  <si>
    <t>Fernandez, Antonio Villa y</t>
  </si>
  <si>
    <t>Antonio Villa y Fernandez</t>
  </si>
  <si>
    <t>…religiosos dominicos del colegio de Sto. Tomit *e ha acudido ante el Sr. D. Joaquín Almazan , del consejo de S. M., teniente cor regidor de esta villa , y escrinania del número de D. Antonio Villa y Fernandez , re clamando los vales reales que les fueron extraídos al tiempo de apoderarse de sus bienes los satélites del Gobierno intruso; y en su virtud el mismo señor teniente ha mandado, que mediante ignorarse las personas tenedoras de dichos vales Reales, por no h…</t>
  </si>
  <si>
    <t>Fernandez, Benito</t>
  </si>
  <si>
    <t>Benito Fernandez</t>
  </si>
  <si>
    <t>…yor de la santa iglesia catedral de Co ria, con la renta anual de 500 ducados y 30 fanegas de trigo. Los pretendientes di rigirán las respectivas solicitudes por conducto del Lie. D. Benito Fernandez, se cretario capitular del cabildo de dicha santa iglesia. Por jubilación concedida á D. Juan Garrido Manzanares se halla \racante la pla.za de maestro de primeras letras de la ciudad de Huete , provincia de Cuenca: su dotación consiste en 250 ducados anuales…</t>
  </si>
  <si>
    <t>Fernandez, Bernardo</t>
  </si>
  <si>
    <t>Bernardo Fernandez</t>
  </si>
  <si>
    <t>…cracion de i.° de Mayo de 1808, núms. 475925 y 438200; y habiéndose nombrado defensor de los herederos de D. Francisco García Alvarez, de D. Toribio Fernandez Sanz, ausente, y de D. Bernardo Fernandez, cuyo paradero se ignora; se ha mandado, á instancia de dicho defensor, se les cite, líame y empláce por término de 30 dias precisos y perentorios, que empezarán á correr desde el en que se anuncie al público por los periódicos de la gaceta y diario de esta c…</t>
  </si>
  <si>
    <t>…ción de 1.° de Mayo de 1808 , núms. 47592 5 y 438200; y habiéndole n «mbrado defens r de los herederos de EX Francisco García Alvarez, de IX Tori'jio Fernandez San», ausente, y de D. Bernardo Fernandez, cuyo para dero se ig:n*ra, se ha mandado, á instancia de dicho defensor, se les cite, llame y emplace par término de 30 dias precisos y perentorios, que empezarán á correr des de el en que se anuncie al público por este periódico, para que se presenten por s…</t>
  </si>
  <si>
    <t>Fernandez, Eusebio</t>
  </si>
  <si>
    <t>Eusebio Fernandez</t>
  </si>
  <si>
    <t>…ci y; Aguado ,&lt; D. Rasrion tQrtii rdatMon$eUía.n¡ól D. ¡Pedro: . Whirte» y Fleming, D. Miguel Whirte y Flemifig^ D. «Trinidad Caraveo y Lavalle, D. Alejan dro Ainirola y Pal vía-, D. Eusebio Fernandez , D: Francisco Diaz y Ramí rez, ;D Cruz A íburquérqtié,£iD: JFosef Varelá y Cancela, D. Joséf María Carvajal ;Jiaí artillero' disti^guído' D. Joséf1 dé Tetlería y Jáuiregut, y al cabo ‘ del^ ivil^Eíí11!?^0'..P^ítuiS'YWilés ^Gohiález. - _ K't • JAíi.H ATKUnmi…</t>
  </si>
  <si>
    <t>Fernandez, Francisco Gallardo</t>
  </si>
  <si>
    <t>Francisco Gallardo Fernandez</t>
  </si>
  <si>
    <t>…la á Doña juana Verdugo, su esposa, en Málaga, calle de Pinete, núm. 33. Origen, progresos y estado actual de las rentas de la corona de España, su go bierno y administración, por D. Francisco Gallardo Fernandez, oficial que fue de la secretaría de Hacienda. Esta obra, que se empezó á imprimir en 1805, y que consta de 7 tomos en 4.0, se creyó perdida en virtud de la irrupción enemiga; pero habiéndose encontrado últimamente, se anuncia ai público como la mas útil y re…</t>
  </si>
  <si>
    <t>Fernandez, Josef</t>
  </si>
  <si>
    <t>Josef Fernandez</t>
  </si>
  <si>
    <t>…en de Hill so bre Juan Luis Filot, residente en Jullac le Coq-Cognac: otra de 6082 rs. vn. dada en Bilbao en 30 de Marzo de 1808 por Juan Pedro Bagneres, sobrino, á su orden sobre D. Josef Fernandez deFornela,á pagar en Madrid: otra de 450 francos dada en Launceston á r.° de Abril de 1808 por Renaudin á la orden de Hill Frost y compañía sobre Edequel de Liege: otra de 600 id. da da en id. id. por Josef Fougue á orden de Hill sobre Josef Jouque, deTolon:…</t>
  </si>
  <si>
    <t>…cuidado con que los instruye su director D. Ambrosio Soriano, segundo piloto de la Real Armada, según parte que ha dado el mayor general de aquel apostadero el capitán de fragata D. Josef Fernandez de las Peñas, que presidió los exáme nes á nombre del comandante general por no permitírselo á este sus muchas ocupaciones. Lo que ha resuelto S. M. se publique en la gaceta como prueba de su Real "aprecio. El Rey nuestro Señor se ha servido mandar, en Real o…</t>
  </si>
  <si>
    <t>Fernandez, Manuel</t>
  </si>
  <si>
    <t>Manuel Fernandez</t>
  </si>
  <si>
    <t>…Juan Rabanal y Hevia: para la de Torrelobaton á D. Eugenio Hernández Borbon: para la de Siruela á D. Pedro Cano: para la de Teba á D. Juan Alonso de Prado: para la de la Coruña á D. Manuel Fernandez .Duran: para la de Miranda del Castañar á D, Francisco Cornsgo: para la de Fuente de Cantos á D. Roque Naranjo: para la de Jarandilla á D. Josef González: para la de Salas de los Infantes á D. Manuel de! Pozo: para la de Curiel á D. Esteban Sánchez de la Igle…</t>
  </si>
  <si>
    <t>…so y Calza y D^ Joaquín Mar Duel Carvajal, diputado del común, se dignaron también S. M. y A. R. admitir una diputación de la villa de Begijar., compuesta de D. Franco Li-r nares, D. Manuel Fernandez , D. Lorenzo de Cozar y D. Pedro Blanco, Io« cuales manifestaron los sentimientos de amor y lealtad que animaban á lo« vecinos de aquella villa hacia las augustas Personas de S. M. y A. R. Habiendo llegado aquel mismo dia las;Reales-Personas á la Carolina-, s…</t>
  </si>
  <si>
    <t>D. Felipe Crespo , D. Blas Domínguez, D. Joaquín Lumeras, D. josef García, D. Lázaro Canillas y D. Tomas Asensio. D. Manuel Fernandez, D. Bernardo de la Iluerga y D. Andrés Redonzo lo fueron igualmente con unos lazos de distinción. Todas estas condecoraciones, colocadas en ricas bandejas, con las medallas de plata puestas en lazos de distintos co lores, fueron distribuidas á los beneméritos…</t>
  </si>
  <si>
    <t>Fernandez, María</t>
  </si>
  <si>
    <t>María Fernandez</t>
  </si>
  <si>
    <t>…gual que acababa ae terminarse, aunque fatales, no eran extrañas á una joven de su edad, le indicase lo cierto, y que deseaba saber en su propio beneficio, vino á decir se llamaba Doña María Fernandez, era hija de Don Francisco Arias, vecino y administrador de rentas mayores en Oporto, reino de Portugal. Que por no acceder á Ja voluntad de su padre en or den á colocarla en matrimonio contra la suya, la habían entrado violen tamente en un convento de religi…</t>
  </si>
  <si>
    <t>Fernandez, Martin</t>
  </si>
  <si>
    <t>Martin Fernandez</t>
  </si>
  <si>
    <t>…ociedad patriótica Riojana, el Esecmo. Sr. marques de Monasterio, como presidente de su diputación eri corte; D. Francisco María de Campuzano, como director de la misma so ciedad; D. Martin Fernandez iNavarrete, como secretario de la diputación,, y D. Vicente Eulate, individuo de ella; el primero de los cuales dijo á SS. MM.: „Señor: La sociedad patriótica Riojana, de quien somos los represen tantes, mira ya cumplidos sus ansiosos votos en el venturoso en…</t>
  </si>
  <si>
    <t>Fernandez, Simón Pino</t>
  </si>
  <si>
    <t>Simón Pino Fernandez</t>
  </si>
  <si>
    <t>…uplica á la persona qué tenga noticia de dicho sugeto se sirva comunicarlo en Madrid á D. Francisco San tiago Curramolino, calle de Luzon , núm. 3, cuarto tercero; en Valladolid á Don Simón Pino Fernandez, procurador de aquella chancillería; en Pamplona á Doña Mam Ramona Esparza y Dorre, y en el lugar de Asiain de Navarra al presbítero D. Josef J oaqutn Ibañez, beneficiado de dicho lugar; y en el caso que haya falleci do y dejado sucesión, ó perdona que repres…</t>
  </si>
  <si>
    <t>Fernando</t>
  </si>
  <si>
    <t>…atigable é impávi do en el campo del honor, nada dejó que desear en el desempeño de sus difí ciles y delicadas obligaciones. Desde la feliz llegada de nuestro deseado So berano el Sr. D. Fernando vii no hizo mas que confirmar con testimonios irrefragables la acendrada lealtad y ardiente amor que en su ausencia habia manifestado constantemente á su Real Persona, muy distante de haber varia do jamas ni en un ápice sus opiniones políticas y religiosas, s…</t>
  </si>
  <si>
    <t>…eral de los Cinco gremios mayores de ella, y en Bilbao á D. Anto nio de Aldape y Albíz, vecino y de su comercio. Diario del alma en presencia de su Dios*, le dedica al Ret nuestro Señor Don Fernando vri el Rmo. P. Fr. Ramón Manrique, profeso del Real monasterio de S. Lorenzo del Escorial, predicador de S. M., teólogo consultor, y examinador de la Nunciatura &amp;c. Se hallará en el despacho de la imprenta Real. Colección de autores selectos de la mas pura la…</t>
  </si>
  <si>
    <t>…católicos y fieles vasallos, y en aquellos primeros rudimentos que son comunes y anteceden á las ciencias y oficios industriosos en toda cociedad civil bien ordenada. ^ Apenas el Señor D. Fernando yh nuestro Rey y Señor regresó feliz-</t>
  </si>
  <si>
    <t>…ctu ría general de espolios, vacantes, medias ai\a£as.,&amp;c,, del mayor rasgo de despotis mo egecutado en su persona contra lós derechos y soberanía de nuestro legítimo So berano el Sr. D. Fernando vií, qué dicho presbítero sostuvo con tesón , heroísmo y,claridad. Se hallará en la ¿librería de Castillo, frente á las gradas de S. Felipe. EN LA IMPRENTA &amp;EAL.</t>
  </si>
  <si>
    <t>…tuales: un tomo en 4.0 marquilla. ««.Cartas de Gonzalo Ayora, cronista de los Reyes católicos, é introductor de la táctica de las tropas de á pie en estos rei nos, escritas al Rey D. Fernando desde el Rosellon en el ano 1503; un cuaderno en 8.°__Elogio de Antonio de Lebrija, leído en junta pública de la misma acade mia: un cuaderno en 8.°«_Ensayo sobre los alfabetos de las letras desconocidas que se encuentran en las mas antiguas medallas y monume…</t>
  </si>
  <si>
    <t>…conoci do los sig!os, sostenida por la magnánima y leal nación española contra el opresor de la Europa , corono el cielo sus deseos restitu yendo á su trono á su amado Soberano el Sr. D. Fernando vii con sus augustos Hermano y Tio los Sermos. Sres. Infantes Don Cárlos María y D. Antonio. Desocupado S, M. de las primeras y urgentes medidas indispensables para afianzar la seguridad y quie tud de sus amados vasallos, dirigidas á reparar el inmenso cúmulo…</t>
  </si>
  <si>
    <t>…de la compa rtía de Jesús; añadido con 1,30 preguntas con sus, correspondientes respuestas por el Dr. D. Juan Antonio de la Riva, canónigo ele Cartagena: dedicado al Rby nues tro Señor D. Fernando vii, y reimpreso con superior permiso. También los hay en 8.® en papel fino pára el usó de las casas particulares, por haberlos pedido va rios sugetos. Se hallará en las librerías de Escribano y Barco, calle de las Carretas. Los maestros y diputaciones que qu…</t>
  </si>
  <si>
    <t>…ne que será de su cargo la rasura del vecindario, y la asistencia á los enfermos en clase de medicina ínterin el pueblo pueda buscar médico. Reglamento aprobado por el Rey nuestro-Señor D. Fernando vii (que Dios guarde) para el restablecimiento, dirección y gobierno de los seis colegios mayo res de S. Bartolomé, Cuenca, Oviedo y el Arzobispo en Salamanca, de Sta. Cruz en Valladolid, y de S. Ildefonso en Alcalá de Henares. Se hallará á 5 rs. en el despac…</t>
  </si>
  <si>
    <t>…de;S. M. de 14 del mismo, relativo a m contratado y au gusto enlace. Para dar á este acto todo el realce y esplendor posibles se hábia presentado de antemano en la plaza Real del. Sr. D. Fernando ,yii la tropa disponible del regimiento de húsares españoles, adonde concurrió tam bién un número considerable de vecinosde todas clases, mostrando cádacual á porfía su patriotismo y satisfacción que les resultaba por tah feliz acontecimiento. Habiendo preced…</t>
  </si>
  <si>
    <t>…n cui dadosa de la joven que tenia pr sente las respuestas categóricas á las varias preguntas que la hizo; y aunque á todas concluía, con pocas palabras, ser hermana ó sobrina del Sr. D. Fernando vii, la falta de instrucción que ma nifestaba en sus expresiones, los ningunos documentos que traía, la peca fi nura de su rostro y producción, y aquella especie de sorpresa y aturdimien to que se dejaba ver en su semblante, hicieron desde luego sospechoso el…</t>
  </si>
  <si>
    <t>…n las 24 Santísimas Formas incorruptas, que se exponen hoy á nuestra veneración en la iglesia magistral. Tales son las piadosas intenciones de nues tro amado y Católico Monarca el Sr. D. Fernando vii , cuya importante vida guarde el cielo para felicidad de su monarquía.” En pocos momentos por las disposiciones tomadas anteriormente quedó erigida la pirámide con la inscripción siguiente: D. O. M. La ciudad de Alcalá de Henares dedica este monumento a l…</t>
  </si>
  <si>
    <t>8 J'jf para restablecer las dos ferias anuales &gt; que la concedieron los Sres. Reyes D. Fernando y Doña Isabel por Real privilegio, expedido en Casarubios del Monte en 20 de Abril de 14/7: una en los primeros ocho dias pasado el domingo de Cuasimodo 6 Pascuilla, y la otra pasado el dia de nuestra Se ñora de Agosto; y debiéndose de celebrarla para el dia 22 de Abril, s…</t>
  </si>
  <si>
    <t>…ios premios son el aliciente mas poderoso para to das las empresas, y por eso propone y ha de distribuir en la tarde de 30 de Mayo de este año, dia de nuestro, augusto Soberano el Sr. D. Fernando vii, los que ofrécé eit este manifiesto; aunque no suficientes á llenar sus deseos, por lo menos tos da á conocer, y no descansará este cuerpo patriótico hasta que pueda haber á la mano fondos disponibles en que ocupar su beneficencia: entretanto espera qué e…</t>
  </si>
  <si>
    <t>…varias comisiones de gravedad é impor tancia se retiró á la ciudad de Burgos, hasta que fue llamado á servir su plaza de consejero de Estado á luego del advenimiento al trono del Señor D. Fernando vii , loque no tuvo efecto por las ocurrencias de aquel tiem po. Epoca que le preparó al bailío Valdé» una nueva carrera para probar hasta donde llegaba su amor y fidelidad ai Rey y h patria___ La invasión de los franceses en 1807 , su larga mansión en Burgos…</t>
  </si>
  <si>
    <t>…s, no ha olvidado el egemplo de mu chos de sus gloriosos progenitores que casaron con Infantas de aquel reino. V. M. sabe que fueron de aquella Real familia Doña Urraca , muger de Don Fernando n; Santa Teresa, de D. Alfonso ix, ambos Reyes de León; Do ña Mafalda, de D. Henrique i; Doña Constanza, de D. Fernando iv; Do ña María, de D. Alfonso xi; Doña Beatriz, de D. Juan i; Doña Isabel, de D. J uan ii; Doña Juana, de D. Henrique iv; Doña Isabel, del…</t>
  </si>
  <si>
    <t>…entos por donde acrediten haber tomado estado; en inteligencia de que pasado di cho término, que por último se las señala, las parará el perjuicio que haya lugar. Decretos del Rey D. Fernando vit, ó colección de Reales resoluciones expe didas por los diferentes ministerios y consejos desde 4 de Mayo de 1814 hasta fin de Diciembre del mismo año: tomo i.°, dispuesto en virtud de orden de S. M. por D. Fermín Martin de B.ilmaseda. Muy esencial parecía…</t>
  </si>
  <si>
    <t>…os caudales de la tesorería de Epejnai. ESPAÑA. Linares 20 de Mayo. El Exemo. Sr.,Puqaedel Infantado, presidente de Castilla, autorizado cor plenos poderes, y elegido por S. M. el Sr. D. Fernando vii y por el Sermo. Sr. Infante D. Carlos, su augusto Hermano, para contraer en su nombre los matrimonios ajustados con las Sermas. Sras. Infantas de Portugal Dona Ma-</t>
  </si>
  <si>
    <t>620</t>
  </si>
  <si>
    <t>…rigen i dhii ar á aquellos revoltosos. ESPAÑA. Burgos TO de Mayo. I.a Rs.al sociedad patriótica de esta ciudad, deseando solemnizar el plau sible d a de nuestro augusto Monarca el Sr. D. Fernando vii de un modo propio de su insti'uto, y de los paternales desvelos de S. M. por la prospe ridad de sus ainados vasallos, acordó una distribución pública de premios á lo&lt; jóvenes que se presentasen en las casas consistoriales de esta ciudad los dias 28 y 29 d…</t>
  </si>
  <si>
    <t>044 Sr. D. Fernando vii; y su corregidor el Dr. D. Josef Julián de Ortega, reuniendo el ayuntamiento, propuso y se acordó unánimemente que una bri llante iluminación de todas las casas del vecindario, las consistoriales y pla za , con el repique general de campanas y la música d…</t>
  </si>
  <si>
    <t>…ron distinguirlos por la lealtad v los esíuerzos con que ayudaron á la conquista de Granada, esperan que V. M., d igno descendiente de aquellos españoles, y heredero del santo Rey D. Fernando, que conquistó á Jaén de los moros, no dejará de señalar tam bién á Jaén entre lo¿ pueblos de sus vastos dominios que mas se han señala do en su defensa , y los que rnas prontos estarán en sacriíicar sus intereses y su sangre en defensa de los derechos y de l…</t>
  </si>
  <si>
    <t>…R ¿riña Doña Ximena , espo*adel Sr. Re) D. Bermudo el im. 7. a La Sra. Reina Doña Sancha, esposa del Emperador D. Fcrnardo el 1. 8. a La Sra. Reina Doña Urraca, hija del Emperador D. Fernando el 1, Rei na de Zamora y de mitad del infantado de León. 9.a La Sra. Reirá Doña Elvira, hija también de dicho Emperador D. Fernando el 1, Reina de Toro y de la otra mitad de dicho infantado. 10. La Sra Reina Doña Isabel, hija del Rey D. Lub de Francia el 1, y…</t>
  </si>
  <si>
    <t>…villa. 2000 ídem............ En Cádiz. 12046 1000 ídem............ E11 Sevilla. 22790 1000 idem............ En Valencia. ARTICULO DE OFICIO. Cédula di S. M. y Señores del Consejo. Don Fernando vii por la gracia de Dios, Rey de Castilla, de León» de Aragón Scc. &amp;c., sabed: Que para tratar Je todo lo concerniente á los se cuestros de los bienes de franceses expulsos de estos mis Reinos, y de las indemnizaciones que con su valor se debían hacer á los…</t>
  </si>
  <si>
    <t>…la mas recomen dada per las leyes, por haber coadyuvado a la corquisra de aquellas, y por haber reconocido y jurado hi primera á los Sres. Reyes, gloriosos ascendien tes de V. M. D. Fernando y Doña Isabel, nunca mas que en las actuales</t>
  </si>
  <si>
    <t>…Sra. Infanta de Portugal Doña María Isabel, vien do que se les presenta aquella ocasión que envidiaron á sus antepasados de ser los primeros en reconocer y jurar á los Sres. Reyes D. Fernando y Doña Isabel! Como facultado por esta leal ciudad para presentarme en su nombre á V. R. M. cuando las circunstancias lo requieran , me anticipo á felicitar á V. M. por tan digno y acertado enlace, rogando á Dios con aquellos fieles vasallos que continúe á V. M. su visible…</t>
  </si>
  <si>
    <t>catedral de Murcia para la que trabajo en su arte, pasó á Madrid, donde co nociendo el mérito de D. Felipe de Castro, escultor de cámara de S. M. el Si\ D. Fernando vi, y director de la expresada Real academia, puso á su Fijo, entonces de 14 años, bajo su dirección, en cuya corta edad había ya dado pruebas nada equívocas de su idoneidad para el estudio de esta profe sión.__ Al principio del reinado del Sr. D. Cirios 111…</t>
  </si>
  <si>
    <t>…riosos de la geografía mate mática en el globo, y la descripción de los mapas gererales. Últimamente rara amenizar estos ejercicios áridos para una porción del auditorio los Sres. D. Fernando y D. Rafael de Urries, D. Joaquín Miranda, D. Fernando Garai, D Jaime Salas &gt; D. Juan Josef Labrrda y D. Pedro Nogués repre sentaron con mucha viveza y propiedad un gracioso diálogo sobre la necesi dad de aprender por principios y reglas la lengua española , ya para hablar con pre…</t>
  </si>
  <si>
    <t>…á 8 rs. en rústica y 1 o en pas ta. be hallará en la librería de Oiea, calle de la Montera. En ia misma librería se halla el Observatorio rústico del mismo autor. Retrato del Ruy D. Fernando vii, grabado p^r D. Miguel G’mborinc: po drá servir para colocarse en el frontispicio de la colección de los decreto*, de S. M* Se hallará en la librería de Escribano, calle de Jas Carreras, y en ia de Campo, «tille de Alcalá. En el almacén de estampas de la…</t>
  </si>
  <si>
    <t>…d&lt;r al César lo que es del César, y á Dios lo que es de Dios; quiero decir, que negué, y con la seducción, con la fuerza y con mi egemp!o fui causa de que otros mu hos negaran al Sr. D. Fernando vii la obe diencia y reconocimiento debidoá un Monarca jurado, que estaba en quie ta y pacífica posesión de gobernar á ia América cual legítimo y verdadero Soberano ; y que para abrazar el partido de la insurrección dejé de dar ¿ Dios lo que debia como ec esi…</t>
  </si>
  <si>
    <t>…riencia de la impotencia de sus esfuerzos, y de la imposibilidad de llevar al cabo sus designios, se presenten á ofrecer el homenage de sn fidelidad á nues tro Rey y Señor natural D. Fernando vii , allanándoles el camino para que puedan alcanzar esta gracia, y evadiese de la ruina que les amenaza, á egemp o del Lie. Rosains y otros, que de&lt;pues de h*ber seguido el partido de la rebelión han encontrado en el Gobierno la mas generosa y benigna acogi…</t>
  </si>
  <si>
    <t>…3 á Huere. 4, descanso. j á Sacedon. 6 á Guadalajara. 7 , 8 y 9, descanso. 10 á Alcalá. 11 , descanso. 12 á Madrid. Real cédula de S. M. y señores del Supremo Consejo de Hacienda. D. Fernando vii por la gracia de Dios, Rey de Castilla , de León &amp;c. A los del mi Consejo &amp;c. ; sabed: Que cuando por la divina Providencia y heroicos esfuerzos de mis amados leales vasallos me vi restituido al Trono de mis Mayores, entre las calamidades que gemían las P…</t>
  </si>
  <si>
    <t>…nuos desvelos de la Real junta para proporcionar todo auxilio á los progresivos adelantamientos de la ana tomía , y sobre todo la soberana protección de nuestro augusto Monarca el Sr. D. Fernando vii, son fundamentos bien seguros de esperar que los co nocimientos anatómicos llegarán en breve al alto punto de perfección, capaz de dar en esta parte lustre al nombre español. ARTICOtO DB OFICIO. Circular del Ministerio de Haciendes. Con motivo de haberse…</t>
  </si>
  <si>
    <t>8*4 Madrid j de Agoste. ARTICULO D E OFICIO. Real cédala de S. M. y Señores del Supremo Consejo de Hacienda. D. Fernando vii por la gracia de Dios , Rey de Castilla, de León , &amp;c. A los &lt;iel mi Consejo , Superintendente general de mi Real Hacienda , Asis tente , Intendentes , Subdelegados, y demas empleados de mis Rentas Rea les , sabed: Que desde que por (adivina Providencia m…</t>
  </si>
  <si>
    <t>…udad de Alcalá de Henáres, siempre fiel á su Srberano, acaba de dar las mayores pruebas del cordial afecto que le profesa en el recibimiento que hizo á nuestro católico Monarca el Sr. D. Fernando vii y á su augus to Tio el Sermo. Sr. Infante D. Antonio el dia 10 del corriente. A la ma drugada de este venturoso día calieron de. la ciudad tres comisionados de! ilus tre ayuntamiento ,con sus caballos ricamente enjaezados , y á poco mas de las ocho de la…</t>
  </si>
  <si>
    <t>…lamente que llevar papel, pluma y el arte, que se vende en la librería de Castillo, frente i las gradas de S. Felipe el Real, á 30 rs. D. Juan Bauzil, pintor de cámara de S. M. el Sr. D. Fernando vii , en los 19 años que disfruta este honor no ha dado al público ninguna de sus obras; pero habiendo tenido ei acierto de haber acabado con la posible exac titud el retrato de S. M. que se manifestó en la plazuela del Angel las ferias dj ano próximo pasado,…</t>
  </si>
  <si>
    <t>…ngui do con la honrosa comisión de felicitar á V. M. por su nuevo contratad* matrimonio con la Serma. Sra. Infanta de Portugal Doña María Isabel. Es te tribunal, obra del Sto. Rey D. Fernando en el año de 1249 ^ai” sus sá pidos y de los demas adustos Soberanos predecesores de V. M. , ha sido desde aquella época el azote inexorable de los ladrones y foragidos: su ju risdicción Real ordinaria ha perseguido hasta las extremidad *s inas remoras de la…</t>
  </si>
  <si>
    <t>974</t>
  </si>
  <si>
    <t>…ue V. A. en su feliz próximo himeneo goce de todas las felicidades que sus virtudes y las de su digna futura esposa merecen, é imploran los deseos de todos los fieles vasallos del Sr. D. Fernando vii para S. M. y su digno y amado Hermano.” ARTICULO DE OFICIO. Por la corbeta de S. M. el Diamante, que llegó al puerto de Cádiz el i6 del pasado, se ha recibido de oficio ia interesante noticia de la pacífica entra da de las tropas del Rey en la capital del…</t>
  </si>
  <si>
    <t>…rancisco An tonio González tuvo la honra de pronunciar el discurso siguiente: „Señor: La Real Biblioteca, fundada por la generosidad de! Rey D. Fe lipe v de Borbon , aumentada por D. Fernando vi , enriquecida singular mente por D. Carlos in , y distinguida con varios privilegios por D. Car los iv , recibe hoy el alto honor de verse favorecida por la augusta Persona de V. M. y AA. , y no puede menos de ofrecer á S. R. P. los mas sinceros y tiernos…</t>
  </si>
  <si>
    <t>…las li brerías de Sojo , calie de las Carretas; de Novillo, calle de la Concepción, y en la imprenta de Divi a, calle de Barrionuevo. Cartas nuevas con los bustos del Rey nuestro Señor D. Fernando vrr y de su augusta Esposa la Reiva nuestra Señora Doña Maxia Isakf.l en un grupo de nu bes ..coronándolos el Himeneo con un genio de amor, grabado con la mayor deli cadeza, y estampados de negm y de colores, é iluminados, á 2 rs. de colores y 4 iluminados en…</t>
  </si>
  <si>
    <t>…on dientes á tan interesante objeto, se adornaron decentemente las salas consisto riales destinadas para el electo, colocando á su frente el retrato de nuestro augu'to Soberano el Sr. D. Fernando vir. Fueron convidados el clero , las comunidades religiosas y las personas de primera distinción. El ayuntamien to presidió estos egercicios, habiendo señalado para la junta de educación un lugar preferente al de los demas cóircurrent s. El dia i.° destinado…</t>
  </si>
  <si>
    <t>misma villa, y determinó dar gracias al Todopoderoso por tantos beneficios como su Magestad está derramando á manos llenas sobre nuestro idolatrado Si b rano el Sr. D. Fernando vii y sobre la España toda, que tiene la di cha d¿ verse gobernada por nn Rey en quien lo piadoso, lo justo , lo bonda doso embelesan y arrebatan hacía sí los corazones de sus vasallos. Este ayun tamiento , que á nadie cede en e! amor y constante adhesión al…</t>
  </si>
  <si>
    <t>io9t de la magestad del Sr. D. Fernando vii, Rey de Castitla, de León, de Aragón, de las Dos Sicilias, de Jerusalen, de Navarra, de Granada, de Toledo, de Valencia, de Galicia, de Mallorca, de Sévilla, de Cerdeña, de Córdoba, de Córcega, de Murcia, de Jaén, de los Algarbes, de Algeciras, de las Isl…</t>
  </si>
  <si>
    <t>…alacio en una de las sa las de Ja habitación de la Reina Madre de S. M. destinada á este acto, y se hallaba dispuesta de este modo: En su fondo se vela el retrato del Rey nues tro Señor D. Fernando vii bajo de dosel, con la silla que debía ocupar S. M. vuelta. A su derecha se hallaba el Sermo. Sr. Infante D. Antonio , vice-presidente ; frente al dosel estaba colocada la mesa traviesa, á cuyos la dos por derecha e izquierda estaban situados los Excmos. S…</t>
  </si>
  <si>
    <t>…undador: Dona Cons tanza , hija de D. Alonso ix de León: Doña Constanza, hija del Rey Don Alonso el Sabio: Doña Sancha, hija de D. Alonso él ii: Doña Berenguela, hija del Sto. Rey D. Fernando el iii , de tan extraordinaria virtud que no quiso ser abadesa: Doña Blanca, hija de D. Alonso iii, Rey de Portugal: Doña Blanca, hija del Infante D. Pedro: Doña Dulce, hija de los P^eyes D. Alonso y Doña Teresa: Doña Leonor, hija de D. Fernando el iv: Doña M…</t>
  </si>
  <si>
    <t>…ipolíno navegando de Messina á Liorna. Es de notar que el buque estaba ricamente cargado. ESPAÑA. Madrid z8 de Octubre. El 14 de este mes, día del feliz cumpleaños del Rey nuestro Señor Don Fernando vii , se vistió la corte de gala con uniforme ,y hubo besamanos, al que asistieron los grandes, los diputados de los reinos, ministros , embaja dores extrangeros, los tribunales, prelados, Jos generales y oficiales de los egércitos de mar y tierra , que tuvie…</t>
  </si>
  <si>
    <t>…r. Basilio Tomas Rosell. Se hallarán en la portería del convento de S. Felipe el Real de esta corte. Epitalamio en celebridad de las plausibles bodas de nuestro augusto Monarca el Sr. D. Fernando vil y Sermo. Sr. Infante D. Carlos. Se hallará en la librería de Tieso, calle de las Carretas: puede ir en carta. EN LA IMPRENTA REAL.</t>
  </si>
  <si>
    <t>…e caritativo establecimiento, cuyo actual floreciente estado es un monumento de gloría , erigido en los co razones sensibles al mayor de los Reyes, al Padre de los sordo-mudos, al Sr. D. Fernando vii , por cuya prosperidad pedirán al cielo infatigable mente estos seres, que por su protección han adquirido el uso del habla. ARTICULO DK OFICIO. Circular de la Dirección general de Rentas, Por el Ministerio de Hacienda con fecha de 27 del actual se nos ha…</t>
  </si>
  <si>
    <t>…hallan también las de la colección de 336, divididas conforme á los tomos de la misma, con sus respectivos guiones para gobierno de los encuadernadores. Epitalamio del Rey nuestro Señor D. Fernando vit y d^su augusto Hermano el Sr. Infante D. Carlos con las Sermas. Sras. Infantas de Portugal Doña Isabel Ma ría Francisca y Doña María Francisca de Asís. Calebrábale un ¡anciano pastor de 73 años entre las cumbres de los Pirineos en el día 4 de Setiembre de…</t>
  </si>
  <si>
    <t>…diputados felicitaron aí Sermo.-Sr. Infante Don Carlos por igual motivo., y besaron su Real mano; ARTICULO DE OFICIO. Real cédula de S, M. y Sres. del Supremo Consejo de Hacienda* D. Fernando vji por ia gracia de DiosRey de Castilla, de León, de Aragón Ékc.&amp;c. A los del mi Consejo &amp;c. sabed: Que habiendo, acudido al mi Consejo de Hacienda en Sala de Justicia D; Roque Yelo Molina, vecino de la villa de Abaran en la provincia de Murcia , introducien…</t>
  </si>
  <si>
    <t>…uña para sí , sus hijos y sucesores en consideración a sus servi cios en la última guerra con Francia, y á la lealtad y amor que ha profesa do á su Real Persona. Decretos del Res: D. Fernando v.ii, ó colección de Reales resoluciones-expe didas por los diversos Ministerios y Consejos en tocio el año de id 1 5 : Muo 2.0 dis puesto en virtud de órden de S. M. por D. Fermín Martin de Balmaseda, c—X a uri-</t>
  </si>
  <si>
    <t>…brería de Francés, frente á las gradas de S. Felipe el Rea!. Retrato de S. M. grabado por D. Miguel Gamboríno para colocar al frente de la obra intitulada Decretos del Rey nuestro Señor D. Fernando vir, á 4 rs.rrEl mando (mudo) militar con la espada para instrucción de los señores oficiales de egército, á 12 rs. Se hallarán en las librerías de Escribano, calle de las Carretas; de Campo, calle de Alcalá, y en Valencia en la de Beneito y Suarez. EN LA IMP…</t>
  </si>
  <si>
    <t>Fernando, D</t>
  </si>
  <si>
    <t>D Fernando</t>
  </si>
  <si>
    <t>…Cáceres (lugar de la residencia de la audiencia) las noticias de las ocurrencias de Madrid del Dos de Mayo de 1808 , y de lo que se presa giaba de la augusta dinastía de S. M. el Sr. D Fernando vii , fue uno de los que con mas entusiasmo tomaron parte en la defensa de los derechos de S. M., ocupándose sin cesar en trabajos extraordinarios para la formación de la fuerza armada que se disponía en la provincia pava defendería de la inva sión de las tro…</t>
  </si>
  <si>
    <t>Fernando, Doh</t>
  </si>
  <si>
    <t>Doh Fernando</t>
  </si>
  <si>
    <t>…hagan acreedores, como se manifiesta en la referida tercera condición de dicha contrata , se señala para la celebración de imial acto que él presente el día de nuestro amado Rey y-Señor Doh Fernando vii 30 de Mayo del año próximo venidero de 1817. ARTICÜIO DE OFICIO. Circular del Ministerio de Hacienda. - Con fecha de 15 de Mayo de 1815^ se circuló por este Ministerio de' mi cargo la Real orden siguiente: „ El Sr. Secretario del Despacho de ía Guerra me…</t>
  </si>
  <si>
    <t>Fernando, Emperador D</t>
  </si>
  <si>
    <t>Emperador D Fernando</t>
  </si>
  <si>
    <t>…s. Reves anrecesores, con otros de Sres. Infantesy Obispos que florecieron en santidad S.° El Sr. Rey D. Bermudo el iit. 9." El Sr. Rey D. Sancho el mavor, - v’ de Navarra. 10. El Sr. Emperador D Fernando el 1, quien tra lado y tru; •&gt; en sus hombros y de sus hijos, desde Toro á León , el cuerpo di 1 Dr S. I ;j »• ro: reedificó esta iglesia ; merecióla noticia de su muerte á dicho *an:o o¡trono, por lo que se hizo trae’ á su templo, en el que se desi ud • de ¿…</t>
  </si>
  <si>
    <t>Fernando, García y D</t>
  </si>
  <si>
    <t>García y D Fernando</t>
  </si>
  <si>
    <t>…corrupto. Item, la Infanta Doña Estdama, hija dd Emp rador D Alonso: consérvale su cuerpo incorrupto. La Señora Doña Teresa de Lara, esposa de D. Fernando el 11. Los Sres. Infames Don García y D Fernando , hijos dd Señor Rev D. Fernando el 11 La Sra. In fanta Doña Leonor, hermana del Sr. Rey S. Lernando. La Sra. Infanta Do ña María, hija dei Sr. Rey S. Fernando, vace incorrupta en este Real pan teón. Hay otros sepulcros en que deícansan la condesa Doña Inés,…</t>
  </si>
  <si>
    <t>Fernando, Rey S.</t>
  </si>
  <si>
    <t>Rey S. Fernando</t>
  </si>
  <si>
    <t>…s Sres. Infames Don García y D Fernando , hijos dd Señor Rev D. Fernando el 11 La Sra. In fanta Doña Leonor, hermana del Sr. Rey S. Lernando. La Sra. Infanta Do ña María, hija dei Sr. Rey S. Fernando, vace incorrupta en este Real pan teón. Hay otros sepulcros en que deícansan la condesa Doña Inés, de la</t>
  </si>
  <si>
    <t>Fernaníkj-.vii</t>
  </si>
  <si>
    <t>…observar la ju ventud con relación á los padres, maestros y autoridades legítimas, en cum plimiento de lo prevenido y mandado por nuestro augusto v el mas amado decios Monarcas el Sr. D. Fernaníkj-.vii , que Dio's guarde. Concluido esto, se distribuyeron á inas sobresalientes de ellos,que fueron D. Justo. Asiain,</t>
  </si>
  <si>
    <t>Fernanpo</t>
  </si>
  <si>
    <t>989</t>
  </si>
  <si>
    <t>…a otiwina superllua , ni se notebu la tai.a de nin guna de las precisas. Tomaron un ligero desayuno , después del cual fueron du!o mente sor prendidos ¿ la vista de un retrato dvl Sr. D. Fernanpo vii, cuidt-.des. men te conducido por uno de los directores , para que honrase las ol-ias y ?oLmnizase aquel plausible dia. Al punto se trató de colovarlo en !a ca n d. la dirección ; y para hacerlo con el posible aparato se reunió el a mr j añun.un to delant…</t>
  </si>
  <si>
    <t>Ferrand</t>
  </si>
  <si>
    <t>…Perseval- Grandmaison, el.viz conde de Chateaubriand, Lacretelle , Alejandro Duval, Campenon, Michaud , Aignau, de Jouy, Baour-Lormian, de Beausset, obispo de Alais, de Bonald, el conde Ferrand, el conde de Lally-Tolendal, ei duque de Levis, el duque de Richelieu, el abate Montesquiou, Laine. La academia Real de Inscripciones y de Buenas Letras conservará la or ganización y los reglamentos actuales de la tercera clase del Insrituto. La academia Real…</t>
  </si>
  <si>
    <t>Ferrer, Jaime</t>
  </si>
  <si>
    <t>Jaime Ferrer</t>
  </si>
  <si>
    <t>…ión de la ciudad de Gerona, el Sr. D. Narciso de Foji y do B.ijiJor*, harón de B ji, regidor perpetuo de la misma; el Sr. Don Andrés OH r, aLa.de Je la Real casa y corte, y el Dr. D. Jaime Ferrer, abogado del colegio de esn corte, y ases r de la sacra asamblea, Real cá mara priora! ycapíuilos provinciales de la órd^n de S. Juan dejcrusalen; de los cuales encargados particularmente para este objeto, dijo el primero: ,, Señor: La ciudad de Gerona, que f…</t>
  </si>
  <si>
    <t>Ferrer, Jdsef Joaquín</t>
  </si>
  <si>
    <t>Jdsef Joaquín Ferrer</t>
  </si>
  <si>
    <t>…del. nue vo método de Torio, venciendo las dificultades que son consiguientes á la fal ta de medios de que carecen estas esbuelas. í •' ^Bilbao 27 de Noviembre, Habiendo recibido D. Jdsef Joaquín Ferrer la observación del eclípse de sol del 19 de este mes, hecha en la Dirección de hidrografía de Madrid y anunciada en la gaceta de 26 de Noviembre, núm. 147 , ha calculado es¿ observación, comparándola coa la que verificó en esta ciudad de solo el fin á causa d…</t>
  </si>
  <si>
    <t>Ferrer, Joaquín Marta</t>
  </si>
  <si>
    <t>Joaquín Marta Ferrer</t>
  </si>
  <si>
    <t>…Hacienda; D Josef Cesáreo de la Rosa, medio racionero de la santa iglesia de Guadalajara de Indias; D. Lúeas de Ontañon y Prado, teniente del regimiento de húsares de Veracruz , y D. Joaquín Marta Ferrer, capi tán del regimiento de voluntarios distinguidos de la Concordia áei Perú. POR LA SECRETARIA DE GRACIA Y JUSTICIA. Merced de título de Castilla con la denominación de marques de Valdeflores á D. Antonio Rubio, en cabeza y á favor de su muger Doña María de…</t>
  </si>
  <si>
    <t>Ferrer, Jorge</t>
  </si>
  <si>
    <t>Jorge Ferrer</t>
  </si>
  <si>
    <t>…mage , de; su alcalde ordinario D. Juan García Tasamero, de su cura párroco D. Ma tías González Soler y de D. Francisco López; y otra de la villa de Dos Bar rios, representada por D. Jorge Ferrer, D. Josef Crespo de la Serna y Don Francisco Ruiz; todos los cuales en nombre de los vecinos de los pueblos que representaban tuvieron la honra de prestar á S. M. y A. R. el hoinenage de su profundo respeto y de su cordial amor y adhesión á sus Reales Per son…</t>
  </si>
  <si>
    <t>Ferrer, Juan</t>
  </si>
  <si>
    <t>Juan Ferrer</t>
  </si>
  <si>
    <t>…primero el segundo D. Josef Quevedo ; á oficial segundo el ter cero D. Joaquín Luis de Mendoza; á oficial tercero el cuarto D. JosefPerez Navarro; á oficiales cuartos los quintos D. Juan Ferrer y D. Josef Rodrí guez Flores , y á oficiales quintos los meritorios D. Sixto Tomaseti y D. Jo sef Gómez Roldan. Graduaciones, Graduación de oficial primero al segundo D. Miguel Sarmiento; gra duación de oficiales segundos á los terceros D. Josef Agnete y D. Josef Mi lian; gra…</t>
  </si>
  <si>
    <t>Ferreras, Juan de</t>
  </si>
  <si>
    <t>Juan de Ferreras</t>
  </si>
  <si>
    <t>…onio Solis, y D. Nicolás Antonío.zrCuaderno 2.0: el cardenal Gil Albornoz, Gonzalo Fernandez de Córdoba , el gran du que de Alba, Arias Montano, D. Francisco Quevedo y Villegas, y D. Juan de Ferreras. —Cuaderno 3.0: Hernán Cortés, Garcilaso de la Vega, D. Alonso de Ercilla, D. Pedro Calderón de la Barca, Miguel de Cervantes Saavedre, y D. Jo&gt;sef Patino.— Cuaderno 4.0: D. Antonio Agustín, D. Sancho Dávila, D. Juan de Austria, D. Alvaro de Bazan, Antonio de…</t>
  </si>
  <si>
    <t>Ferro, Gregorio</t>
  </si>
  <si>
    <t>Gregorio Ferro</t>
  </si>
  <si>
    <t>…l amor maligno, por el original de Aníbal Caracci, dibujada por D. Josef Camarón, y grabada por Don Rafael Esteve: á 16 rs.zz Retrato del V. Fr. Sebastian Sillero, del original de Don Gregorio Ferro, grabada por D. Manuel Salvador Carmona: á 10 rs. ~Retrato de Carlos n, del original de Claudio Coello, grabado por D. Luis Nose^et: i 8 rs.= Retrato del P. Fr. Francisco de los Santos, del original de Claudio Coello, graba do por D. Luis Noseret: á 8 rs. zrE…</t>
  </si>
  <si>
    <t>Ferxaxdo</t>
  </si>
  <si>
    <t>…de Abedes, nominado Sousas, que se ha construido en el año anterior, que perpetúa la memoria «de-su ^bienhechor, y en laque se colocó la inscripción siguiente: Se hizo reinando el Sr. D. Ferxaxdo vu d expensas del Exento. Señor generarportugués conde de Amarante. Año de i8ig. A cuya obra no pue"de bnfitir-éstk córporaciori ha éóncurri.do con sus conocimientos el médico de ésta villa dé1 número’dé egército IX Gregorio Fernández, siendo dirigida la ‘ ob…</t>
  </si>
  <si>
    <t>Feyjas, Ramón Merli y</t>
  </si>
  <si>
    <t>Ramón Merli y Feyjas</t>
  </si>
  <si>
    <t>…, ó perdona que represente sus derechos, igualmente se desea saber quien sea estampara instruirla de asuntos que la interesan mucho. Arte de detener y aniquilar las epidemias, por D. Ramón Merli y Feyjas, mé dico vocal de la junta superior de sanidad del principado de Cataluña; obra nueva y original en su clase: un torno en 8.° marquilla. Se hallará en la 'ibrería de la viuda de Goveo, calle de ¡a:&gt; Carretas, y en ei puesto de Peña,gradas de S.Felipe* EN LA I…</t>
  </si>
  <si>
    <t>Figueraa, Josef Vázquez de</t>
  </si>
  <si>
    <t>Josef Vázquez de Figueraa</t>
  </si>
  <si>
    <t>…a los -Excmos. Sres. marques de Campo-Sagrado , D. Josef Luis de Souza , marques de Vilíafranca , D. Gaspar de Vigodet, D. Francis co de Copons y Navia , D. Manuel López Aran jo y D. Josef Vázquez de Figueraa , caballeros, novicios grandes cruces de la orden. Sucesivamente se cantó una: misa solemne de Concepción , en que celebró de pontifical el Ex celentísimo Si*, cardenal de Santa María de Scala D- Luis de Borbon , en calidad de prelado de la misma orden y conc…</t>
  </si>
  <si>
    <t>Figueredo, Juan de Haro y</t>
  </si>
  <si>
    <t>Juan de Haro y Figueredo</t>
  </si>
  <si>
    <t>…n cia de Real decreto de 2 de Julio anterior, y compuesta de D. Manuel de Inca Yupanguí, intendente; el marques de Casa Villareat, caballero veinti cuatro del Excmo. ayuntamiento; D. Juan de Haro y Figueredo, individuo del Real cuerpo de maestranza; el Lie. D. Francisco de la Blanca y Calvo, del ilustre colegio de abogados; D. Gaspar Benet, y D. Antonio Marcelino Fornieles, hace saber: que siendo sus principales deberes excirar á los habi tantes de ella á que ofr…</t>
  </si>
  <si>
    <t>Figueroa, Fulgencio Suarez de</t>
  </si>
  <si>
    <t>Fulgencio Suarez de Figueroa</t>
  </si>
  <si>
    <t>…d, primer caballerizo del Sermo. Sr. Infante D. Carlos, D. Juan Gregorio Mancio, mariscal de cam po de los Reales egércitos, y caballero de la orden y banda de S. Herme negildo, y D. Fulgencio Suarez de Figueroa, regidor decano de dicha ciu dad , y caballero de la orden militar de Montesa. En la tarde del mismo dia tuvieron el honor de besar la mano á S. M. y A. el Sermo. Sr. Infante D.Cárlos, y de felicitarlos por los concertados en laces con las Sermas. Sras. Infan…</t>
  </si>
  <si>
    <t>Figueroa, Josef Vázquez</t>
  </si>
  <si>
    <t>Josef Vázquez Figueroa</t>
  </si>
  <si>
    <t>…se cuenta en cada caso por mi Secretario del despacho de Hacienda. Tendreislo entendido y lo comunicareis á quien corresponda para su cumplimien= Palacio 8 de Febrero de i8i6. = A D. Josef Vázquez Figueroa. En atención á los méritos y servicios contraídos en defensa de la justa causa por D. Josef Carrandi y Rentería , vecino y regidor perpetuo de la villa de Gijon,- diputado que fue de su junta superior, y comandante gene-^ ral de alarma , se ha servido S. M. c…</t>
  </si>
  <si>
    <t>…ta, asi como sobre el sueldo que haya de asignár seles. Tendreislo entendido, y dispondréis su cumplimiento. =Señalado de la Real mano de S. M.srPalacio 15 de Febrero de 1816. = A D. Josef Vázquez Figueroa. D. Josef Miguel de Sarasa, capitán del Real cuerpo de ingenieros cosmó grafos de Estado y profesor de astronomía , empezará sus lecciones públicas en el Real gabinete de Historia natural de esta corte por disposición de S. M. á consulta de la junta de Protec…</t>
  </si>
  <si>
    <t>…ns , teniente gene ral D. Gaspar Vigodet, cardenal CottsaLvi, R. arzobispo de Valencia, R. obis po de Cuenca, R. obispo de Cádiz, y á los Sres. Secretarios del Despa cho de Marina D. Josef Vázquez Figueroa, y de Hacienda D. Manuel Ló pez Araujo. r- f &lt; Cruces supernumerarias i A D. Antonio Colomer de Prades, natural de Morelfe; D. Vicente María Aguiar , dignidad de la catedral de Mondoñedo ; D* Juan JosefiFagoaga, ve cino de México ; D. Juan PedraGómez, natural…</t>
  </si>
  <si>
    <t>Figueroa, Josef Vázquez de</t>
  </si>
  <si>
    <t>Josef Vázquez de Figueroa</t>
  </si>
  <si>
    <t>…o de la Di rección de Hidrografía* en la tarde del martes ■$ del corriente. &lt; ; Al apearse del coche S. M. y A A , fueron recibidos en la puerta del esta blecimiento por el Excmo. Sr. D. Josef Vázquez de Figueroa, secretario de Estado y del Despacho universal de Marina, por el señor decano y señores' ministrps del .supremo consejo de Aliniraníazgo, que se habian reunido » es te. fin, y por el director dej establecimiento él capitán de navio graduado? D. Felipe Bauza,…</t>
  </si>
  <si>
    <t>Figueroa, María Solís y</t>
  </si>
  <si>
    <t>María Solís y Figueroa</t>
  </si>
  <si>
    <t>ITOI talina y Doña María Solís y Figueroa, bijas de D. Sebastian Vicente, inten dente honorario de provincia, y superintendente de la Real fabrica de cigar ros de dicha ciudad. La brillantez y elegancia con que e:-taba adornada la iglesia; el retrato de nuestro- amado Monarca colocado bajo ele dosel,…</t>
  </si>
  <si>
    <t>Filips</t>
  </si>
  <si>
    <t>…s de comisarios de su nación, encargados de atender á su subsistencia. Los cuerpos hannoverianos y sucesivamente los regimientos in gleses se embarcarán para las islas Jónicas. El general Filips se dispone para pasar á Corfú, y cada día se emplean 500 hombres en transportar los efec tos militares y bagages de las tropas inglesas. Muy pronto se devolverán á S. M. el puerto y las fortalezas, que guarnecerán en adelante las tropas piáinontesas sin concu…</t>
  </si>
  <si>
    <t>Fio, Juan de</t>
  </si>
  <si>
    <t>Juan de Fio</t>
  </si>
  <si>
    <t>…co Josef Benitez 160 rs. D. Manuel Martínez de Te jada 160. D. Josef de Luque 100. D. Rafael de Medina y Luque 60. Don Antonio de Luque 20. D. Bartolomé Repiso 60. Josef Lucena 4. D. Juan de Fio res 60. El gremio de especieros 760 rs. y 10 inrs. El mariscal de camoo D. To mas Zerain i^oo rs. D. Francisco Beltran de Guevara 160. D. Rafael Crespo ico. D. josef Herrera 120. D. Juan Carrillo y Aguayo 70. D. Miguel Mu ñoz 320. D. Rafael Juanicotena 1$. D.…</t>
  </si>
  <si>
    <t>Fiorez, Ramón Josef de Longaria y</t>
  </si>
  <si>
    <t>Ramón Josef de Longaria y Fiorez</t>
  </si>
  <si>
    <t>…dad de la Victoria, gri bada por, el mismo, á 6,rs. QSe continuará.') j *........* .............. ^ Por el presente se cita, Hama y emplaza á D. Rarr.on Lcngaría y Fiorez, hijo de D. Ramón Josef de Longaria y Fiorez, para que en el preciso término de 20 dias, contador desde pl d de este mes , concurra por si ó por medio de procurador con poder bastante,á deducir la acción que ¡e competa en el expediente promovido por D. Juan Fermín Fernandez de Angu.o, vecino de ia ciuda…</t>
  </si>
  <si>
    <t>Fiorez, Rarr.on Lcngaría y</t>
  </si>
  <si>
    <t>Rarr.on Lcngaría y Fiorez</t>
  </si>
  <si>
    <t>…o, á 6 rs. = Nuestra Señora de la Soledad de la Victoria, gri bada por, el mismo, á 6,rs. QSe continuará.') j *........* .............. ^ Por el presente se cita, Hama y emplaza á D. Rarr.on Lcngaría y Fiorez, hijo de D. Ramón Josef de Longaria y Fiorez, para que en el preciso término de 20 dias, contador desde pl d de este mes , concurra por si ó por medio de procurador con poder bastante,á deducir la acción que ¡e competa en el expediente promovido por D. Juan F…</t>
  </si>
  <si>
    <t>Fiquer, Andrés</t>
  </si>
  <si>
    <t>Andrés Fiquer</t>
  </si>
  <si>
    <t>…8.° Se hallará en la librería de la viuda de Illescas, calle ancha de Majaderitos, á 4 rs. á la rústica. Las obras de Hipócrates mas selectas, traducidas al castellano por el Dr. Don Andrés Fiquer, médico de cámara que fué del Sr. D. Carlos ni: tercera impresión; 3 tomos en 4.0 á 48 rs. en pasta. Se hallarán en la librería de Bailo, calle de las Carretas. En el almacén de estampas de la calle Mayor, frente á la casa del conde de Olía te, se vende la es…</t>
  </si>
  <si>
    <t>Fiscal</t>
  </si>
  <si>
    <t>…stancia en jui cio ni fuera de él, haciendo que las partes las presenten en el término pre fijado. &gt; ...■ ..i... . i Enterado de todo el Consejo, y con vista de lo expuesto por el Señor Fiscal, se ha servido mandar se expida la correspondiente circular á la Sa la. de Alcaldes de lafReál Casa y Corte, á las Chancillerías y Audiencias Reales, Corregidores, Gobernadores y Alcaldes mayores del reino , reen cargando la puntual observancia de la pragmáti…</t>
  </si>
  <si>
    <t>…hecho el pago 6 consignación de los Reales derechos de Lanzas y Medias Anatas ; y deseando la misma Cámara precaver estas con travenciones, y teniendo presente lo expuesto por el Sr. Fiscal acerca de este asunto, y conformándose cou su parecer, por decreto de 13 de Diciembre del año próximo se ha servido acordar: „Que se repita la dicha árden circu lar de que va hecha mención , su fecha 31 de Agosto de 1787 , comunicándo se también á todos los R…</t>
  </si>
  <si>
    <t>…rdenes , por las cuales se sirvió S. M. mandar se encargase de nuevo el cumplimiento de las citadas disposiciones; y publicadas en el Consejo, en su vista, y de lo expuesto por el Sr. Fiscal, ha acordado se expida circular á las Chancillerías y Audiencias Reales, Corregidores y Alcaldes mayores del Reino, y á los M. RR. Arzobispos, RR. Obispos, Cabildos de las San tas Iglesias,' Prelados Regulares y demas Jueces eclesiásticos de estos Reinos, ree…</t>
  </si>
  <si>
    <t>…nsulta del Consejo, se sirviese resolver lo que debía ob servarse. Vista por el Consejo, con lo informado por el Sr. Presidente del honra do Concejo de la Mesta, y expuesto por el Sr. Fiscal, se ha servido resolver ea auto de 29 de Marzo ultimo, se expida orden circular á los Corregido res y Alcaldes mayores, Subdelegados de la Presidencia de Mesta, para que suspendan por ahora, y hasta la resolución del expediente generas del asun to, la continu…</t>
  </si>
  <si>
    <t>…eviniese lo que Jibia egeenrar. Este supremo Tribunal , enterado del estado actual de los Pósitos, y del sagrado objeto á que están Jeoinadc S sus fondos, después de haber oido al Sr. Fiscal, cievó á S. M. en 8 de Ma yo próximo la mas reverente consulta , proponiéndole lo que tuvo por con veniente; y por Real resolución á elia ha venido S. M. en declarar que los fondos de ios Pósitos no son comprendidos en la expresada orden de ó de Abril comunic…</t>
  </si>
  <si>
    <t>…orio de la misma , según previene su Uustrísima. Lo que de orden de la misma Sala participo á Vm. para su inteligencia y debido cumplimiento, dando aviso de su recibo por mano del Sr. Fiscal, franco de porte, para ponerlo en su superior noticia. Dios guarde á Vm. muchos años. Madrid 17 de Setiembre de 1816. El Rey nuestro Señor se ha servido nombrar gobernador y presidente de Charcas al brigadier D. Gaspar Carrillo de Albornoz, marques de Valdeli…</t>
  </si>
  <si>
    <t>Fitzroy</t>
  </si>
  <si>
    <t>I2J2 que desembarco ayer en Calais. Asimismo concurren á Cambray muchos ofi ciales generales para ver las maniobras y asistir á las fiestas que seguirán. El general Craduk, lord Fitzroy y sir Henrique Wellesley, hermano del du que de Wellington, se hallan también en aquella ciudad. La biblioteca Real de Copenhague, que en 1787 no tenia mas que 100© Volúmenes, se ha aumentado de tal manera por la munificencia del Rey , que en el día consta de…</t>
  </si>
  <si>
    <t>Fítzroy</t>
  </si>
  <si>
    <t>…bridge desembarcó ayer en Calais, y llegará squi de un momento á otro. Hay ya en esta ciudad muchos genera les y oficiales que vienen á ver las maniobras, y también se hallan aqui lord Fítzroy, embajador de Inglaterra, y sir Henrique Weliesley, hermano del duque de Wellington. El cuerpo de tropas rusas que manda el conde de Woronzow, y á quien pasó revista lord Wellington el 4 de este mes, se compone de 28 á 29^ hombres y 9 á io© caballos. La revis…</t>
  </si>
  <si>
    <t>Fizar, Josef</t>
  </si>
  <si>
    <t>Josef Fizar</t>
  </si>
  <si>
    <t>…Reales sociedades económicas es el de socorrer enseñan do y tuvo á bien mandar comunicar á la Real sociedad económica Matriten se con fecha de 16 de Noviembre,por medio del Excmo. Sr. D. Josef Fizar» ro, la Real orden siguiente: „ Enterado el Rey nuestro Señor de la exposición hecha por D. Sanda.lio de Arias en to de Octubre último* en que solicita se mande á todos los ayuntamientos del reino que se suscriban por un egemplar de las lecciones de agricultu…</t>
  </si>
  <si>
    <t>Flemifig, Miguel Whirte y</t>
  </si>
  <si>
    <t>Miguel Whirte y Flemifig</t>
  </si>
  <si>
    <t>…éy Spldevilla D. Andrés Calera, yiRosas., D.; juáin itiéVI&gt;ios.1Dig^"rdenMojíes, D., Jo§ef Vernaci y; Aguado ,&lt; D. Rasrion tQrtii rdatMon$eUía.n¡ól D. ¡Pedro: . Whirte» y Fleming, D. Miguel Whirte y Flemifig^ D. «Trinidad Caraveo y Lavalle, D. Alejan dro Ainirola y Pal vía-, D. Eusebio Fernandez , D: Francisco Diaz y Ramí rez, ;D Cruz A íburquérqtié,£iD: JFosef Varelá y Cancela, D. Joséf María Carvajal ;Jiaí artillero' disti^guído' D. Joséf1 dé Tetlería y Jáuireg…</t>
  </si>
  <si>
    <t>Flemming</t>
  </si>
  <si>
    <t>…nvenido unánimemente en empezar á principios del mes que viene las conferencias preparatorias para la abertura solemne de la Dieta, que será en los primeros dias. de Noviembre. El conde Flemming, nombrado ministro plenipotenciario de Prusia cerca de la corte de Portugal, ha marchado ayer á ios estados de su padre á Gallitzia, de donde pasará á Berlín, y á fines de año partirá á Lisboa, donde se embarcará para el Brasil. Hamburgo 14 de Setiembre. El s…</t>
  </si>
  <si>
    <t>Flgin</t>
  </si>
  <si>
    <t>…e están derribando trozos de él para convertirlos en yeso; 'finalmente que se ha hecho con tanta escrupulosidad la estimación de dichos monumentos, que apenas basta á reintegrar á lord Flgin del dinero que ha desembolsado. Varios vocales de la oposición censuraron que se hubiesen sacado de Atenas estos monumentos,} Mr. Hammersley propuso que se comprasen por la cantidad de 25® libras esterlinas; pero declarando que ia Inglaterra los tie ne únicam…</t>
  </si>
  <si>
    <t>Floret</t>
  </si>
  <si>
    <t>…tiva de 42 personas, van otros tres Príncipes como gentileshombres para acompañar a nuestra futura Soberana, que son el Príncipe de Odescalchi, el de Sinzendorf y elá de Palfi. El caballero Floret, consejero de Estado, tiene también orden de irá Munich para hacer de secretario en las capitulaciones matrimoniales.■„ El conde de Rechberg tomará en esta ocasión el título de embajador, y su hermano hará las funciones de primer gentilhombre. El Príncipe de…</t>
  </si>
  <si>
    <t>Flotats, Nicolás Ballcster y</t>
  </si>
  <si>
    <t>Nicolás Ballcster y Flotats</t>
  </si>
  <si>
    <t>…á D. Juan A da ñero, señalados con los números 363743» 364806, 369339 y 373375 » y últimamente endosados el primero á los señores viuda de R, Boon é hijos, de Cádiz; el segundo á D. Nicolás Ballcster y Flotats; el tercero á I&gt;. Tomas de Urrutia, y el cuarto á D. Josef Gallinaus: dos de á 300 pesos, el mismo encabezamiento y creación, con los números 80982 y 84537, y endosados últimamente el uno á D. Eduardo B. Iitymaurice, y el otro al mismo D. Eduardo: 13 de 150 p…</t>
  </si>
  <si>
    <t>Foji, Narciso de</t>
  </si>
  <si>
    <t>Narciso de Foji</t>
  </si>
  <si>
    <t>…sente año tuvieron U honra de felicitar al ReT nuestro S áor v al Ser no. Sr. Infante O. Cirios por sus concertados enlaces, á no r,h e y r pr mentación de la ciudad de Gerona, el Sr. D. Narciso de Foji y do B.ijiJor*, harón de B ji, regidor perpetuo de la misma; el Sr. Don Andrés OH r, aLa.de Je la Real casa y corte, y el Dr. D. Jaime Ferrer, abogado del colegio de esn corte, y ases r de la sacra asamblea, Real cá mara priora! ycapíuilos provinciales de la…</t>
  </si>
  <si>
    <t>Folgueras, Luís</t>
  </si>
  <si>
    <t>Luís Folgueras</t>
  </si>
  <si>
    <t>…mejores profe sores en el arte de escribir, con otrí+s varias obras propias de. escuelas y de estudios de gramática, como el Cornelio Nepote &amp;c. , Fábulas en verso castellano por D. Luís Folgueras , deán de la catedal de Oren se: hace recomendable esta obrita, de cuyo género tenemos muy pocas en nuestro idioma, la novedad de los argumentos ó asuntos de los apólogos, el chiste y gracia de la narración, la variedad de metros, y la pureza y propiedad del…</t>
  </si>
  <si>
    <t>Fominaya, Antonio</t>
  </si>
  <si>
    <t>Antonio Fominaya</t>
  </si>
  <si>
    <t>…los interesados. Grado de teniente coronel á D. Julián Bayer, capitán del batallón de cazadores de Extremadura; á D. Vicente Sánchez Lima, capitán de húsares de Fernando vu , y á D. Antonio Fominaya , capitán del fijo de Cartagena. Grado de capitán á D. Pedro Mateos , teniente del batallón de la Albuhera. Grado de teniente á De Juan Canelles, subteniente del batallón déla Albuhera. ; Grado de, subteniente á .D. Manuel Lerva, cadete del regimiento de Gran…</t>
  </si>
  <si>
    <t>Fonseca, Diego</t>
  </si>
  <si>
    <t>Diego Fonseca</t>
  </si>
  <si>
    <t>112 6 A capitanes de Fragata los tenientes de Navio D. Francisco de Murías, era graduado; D. Diego Fonseca, D. Fabio Aliponzoni, D. Norberto de Mella y D. Manuel de Cañas. A tenientes de Navio los de Fragata El graduado de teniente de Navio D. Josef Morales, D. Francisco Berminghan, D. Pedro Mareilla, D. Josef Buitrago, D. Josef Resusta y D. Pe dro Micheo. A tenie…</t>
  </si>
  <si>
    <t>Fontana</t>
  </si>
  <si>
    <t>…n tenido la honra de cumplimentar á S. S. en Casrel-Gandolfo. El Padre San to ha dado muchas audiencias al conde Funchal, embajador extraordinario de Portugal.__ Se asegura que el cardenal Fontana, conocido por su afecto á la Compañía de jesús, no ha hecho mas que una visita de etiqueta á dicho embajador,siendo asi que la mayopparte de los individuos del sacro colegio, y aun et decano, después de la visita de atención , le han hecho otras varias. Idem…</t>
  </si>
  <si>
    <t>Fontanes</t>
  </si>
  <si>
    <t>…ueur. Ayer se reunió por primera vez la academia Francesa después de la nueva organización del Instituto, y nombró por su presidente al duque de Richelieu y por vice-presidente al conde Fontanes. Antes del 15 de Abril debe proce derse á las elecciones. Josef Brias, que nació en Valenciennes el dia 3 de Febrero de 1709, murió en Sainr-Omer ei 7 de Marzo de 1813 á la edad de 107 años y un mes. Brias sirvió mucho tiempo de criado en casas particulares,…</t>
  </si>
  <si>
    <t>Forner, Antonio Vicente</t>
  </si>
  <si>
    <t>Antonio Vicente Forner</t>
  </si>
  <si>
    <t>…y desear sus aumentos para el mayor auge de la nación. El dia 9 del corriente tuvo la honra de felicitar á S. M. por su augusto enlace, á nombre de la villa y plaza de Alcántara, D. Antonio Vicente Forner, teniente de milicias de la misma; quien diíigió á S. M. el discurso siguiente: „Señor : La M. N. L. villa y plaza de Alcántara, de voto en cortes, me presenta y pone á L. R. P. de V. M. únicamente con el fin de felici tarle por el feliz enlace con la Serma.…</t>
  </si>
  <si>
    <t>Forner, Juan Pablo</t>
  </si>
  <si>
    <t>Juan Pablo Forner</t>
  </si>
  <si>
    <t>…s los de escribir. Los pre tendientes dirigirán sus solicitudes al ayuntamiento por medio desu escribano Don Manuel Martin Serrano hasta fin de Noviembre próximo. ■ _ Consulta que.D. Juan Pablo Forner , como fiscal que era de la audiencia de Se villa, hizo al supremo Consejo de Castilla, sobre que debían representarse come dias en la ciudad del Puerto de Sta. María, sin embargo de haberse opuesto á ello la Real audiencia y el acuerdo. Se vende en la librer…</t>
  </si>
  <si>
    <t>Fornieles, Antonio Marcelino</t>
  </si>
  <si>
    <t>Antonio Marcelino Fornieles</t>
  </si>
  <si>
    <t>…ayuntamiento; D. Juan de Haro y Figueredo, individuo del Real cuerpo de maestranza; el Lie. D. Francisco de la Blanca y Calvo, del ilustre colegio de abogados; D. Gaspar Benet, y D. Antonio Marcelino Fornieles, hace saber: que siendo sus principales deberes excirar á los habi tantes de ella á que ofreciesen voluntariamente las mayores cantidades posi bles , con el sagrado objeto de sostener las tropas, y dar al público para su satisfacción el presente manifiesto de…</t>
  </si>
  <si>
    <t>Fort, María</t>
  </si>
  <si>
    <t>María Fort</t>
  </si>
  <si>
    <t>…ha y que comunicarle asuntos interesantes. En la gaceta del sobado 27 de Enero de este año, señalada con el núm. 1 2 , se anunció que cualquiera persona que supiere el paradero de Doña María Fort y Doña María Gregorio, viuda de D» Pedro Castañeda, aquella madre y esta herma na de D. Francisco Vison, natural de la ciudad de Barcelona, primer capitán del cuerpo de inválidos hábiles de esta corte, que falleció en ella en i.° de Octubre de 1809, se sirviera prevenir á dichas s…</t>
  </si>
  <si>
    <t>Fouche</t>
  </si>
  <si>
    <t>…lacos un gobierno nacional y las antiguas fronteras de su reino. Bo naparte, que solo consideraba á los polacos como un instrumento de su po lítica, no contestó; pero encargó á su ministro Fouche que emplease todos los medios posibles para obligar á Kosciusko á unirse con él, y en caso ne—: cesario hacerle conducir á Varsovia con gente armada. Kosciusko declaro que si le conducían á Polonia por fuerza, no por eso entraria en los planes de Bonaparte, y…</t>
  </si>
  <si>
    <t>Fr</t>
  </si>
  <si>
    <t>…e Tertuliano, presbítero de Cartago, contra los gentiles en defensa de los cristianos, con el libro déla paciencia v el de la exhortación de les m ¡rtb es: tra ducido por el limo. Sr. Fr. D. Pedro Mañero, obispo de Tarazona. El objeto de es ta obra, la belleza y elegancia del e&gt;tilo, y la pureza del lcnguage, la hacen intere sante á toda clase de personas: un tomo en 4.0, á 20 rs. en pasta, y 16 á la rústica. Se hallarán en el despacho de lib…</t>
  </si>
  <si>
    <t>367 sia -;hy:Bailándose en ^esta;;VÍlla de tránsito pata su destino el limo. Sr. Don Fr. Miguel Fernandez, obispo de Marcópolis,, administrador apostólico y gobernador de Quito, se le suplicó por medio de su presidente el menciona do corregidor contribuyese á solemnizarla celebrándo le pontifical, á lo cual este limo, prelado se prestó con el ma…</t>
  </si>
  <si>
    <t>…el recibo de esta. Dios guarde á V. muchos años. Madrid 30 de Marzo de 1816. El Reí se ha servido presentar para el obispado de Sonora en NuevaEspaña, vacante por fallecimiento de D. Fr. Francisco Ronset, á Fr. Ber nardo del Espíritu Santo , provincial de Carmelitas descalzos de México; pa ra el de Chiapa, vacante por fallecimiento de D. Ambrosio de Llano , á Don Salvador Samartin, prebendado de la catedral de Guadalajara: para el de la Pa z…</t>
  </si>
  <si>
    <t>…n dar una razón histórica de las juntas causas que tuvieron los Rér yes para establecer la Inquisición y conservarla, sirvo también de las causas célebres del arzobispo de Granada D. Fr. Fernando de Talavera, del venerable Avila, jr otros, probando que la Inquisición los protegió, y publicó su inocencia. Y se res ponde ademas á otros cargos que se hacen contra este tribunal, aun por su modo de enjuiciar. Se subscribe en la librería de Pere2…</t>
  </si>
  <si>
    <t>…y conservarla sus sucesores; de las causas célebres que citaron las cor tes, de Fr. Fernando de TaUvera, del V. Avila, Fr. Luis de León, el P. Sigiienza, y del aizobiepo de Toledo D. Fr. Bartolomé Carranza; del modo de enjuiciar de la Inquisición , y se respondí á los demás cargos que se hacen á este tribunal, y por los que ñus le critican los extrangeros. Se vende á 26 rs. en rústica y 3 2 en pasta en Jas librerías de Pcrez, Rtnz, Higuera y…</t>
  </si>
  <si>
    <t>…n la Real Cal.cog afia, sita en la imprenta Real. S guen los cuidemos de retratos de ilustres españo'es. Cuaderno 14: D. Al varo de Lur.a, Andrés Laguna, Fernando Nuñcz de Guzman, D. Fr. Barto lomé de las Casas, Francisco Sánchez, y D. Alfonso de Villegas. ~ Cuaderno 15: Ñuño Nuñez Rasura, Lain Calvo, Pedro Navarro, D. Juan Bautista Perez , Don Gen •limo Gómez d- Huerta, y D. Gaspar de Guzman y Pimentel.rz Cuader no 16: Fr. Juan de Jesús Ma…</t>
  </si>
  <si>
    <t>Fr, María</t>
  </si>
  <si>
    <t>María Fr</t>
  </si>
  <si>
    <t>…ha profesado siempre á la augusta familia de sus Reyes , se ha com placido extraordinariamente al saber el matrimonio concertado de V. A. S. con la Serma. Sra. Infanta de Portugal Doña María Fr ancisca df. Asts; y to mando la debida parte en la dulce satisfacción de que contempla ocupado á V. A., le felicita por tan acertada elección, deseándole, y á su digna futura Esposa, el colmo de prosperidades que merecen por rantos títulos.” El dia 27 de Agos…</t>
  </si>
  <si>
    <t>Fra, Manuel Ventura de</t>
  </si>
  <si>
    <t>Manuel Ventura de Fra</t>
  </si>
  <si>
    <t>…. E. para su inteligencia, y noticia del interesado.” Lo comu nico á V. S. para su satisfacción. Dios guarde á V. S. muchos años. Madrid 21 de Marzo de i8ió. = Josef de Arteaga. = Sr. D. Manuel Ventura de Fra ga y Varela. El Rey nuestro Señor, por decreto especial de 20del mes próximo pasa do, se ha dignado conceder el gobierno militar y político de la plaza deAlriiería a] coronel de infantería D. Carmen Cerveto. Por providencia del Sr. D. Joaquín de Almazan y Xim…</t>
  </si>
  <si>
    <t>Fraga, Juan López de</t>
  </si>
  <si>
    <t>Juan López de Fraga</t>
  </si>
  <si>
    <t>1418</t>
  </si>
  <si>
    <t>…e se juzgaron acreedores, no con oro ni plata, sino con un premio proporcionado á la pobreza del instituto franciscano. Después de lo cual,,y dadas las corres pondientes gracias á D. Juan López de Fraga, coronel de las milicias de León, que vistió á dos niños pobres , se dió fin á este acto recitando uno de los pre miados con el mayor despejo unos versos, en que dió expresivas gracias á nuestro Soberano, á la ciudad por haberles proporcionado asientos, á la…</t>
  </si>
  <si>
    <t>Fraile, Josef</t>
  </si>
  <si>
    <t>Josef Fraile</t>
  </si>
  <si>
    <t>…cos de Echandia, secretario de ayuntamiento, que se admitirán hasta el dia 30 del corriente. Se halla vacante la plaza de médico de la villa de Leganes por jubilación de su actual D. Josef Fraile, su dotación en el dia son 7700 rs. anuales, cobrados por la justicia; pero luego que falte el citado D. Josef Fraile recaerá en el que le suceda la jubilación de 3300 rs. que aquél goza. K1 profesor que quiera hacer solicitud ¿ di cha plaza dirigirá sus memo…</t>
  </si>
  <si>
    <t>Fran</t>
  </si>
  <si>
    <t>…Polonia. ■ ESPAÑA.; ; Gerona 8 de Febrero. Por acuerdo del ayuntamiento de esta ciudad de 5 del corriente se han mandado publicar las siguientes copia? del oficio que el Excmo. Sr.D. Fran cisco Xavier Castaños, capitán general de los Reales egércitos, y capitán general en gefe del egército de la derecha, le dirigió, asi como igualmente la de la contestación hecha á S. E. Capia del oficio. Excmo. Sr.Cuando el mando del egército de la dere cha,…</t>
  </si>
  <si>
    <t>…9 vecinos, coa dos conventos de reguiares y un hospital dc^S. Juan de Dios. Los facultativos que quie ran solicitarlas podrán remitir su solicitud al secretario de su ayuntamiento D. Fran cisco Antonio Lois. Sermonés: Sta Teresa de Jesús, modelo de la nación española, cuanto mas obe diente, tanto mas victoriosa; y nuestra Señora de Montserrat, universal dispensadora de nuestra salud, especial protectora de ios catalanes, fiel garante de sus gl…</t>
  </si>
  <si>
    <t>…iento de la Victoria, y, espero los mejores resultados de sus conocimientos, actividad y zelo por el mejor servicio del Rey. ,, Recomiendo á V. E. con el mayor interes al teniente general D. Fran cisco de Montalvo, que desde mi salida de Sta. Marta me ha acompañado en el egército, y le estoy muy reconocido por sus acertados consejos, y porque en todas ocasiones , de acuerdo conmigo, ha procedido siempre al me jor servicio del Rey ; pudiendo asegurar á…</t>
  </si>
  <si>
    <t>…Marzo se presentaron á felicitar á S. M. á nombre de la ciudad de Murcia los Sres. D. Manuel Doñamayor, maestrante de la Real de Ronda , corregidor político de aquella capital, y D. Fran cisco López de Aguiíar, regidor perpetuo de la misma , y alguacil mayor segundo del tribunal de Inquisición de aquel reino; el primero de estos dijo: „ Señor: Vuestra ciudad de Murcia, por medio de esta diputación, tiene la honra de ofrecerse á los R. P. de V…</t>
  </si>
  <si>
    <t>…ac ción , informándose de su apellido y regimiento, y dirigirles las expresiones mas lisonjeras de su benevolencia. Accedió gustoso á la suplica que le hizo el gefe de la comisión D. Fran cisco D lonisio Vives, relativa á la necesidad de aumentar con obras militares Ja biblioteca del establecimiento , y manifestó estar dispuesto por su parte á contribuir á sus adelantamientos y esplendor. Observó con particular atención varios estados que se l…</t>
  </si>
  <si>
    <t>…nzo Suarez y D. Vicente Garda; y deseosa la Real junta de condecorar el mérito de D. Ruperto Sacristán, D. Josef Zoilo Ro mán, D. Manuel Godos y Mendoza, D. Vicente de la Fuente y D. Fran cisco Sola, que han manifestado particular instrucción y aprovechamiento en los referidos exámenes, ha agraciado á cada uno de ellos con una caja de instrumentos de disección, y una obra de cirugía.. Cuarenta y cinco jóvenes estudiosos, y muchos de ellos sobr…</t>
  </si>
  <si>
    <t>…edo, Dr. D. Miguel Díaz Granados, D. Domingo Granados, Dr. D. Basilio Toro, D. Esteban de Pumbo, y familia, D. María Amador , é id., D. Santiago Launa, é id., D. Manuel Verve id., D. Fran cisco Fierro é hijo. Quedaron apresados los individuos siguientes: á saber , Manuel Antonio, Manuel y Leandro Salgado, nueve esclavos de la familia de Amador y uno de Pumbo, y el presbítero D. Santiago Mannet, con el vigía de la costa; y á bordo de la goleta…</t>
  </si>
  <si>
    <t>…an de tener la Real aprobación correspondiente, y de que su previsión se verificará el dia jp del corriente. Se desea saber el paradero de D &gt;na Ezequi il de la VegaCelis, hija de D. Fran cisco y de Dona María Juana Garocedo, naturales de la ciudad de Toledo, que se hallaba en Valencia en 1 8 1 1 antes de la entrada de los franceses en dicha ciudad, y cuando ¡a ocuparon huyo de ella: desde entonces no se ha sibido de su paradero. El que tener…</t>
  </si>
  <si>
    <t>…da por la escribanía del número al cargo de D. Cristóbal de Vicuña , se cita, llama y emplaza á D. Rafael Ignacio Fantoni, O. Ensebio Domingo de Urqutjo, D. Josef Vidal y Garriga, D. Fran cisco Arger é hijos, D. Agustín Alcgrin, D. Domingo Perez é hijo, D. Miguel Alvarez de Pazos, D. 'Carlos Bazzoni y D. Jaime Ordeix, interesados en un vale Real de 600 pesos, creación de j.° de 'Setiembre, señalado con el núm. 2927, para que en el término de 3…</t>
  </si>
  <si>
    <t>…Alfonso Zamorano 300. D. Luis de Herrera 320. D. Juan López 200. D. Mateo del Prado 200. D. Sebastian de Castro Jura do 200. D. Andrés Antonio Herrera 300. D. Alfonso Jurado 100. D. Fran cisco Molina 100. D. Lorenzo Molino 100. D. Agustín Perez de la Las tra 100. Doña María Josefa Jurado 100. D. Sebastian de Castro López 300. Doña Ana de Castro López 100. Juan de Murez iod. Doña María Josefa Zamorano 200. Doña Luisa Espinosa 200. D. Pedro Jua…</t>
  </si>
  <si>
    <t>…Corral; y otra de la villa y cabildo eclesiástico de Vilches en el mismo reino, compuesta de Juan Bautista López Monroy, D. Juan del Campo, D. Manuel del Moral, D. Alonso Molina, D. Fran cisco Martínez Hervas, D. Josef de Lara, D. Antonio del Campo , D. Si món Matías de Mesa, D. Tomas Gallego , D. Juan de la Herrera y Godino y D. Francisco Herrera y Navarrete : todos los cuales en nombre de las corporaciones y pueblos que representaban manife…</t>
  </si>
  <si>
    <t>…, contados desde .ei 25 del pasado. Se llama y emplaza á los acreedores y demas qué tengan derecho á los bienes de Doña María de la Encarnación Nestaris y Chapín, muger que fue de D. Fran»</t>
  </si>
  <si>
    <t>…misma I3&gt;. Manuel López de RÍyas, se cita, llama y emplaza á todos los legatarios é interesados en las mandas y dotes asignadas en la última disposición testamentaria del difunto coronel D. Fran cisco Suarez Yaldé», caballero comendador que fue de las Casas de Toledo, en ta órden de Calatrava, para que en término de 30 días, contados desde 10 del corrien te, se presenten en form.* en el juzgado d- dicho señor alcalde y citada escribanía de provincia,…</t>
  </si>
  <si>
    <t>Fran, María</t>
  </si>
  <si>
    <t>María Fran</t>
  </si>
  <si>
    <t>…epresentantes de la M. N. y M. L. ciudad de Tu dela , cabeza de su merindad en el reino de Navarra, para felicitar á V. A. por su concertado enlace con la Sra. Infanta de Portugal Doña María Fran cisca de Asís , tenemos la singular satisfacción de hacer presente á V. A. que si las distinguidas virtudes de que está adornado le han conciliado el amor de los pueblos» el que Tudela profesa á V. A. no es inferior al de otro al guno; de consiguiente tiene e…</t>
  </si>
  <si>
    <t>…tribuciones ordinarias. ESPAÑA. Madrid 25 dé Octubre* El día 22 del mes próximo pasado, habiendo salidoS. M. la Reina nues tra Señora y su augusta Hermana la'Se riña. Sra. Infanta Doña María Fran gís ca de Asís de la ciudad de Andujar, y detenídose en Bailen, después de haber recibido al ayuntamiento de ella, en cuyo nombre tuvieron la honra de felicitarlas su alcalde mayor D. Félix Alonso y Calza y D^ Joaquín Mar Duel Carvajal, diputado del común, se…</t>
  </si>
  <si>
    <t>…iendo arregladas, ó en esta corte á la escribanía de Cámara de la sala del cargo de D. Manuel Eugenio Sánchez de Escariche. Retrato de la Reina nuestra Señora y su augusta Hermana Doña María Fran cisca dé Braganza, Infanta de España, dibujadas por D. Vicente Ximeno, y graba das en cuartilla regular por D. Luis Noseret. Se venden en el almacén de estampas de la calle Mayor, frente á la casa del conde de Oñate, á 3 rs. cada una en negro y á 6 rs. ilumin…</t>
  </si>
  <si>
    <t>Fran, María Isabel</t>
  </si>
  <si>
    <t>María Isabel Fran</t>
  </si>
  <si>
    <t>…á dé paires agustinos con el mismo objeto de la- feliz y pronta WvégaCión de S. A. R. la Sra. Princesa del Brasil, y de sus augus tas hijas: las Sermas. Sras. Infantas de Portugal Doña María Isabel Fran cisca y Doña María Francisca de Asís, á la que fueron convidados f»or</t>
  </si>
  <si>
    <t>Fran-</t>
  </si>
  <si>
    <t>…aplicación , aprovechamiento y buena conducta eo la academia Trulitar de Segovia; á Tos caballeros cadetes D. Eaureano, ü£uloaga y del Arco , D. Luis ,C^s.ti.llá y de Castilla ,, D. Fran-, ciscó Castilla y/4e Castilla p.j.Bartoloméy Spldevilla D. Andrés Calera, yiRosas., D.; juáin itiéVI&gt;ios.1Dig^"rdenMojíes, D., Jo§ef Vernaci y; Aguado ,&lt; D. Rasrion tQrtii rdatMon$eUía.n¡ól D. ¡Pedro: . Whirte» y Fleming, D. Miguel Whirte y Flemifig^ D. «Trin…</t>
  </si>
  <si>
    <t>Franceschetti</t>
  </si>
  <si>
    <t>…------ 1 - J-i —1--H- i? • te mueno oempu , y uauiuiuu puuun evadirse uc jusucia en tan largo es pacio , se entregó por lin á las autoridades de Cosenza___ S. M. ha permiti do al caballero Franceschetti que resida en Sicilia en calidad de desterrado sin poder fijarse en Palermo. WDRTEMBERG. Stuttgardt 24 de Julio. F1 Rey ha salido hoy de su palacio de Freudenthal para trasladarse í Carbruhe con el objeto de visitar al gran duque de Badén. Se dice que ten drá…</t>
  </si>
  <si>
    <t>Franci</t>
  </si>
  <si>
    <t>…Ja honra de besar la Real mano dé Sd M., en nombre de la M. N. y M. L. ciudad de Mérida., y felicitarle por su-augusto en'ace matrimonial con la Reina. nuestra Señora, los señores D. Franci co María Riesco , inquisidor de Corte,, y el Marques de Sta..Coloma , ira\ oHomo de semana de S. M. con destino al cuarto del Sermo. Sr I. fenre IL Car los María. En este acto tan debido presentaron á S. M.. los homet*agi'c massumisos de aquel fidelísimo pueb…</t>
  </si>
  <si>
    <t>Franci, María</t>
  </si>
  <si>
    <t>María Franci</t>
  </si>
  <si>
    <t>…ri esta forma : ,,Sermo. Sr.: La ciudad de Granada, que tiene el honor de enviar esta diputación para felicitar á V. A. por su efectuado matrimonio con ia Serení sima Sra. Infanta Doña María Franci ca de Asís, ve estrechadas las re laciones con nuestros Soberanos muv amados, y espera que mediadores VV. AA. entre el trono y los vasallos de su augusto Hermano, se afianzará la prosperidad general de esta monarquía, siendo los pueblos el modelo de la fideli…</t>
  </si>
  <si>
    <t>Francia, Lub de</t>
  </si>
  <si>
    <t>Lub de Francia</t>
  </si>
  <si>
    <t>…n. 9.a La Sra. Reirá Doña Elvira, hija también de dicho Emperador D. Fernando el 1, Reina de Toro y de la otra mitad de dicho infantado. 10. La Sra Reina Doña Isabel, hija del Rey D. Lub de Francia el 1, y esno^a del Sr. Rey D. Alomo el vi. 11. La Sra. R eina Doña Isabel, llamada Zaida, hija dd Rey’ de Sevilla Benavet, que se convirtió á la religión católica por las maravillas que vio en la traslación del santo patrono, y después fue esposa del Sr. Rey…</t>
  </si>
  <si>
    <t>Francis</t>
  </si>
  <si>
    <t>…é oidor de la jnjswia audiencia de Quito 4 D. Jya$¡B¡aprt&amp;$ y í^ayja , por promoción de D. Santiago Corbalan á otra del Cuzco: para la. plaza de regente de la. audiencia de Lima á D. Francis co Toina$ de Ansótegui, vacante por jubilación de Q. Manuel Arredando; y para la de oidor de la de Guada laxara ID. Josef Ignacio Ortiz de Sali nas, vacante por traslación de D. Mariano Mendiola á la de Cuba. _ 11 ■— 1 " — ■'»'■■■■■■■■ ■ .......- '■ ,'■■■' .■…</t>
  </si>
  <si>
    <t>…Lorca y Perez: para la de la Puebla de Vaibona á D. Pedro Amonio Portillo y Clemente: para la de Estadilla, en la ba ronía de Castro, á D. Casimiro Hernández: para la de Betera á D. Francis co Albero y A Ibero: para la de Vi llama re liante á D. Gerónimo Pedros: pa ra la de Pedrcguer á D. josef Cata i á y Cruañes; y para Ja de Bcnmjó ¿ D. Joaquín Llacer y Cortes. Continuación de las estampas que se venden en la Real Calcografía, sita «n la impre…</t>
  </si>
  <si>
    <t>…Rojas, á D. Antonio de Agüe ra y Mollinedo , D. Gaspar María Soler y Arcayo, y D. Josef Bruno Mag dalena. Ayudas de cdmara A D. Nicolás Arguelles , D. Domingo Izquierdo y Morales, D. Francis co Hernández y Nogues y D. Joaquín Montujar y Larrea. NOTA. Las gracias que se han expedido por la secretaría del Despacho de Guerra se publicarán en otra gaceta. EN LA IMPRENTA REAL.</t>
  </si>
  <si>
    <t>…én de habitación pagada, y de la renta anual de 400 ducados satisfechos en la misma forma. Los opositores á cualquiera de dichas dos plazas dirigirán sus pretensiones por medio de D. Francis co Aragón, secretario de aquel ayuntamienío, para el dia 15 del mes de Diciembre próximo, en que darán principio los exámenes públicos. Asimismo proveerá di cha ciudad otra escuela gratuita para la enseñanza de Jas niñas en las labores de co ser , cortar, pla…</t>
  </si>
  <si>
    <t>…recibieron el collar de mano de S. M. en Ja forma establecida los -Excmos. Sres. marques de Campo-Sagrado , D. Josef Luis de Souza , marques de Vilíafranca , D. Gaspar de Vigodet, D. Francis co de Copons y Navia , D. Manuel López Aran jo y D. Josef Vázquez de Figueraa , caballeros, novicios grandes cruces de la orden. Sucesivamente se cantó una: misa solemne de Concepción , en que celebró de pontifical el Ex celentísimo Si*, cardenal de Santa Mar…</t>
  </si>
  <si>
    <t>Francisca</t>
  </si>
  <si>
    <t>…ron á S. A. lo siguiente: „S.jrmo Sr.: En representación de la ciudad de Avila venimos á poner nos á L. P. de V. A. para felicitarle por su ajustado enlace con la Serenísi ma Sra. Doña Francisca db Asís, Infanta de Portugal: reciba V. A. los sencillos votos que dirije al cíelo esta ciudad por la felicidad en su nuevo es tado , en los que acompañamos los que tenemos el honor de representarla." S. A. los escuchó con la benignidad que le caracteriza, y…</t>
  </si>
  <si>
    <t>…regidor dijo lo siguiente: ,,Sermo. Sr.: En nombre del ayuntamiento de la M. N. y L. ciudad de Vailadolid Jamos á V. A. S. el parabién por su concertado enlace con la Serma. Sra. Doña Francisca. l»k Asís, Infinta de Portugal: prodigue el cie lo sus bondades en unión tan deseada, y Valladolid y la patria entera, abis mada en el placer, disfrutará del bien que le prepara. S. M. y A. responJLron dando gracias al ayuntamiento, manifestando con el caráct…</t>
  </si>
  <si>
    <t>…Arévalo y pueblos de su jurisdicción besan la mano de V. A., y le tributan la mas afectuosa enhorabuena por su concer de Asís.w tada unión con la Serma. Sra. Infanta de Portugalw» Doña Francisca de cuyo enlace se prometen el aumento de las glorias del trono español.” S. M. y A. han admitido con su natural bondad las demostraciones de amor y tidelidad con que estos pueblos se dirigen á felicitarles y desear sus aumentos para el mayor auge de la nación…</t>
  </si>
  <si>
    <t>Francisca, Isabel</t>
  </si>
  <si>
    <t>Isabel Francisca</t>
  </si>
  <si>
    <t>…piado. Madrid 8 de Julio. El dia 11 de Junio próximo pasado tuvo la honra de felicitar á S. M. el Rey nuestro Señor por su concertado enlace con la Serma. Sra. Infanta de Portugal Doña Isabel Francisca, y besar su Real mano D. Josef María Bernaldo de Quirós, conde de Prado, y barón libre del Sacro Romano Im perio, como comisionado por la villa ael Barco de Valdeorres y su parti do; y dijo lo siguiente: „Señor: Valdeorres es la heroica jurisdicción, que hall…</t>
  </si>
  <si>
    <t>…o de Julio. , El dia del mes de Junio próximo pasado tuvieron la honra de felicitar £ S. M. el Rey nuestro Señor por su concertado enlaoe con la Serma. Seño ra Infanta de Portugal Doña Isabel Francisca , y besar su Real mano, en nombre del ayuntamiento de la ciudad de Valladolid, el Sr. D. Manuel Ma ría Junco, del consejo de S. M. en el supremo de las Indias, D. Manuel Gil Reynoso, regidores , y D. Vicente Federico, procurador síndico general de la misma ci…</t>
  </si>
  <si>
    <t>tado matrimonio con la Serm». Sra. Doña Isabel Francisca, Infanta de Portugal; espen de el que asegurado el trono de vuestros mayores en las Rea les sienes d* Monarca tan amable, alentará la felicidad de la amada patria: dígnese pues V. M. aj mitir este sencillo símbolo de su amor y patriotismou y el ciño colme de…</t>
  </si>
  <si>
    <t>Francisca, Isabf.l Marta</t>
  </si>
  <si>
    <t>Isabf.l Marta Francisca</t>
  </si>
  <si>
    <t>…or todo el pueblo , y diversiones inocentes oe estos vecinos, en acción de gracias al Todopoderoso por los augustos des posorios del Rey nuestro Señor con la. Reina nuestra Señora Doña Isabf.l Marta Francisca, y del Sermo. Sr. Infante D. Carlos María Isidro con S. A. S. la Infanta Doña María Francisca de Asís. Efectivamente se cantó el le Deum en el expresado dia 22 , hubo misa solemne con su Ma gestad patente y sermón alusivo al asunto, que predicó el cura párroc…</t>
  </si>
  <si>
    <t>Francisca, Mar.a Isabel</t>
  </si>
  <si>
    <t>Mar.a Isabel Francisca</t>
  </si>
  <si>
    <t>…defender los sagrad* der-diis id tro 10 v de la nación, se presentan hoy de nuevo á los pies de V. .vi. feiieit i i iole p u augusta enlace con la Ser na. Sra. In fama de Portugal Doña Mar.a Isabel Francisca. „Con esta teíiz u don se prometen ver renacer por las virtudes que ador nan á tan augusta Esposa los felices ti un pos de Isabel la Católica : reunirse en V. M. el vil de los Fernandos la san idad del tu , ia prudencia y polí tica del v, y la p iz y abunlanc…</t>
  </si>
  <si>
    <t>Francisca, María</t>
  </si>
  <si>
    <t>María Francisca</t>
  </si>
  <si>
    <t>…ama , le repesta y desea acreditarlo. Consiguiente á estos principios nos encarga que felicitemos á V. A. por su marrimonio pró ximo a verificarse con la Sra. Infanta de Portugal Doña María Francisca, y le aseguremos también de sus súplicas y ruegos al Al iómo, para que se digne derramar sus bendiciones sobre Esposos tan dignos de una vida tran quila y suerte venturosa/’ ARTICULO DE O FICTO. El Ret nuestro Señor se !ia servido ex^e.ur el decreto siguiente…</t>
  </si>
  <si>
    <t>…rnuy ilustre y siempre fiel ciudad de Alicante nos ha distinguido con el honroso encargo de felicitar á V. A. por los esponsales contrarios con la Serma. Sra. Princesa de Portugal Doña María Francisca. ,,Dignese pnes V. A. admitir los respetuosos homenages de la ciudad y sus representantes, cuyos votos se dirigen solo á que el cielo bendiciendo es ta noble unión colme de satisfacciones á tan dignos Esposos , de cuyas virtu des y talentos unidos á los de su…</t>
  </si>
  <si>
    <t>…al , capital de la provincia de la Mancha, de la qne soy comisionado por su ilustre ayuntamiento y vecindario, felicito á V. A. por el enlace con la Serma. Sra Infanta de Portugal Doña María Francisca, de cuyo apeteci do matrimonio no duda la ciudad haber conseguido cuanto podía apetecer, por mirar en él muy de cerca la prosperidad de esta monarquía, elevando sus súplicas al Todopoderoso para la conservación de tan importantes vidas y fomento de la religió…</t>
  </si>
  <si>
    <t>…as por el acertado , feliz y satisfactorio enlace que V. M. y el Sermo. Sr. Infante D. Carlos tienen tratado con las excelsas Sermas. Sras. Infantas Doña María. Isabel Francisca y Doña María Francisca db Asís, hija' de la augusta casa de Portugal, de tan esclarecida estirpe, virtuo sa y católica rama: Señor, aquellos heles pueblos y la nación entera se pro meten frutos de bendición en la Real familia, que perpetúen las delicias, la felicidad y la gloria de…</t>
  </si>
  <si>
    <t>…osa y muy siempre fiel ciudad de Fuenterabía, reconociendo las. distinguidas virtudes de V. A.R., toos encarga le felicitemos por su enlace con la Serma. Sra. Infanta de Portu gal Doña María Francisca, y manifestemos á V. A. R. los deseos que animan á todos sus habitantes de que el cielo le colme de felicidades,” S. A. se sirvió contestar con la benignidad y dulzura que forman su ca rácter serle muy apreciables las demostraciones de afecto de la expresada…</t>
  </si>
  <si>
    <t>…oz el mismo Excmo. Sr. marques de Viilei, tuvieron ia honra de felicitar i S. A. S. el Sr. Infante D. Carlos con el interesante motivo de su acordado casamiento con la Serma. Sra. Doña María Francisca, Infanta de Portugal. ARTICULO DE OFICIO. Con motivo del fallecimiento d« la Reina de Portugal ha resuelto el Rey nuestro Señor que desde el jueves 4 del corriente se vista 1a cor té de luto por seis &lt;e¡nanas; las tres primeras de luto riguroso, y las otras t…</t>
  </si>
  <si>
    <t>…los mismos que impulsaron á S. M. á contraer esponsales con una Infanta de su propia familia, han dirigido á V. A. para elegir por su Espo sa á la Serma. Sra. Infanta de Portugal Doña María Francisca. Nuestra comisión se dirige á felicitar á V. A. por tan plausible enlace ,que ha llenado de gozo y alegría á aquellos naturales, que constantemente pedirán al Ser supremo correspondan los felices resultados que anhelan á tan oportuna y y sabia elección.” S. A…</t>
  </si>
  <si>
    <t>…honra con el encargo de ofrecernos á L. P. de V. A. y tributarle á su nombre los hoinenages mas res petuosos por el tratado enlace de V. A. con la Serma. Sra. Infanta de Por tugal Doña María Francisca r&gt;E Asís, y p den al Todopoderoso que en tan feliz unión conserve ia vida de V. A. muchos años para felicidad de la monarquía." El dia 24 de Junio último tuvieron la honra de felicitar á S. M. por su con tratado y augusto enlace á nombre de la ciudad de Avila…</t>
  </si>
  <si>
    <t>…hace tan digno obligai» al cabildo de Cuenca á tomar particular interes en vuestras satisfacciones. Las que le ofrece el enlace contratado con la Serma. Sra. Infanta de Portu gal Doña María Francisca i&gt;b Asís son de tanta consideración, que c| cabildo violentaría sus sentimientos, si omitiese manifestar á V. A. su placer y sus deseos. Quien el cieló* bendecir este matrimonio para que, siendo</t>
  </si>
  <si>
    <t>959 so presencia, nos d'stingu* ttcnojaramente conutíonándooos para felicitarle por su contratado matrimonio con la Serma. Sra. Infinta Doña María Francisca. &gt;* Do* habitantes de S&gt; Sebastian desean cjue este augusto enlace colme 1» felicidad de V. A. R., de su ¡lustre Esposa, y de toda su Real familia, sir viendo de época á a perpetua unión de las dos Reales familias reinantes en España y Portugal, para asegurar…</t>
  </si>
  <si>
    <t>…su Real mano. En seguida pasaron á felicitar al Sermo. Sr. Infante D. Carlos María,ge nera Limo de los egércitos de S. M ♦ por su concertado matrimonio con la Serma. Sra. Infanta Doña María Francisca ; al cual dirigió el mismo señor diputado el discurso que sigue: ,,Sermo. Sr.: La M. N. y M ciudad de S. Sebastian, que tenemos el honor de representar, y que tuvo la gloria de acreditar á V. A su afecto y lealtad en el desgraciado ano de 1 808, época en que…</t>
  </si>
  <si>
    <t>…de ver fondearen su bahía el navio por tugués S. Sebastian y la fra gata de S. M. la Soledad, conduciendo á bordo á S. M. la Reina nuestra Señora y á S. A. la Serma. Sra. Infanta Doña María Francisca «&gt;f. Asís, después de una feliz navegación de 62 dias, sin experi mentar quebranto alguno. Inmediatamente se trasladó al S. Sebastian el Sr. conde de Miranda con todos los demas gcfes de la Real comitiva destinada por S. M. para este objeto , v fue recibido p…</t>
  </si>
  <si>
    <t>…ha dhoue ^' le acompañe también en sus felicidades; y que al tiempo que se veiiñcan *us augustos desposorios , se verifiquen también los de V. A. R. con iaSernia. Se ñora Infanta Doña María Francisca oe Asís. La ciudad de Tortosa pues felicita á V. A. R. con tan plausible motivo, y dirige a Dios sus incesantes</t>
  </si>
  <si>
    <t>…ra de felicitar con igual mo tivo al Sermo. Sr. Infante D. Cárlos , dirigiéndole el discurso siguiente: ,, Sermo. Sr.: La noticia del enlace de V. A R. con la Serma. Sra. Infan ta Doña María Francisca , ha llenado de placer á la M. N. L. villa y plaza de Alcántara, á quien represento: sus habitantes transportados de la mas pura alegría dirigen al Altí i^o sus votos, para que bendiga esta unión con todos los bienes que puede desear un cristiano: feliz enlac…</t>
  </si>
  <si>
    <t>…tero el honor de representar como su procurador sindico, me distingue lisonjeramente comisionándome para le.ic.tar a V. A. por su contratado matrimonio con la Serma. Sra. In fanta Doña María Francisca df. Asís. Los habitantes de Sra. Olalla decean que este augusto enlace coime de felicidades a Y. A. y toda su Real familia , y asegure ia gloria de ia na ción.’' ARTICULO DE OFICIO. A c onsccue acia de hrd- er resuelto la Reina muestra Sene ra s *4 i. ir de V…</t>
  </si>
  <si>
    <t>…no pudiendo gozar completamente de la felicidad que me prepara este dia , tanto mas célebre por el dichoso enlace de mi amado y augusto Hermano el Infirme D. Carlos con la Infanta Doña María Francisca , sin aliviar antes en cuanto permitan las leyes y la situación del reino la suerte de los desgracia dos que gimen bajo el peso de sus crímenes, he venido en conceder indulto general á los delincuentes que sean capaces de él en la península é Islas adyaberá t…</t>
  </si>
  <si>
    <t>1411</t>
  </si>
  <si>
    <t>…cho de la lealtad de Alcañiz. En. seguida se presentaron los mismos diputados al Sr» Infante D- Carlos, á quién felicitaron igualmente por su matrimonio con la Serma. Sra. Infanta Doña María Francisca , recibiendo de S. A- muestras benignas, de aprecio* y estimación-</t>
  </si>
  <si>
    <t>Francisca, María Isabel</t>
  </si>
  <si>
    <t>María Isabel Francisca</t>
  </si>
  <si>
    <t>…dia 19 del corriente tuvo-el honor el Consejo de Estado de besar la mano al Rey nuestro Señor , y felicitaíle por su concertado matrimonio con la Serma. Sra. Infanta de Portugal .Doña María Isabel Francisca. Reunido en el cuarto del Sermo. ‘Sr. InfanteiDt Cárlos, presidido por S. A*R., é incor porado en él el Sermo. Sri Infante D. Antonio, ^asó de ceremonia y formai00 ai de S. M., quien á poco tiempo sé'presento á recibir este homenage de fidelidad, de amor y de…</t>
  </si>
  <si>
    <t>…es tranza de Ronda D. Pedro Cevallos, D. Fernando Queipo de Llano y Don Domingo Ramírez de Arellano. con el plausible motivo de su concertado matrimonio con la Serma. Sra. Infanta Doña María Isabel Francisca, y en seguida lo hicieron al Sr. Infante D. Carlos por su ajustado casamiento con la Serma*Sra.Infanta Doña María Francisca de Asís ; y asi S. M. como S. A. quedaron muy complacidos de esta demostración de amor y de respeto. El dia 25 del corriente tuvieron l…</t>
  </si>
  <si>
    <t>…argo de felicitar á v. M. con el plausible motivo de su concertado matrimonio y el de su augusto Hermano el Sermo. Sr. Infante D. Carlos María Isidro con las Sermas. Sras Infantas Doña María Isabel Francisca y Doña María Francisca de Asís, hijas de los excelsos Principes del Brasil, encargo tanto mas lisonjero y apreciadle para mí cuanto reconociendo en aquella porción de leales vasallos de V. M.* según las instrucciones que me tienen comunicadas, los mismos sentimientos de amor y resp…</t>
  </si>
  <si>
    <t>…servido el Rey nuestro Señor, haciendo ¿e S. E. la mas alta confian."* za, elegirle para que en su nombre,contraiga el matrimonio ajustado con ja ,Serma. Sra. Infanta de Portugal Doña María Isabel Francisca ; y habien do merecido con la autorización de S. M. igual distinción al Sermo. Sr. In fante D. Carlos para que contraiga el suyo respectivo con laSerma. Sra. In fanta Doña María Francisca de Asís, remitiendo á S. E. los correspon dientes poderes, para que á s…</t>
  </si>
  <si>
    <t>…it, el conde de Orgaz, el. conde de Cervellon, el marques de Santiago y el marques de Jarareal, cpn el plausible motivo de su concertado matrimonio con la Serení sima Sra.,Infanta Doña María Isabel Francisca, y en seguida lo hicie ron al Sermo. Sr. Infante D. Carlos por su ajustado casamiento con la Sentía. Sra. Infama Doña María Francisca de Asís; y asi S M. como S. A. quedaron muy complacidos de esta demostración de amor y de respeto. ARTICULO DE OFICIO. Artícu…</t>
  </si>
  <si>
    <t>…n la serranía de Ronda, desplegaran ansiosos la efusión de su júbilo con la feliz y nunca bien ponderada noticia del enlace de V. R. M. con la Se renísima Sra. Infanta de Portugal Doña María Isabel Francisca, cuyas prendas ,sin exageración, no pueden estar ocultas hasta á las mas remotas Po tencias, y de quien se deben prometer los vasallos de la mas vasta monar quía todas las felicidades y bienes á que su ambición alcance: tales son las ideas, Señor, que se tien…</t>
  </si>
  <si>
    <t>…anuel de Elizalde se presentaron á cumplimentar á S. M. á nombre del egircito, cabildo y tribunales del reino de Chile por su próximo enlace con la Serma. Sra. Infanta de Portugal Doña María Isabel Francisca : el pri mero arengó en e^tos términos: ,,Penetrados, Señor, los diputados de Chile de las vivas ansias con que aun en medio de sus convulsiones políticas suspiraba aquel reino por el glo rioso enlace de V. M. con la excelsa y fidelísima casa de Braganza , no…</t>
  </si>
  <si>
    <t>…cios en la pasada época son bien notorios á V. M., reconoce ahora la continuación de aquella misma obra en el preparado casamiento de V. M. con la Scrma. Sra. Princesa de Portugal Doña María Isabel Francisca ; y con tan lisonjero motivo nos ha comisionado para felicitar á V. M. ,, Alicante, Señor* y toda su comarca desea con ansia el feliz momento de una unión tan satisfactoria á V. M., tan útil á la religión como necesaria y ventajosa, al estado; y espera llena…</t>
  </si>
  <si>
    <t>…o, y ofrecerle sus mas respetuosos sentimientos de amor y lid iidad , renueva ahora sus leales afectos por el concertado enla ce de V. M. cotí la Serm.i. Sra. Princesa de Portugal Doña María Isabel Francisca, teniendo la satisfacción deque lo verifica precisamente en un dia que cumplen ocho años Je la mayor gloria para aquella ciudad, en que asaltada tres veces por la noche bruscamente ñor ii3&gt; franceses, y sin tener mas guarnición que la de 300 soldados , siendo…</t>
  </si>
  <si>
    <t>…petuos, nos proporciona la honra de ponernos á L. R. P. de V. M , en cargándonos que en su nombre felicitemos á V. M. por su ajustado enlace con la Serma. Sra. Infanta de Portugal Doña María Isabel Francisca; á la verdad , Señor, no encontramos palabras para expresar los sentimientos de esta leal ciudad ; pero nos contentaremos con decir que cual la que mas desea conceda el cielo á V. M. una numerosa descendencia, y á la nación el dulce placer de ver renovado el…</t>
  </si>
  <si>
    <t>"73° sion de felicitar á V. M. por sn concertado enlace con la Sra. Infanta de Por tugal Doña María Isabel Francisca. Si en todos tiempos,Señor,ha acre ditado Tudela á los augustos predecesores de V. M. con los mas particulares servicios la mas acendrada y constante lealtad, juntamente con el mas singu lar amor; el que ha manifestado siempre á la augusta familia de Borbon d…</t>
  </si>
  <si>
    <t>…ferido el lisonjero y honroso encargo de felicitar á V. M., y hacerle presente las de mostraciones de *u júbilo por su contratado matrimonio con la Serma. Sra. Infanta de Portugal Doña María Isabel Francisca. o Yo, á nombre de aquel pueblo, vengo con el mayor placer i ofre cer á V. M. e! mas expresivo y respetuoso parabién por tan acertada elec ción , y el tributo de su amor y fidelidad inalterable, repitiendo á los pies del trono de V. M. los votos cpie incesant…</t>
  </si>
  <si>
    <t>…onferido el honroso encargo de nacer llegar á los pies del trono sus inalterables respetos de sumisión, y el júbilo que la anima por el enlace de V. M. con la Reina nuestra Señora Doña María Isabel Francisca. „Nos es sumamente lisonjero poder felicitar ya á V. M. por haberse reali zado tan solemnes desposorios, y al paso que damos á V. M. la mas com pleta enhorabuena por la feliz llegada al puerto de C.ídiz de la Reina nues tra Señora, rogamos al Todopoderoso la…</t>
  </si>
  <si>
    <t>…dicha de presentarse á V. M., representa da por el decano y dos comisionados de su ayuntamiento, para felicitar á V. M. por el futuro enlace con la Serma. Sra. Infanta de Portugal Doña María Isabel Francisca ,en quien espera la nación tener una amorosa ma dre, a&lt;i como en V. M. tiene un padre benéfico. ,, Dígnese V. M. aceptar estas demostraciones de gratitud, fidelidad y amor, que en nada desdicen de los sentimientos de nuestros corazones. ,,Reus, Señor , puede…</t>
  </si>
  <si>
    <t>1047 os felicitemos en su nombre por el acordado enlace con la Serma. Sra. Infan ta de Portugal Doña María Isabel Francisca. „ Aquella heroica ciudad desea vivamente que se perpetúe el trono en la augusta casa española de Borbon, y que V. M. tenga la gloria de ver á los hijos de sus hijos para llenar aquellos deseos tan justos y sinceros como in teresantes, „Tarragona, Señor, ofre…</t>
  </si>
  <si>
    <t>1048</t>
  </si>
  <si>
    <t>…antes sentimientos no pueden me nos de felicitar á V. M. por nuestro órgano con la mayor y mas tierna efu sión de sus corazones, por el enlace de V. M. con la Reina nuestra Señora Doña María Isabel Francisca. Llenos están , Señor, de jubilo y satisfac ción aquellos honrados naturales, porque presienten que de esta unión va i renacer, no solo la felicidad de vuestro reino, sino el tiempo de las glorias de aquellos siglos que tanto renombre dieron á nuestra España.…</t>
  </si>
  <si>
    <t>…nte D. Carlos María, manifestando á S. M. y A. lo muy satisfactorios que habíart sido al cabildo los interesantes desposorios celebrados con las Sermas. Sras. Infantas de Portugal Doña María Isabel Francisca, la Reina nuestra Señora , y Doña María Francisca de Asís, por cuyas felicidades dirigía continuas^ fervorosas súplicas ai cielo; y a cuyos sentimientos: y expresiones contestaron S. M. y A. con su acos tumbrada benignidad y favor. La Real sociedad económica…</t>
  </si>
  <si>
    <t>…rticular del Rey, en que presentó las cartas de aviso del matrimonio del Rey su amo y del Infante D. Cárlos, hermano del Rey de España , con las Sermas. Sras. Infantas de Portugal Doña María Isabel Francisca y Doña Ma ría Francisca de Asís.</t>
  </si>
  <si>
    <t>…i Rey nuestro Señor y al Sermo. Sr. Infante D. Carlos María, y felicitar á S. M. y A. por los respectivos augustos desposorios celebrados con las Sermas. Sras.Infantas de Portugal Doña María Isabel Francisca , la Reina nuestra Señora, y Doña María Francisca de Asís, á que nuestro augusto Sobera no y Sermo. Sr. Infante correspondieron con las expresiones de esti mación y gratitud propias de su bondadoso corazón. El dia 12 del mismo tuvieron la honra de presentarse…</t>
  </si>
  <si>
    <t>…ntado por los individuos que les cabe el honor de estar á vuestra augusta presencia , tiene por objeto felicitar á V* M. por su feliz y acertado enlacé con la Reina nuestra Señora Doña María Isabel Francisca, en cuya Real Persona mira cifrado el mas vivo modelo de virtudes, de las que hará partícipes á todos los que se glorían de ser sus vasallos. „Aquel cabildo* Señor, que desde los siglos mas remotos ha procurado señalarse en fidelidad á sus Monarcas, fijó toda…</t>
  </si>
  <si>
    <t>Francisca, María Isabwl</t>
  </si>
  <si>
    <t>María Isabwl Francisca</t>
  </si>
  <si>
    <t>…nido con tesón los sagrados derechos de V. M., y nos ha comisionado para que ten gamos la h onra de felicitar á su nombre á V. AL por su augusto enlace con la Reina nuestra Señora Doña María Isabwl Francisca. Dígnese V. M. aceptar el parabién por tan acertada y augusta unión, que manifestamos en cumplimiento de nuestro deber, y por efecto de una eterna gratitud y fide lidad , que en nada desdice de los justos sentimientos de nuestros corazones, con los que pedimo…</t>
  </si>
  <si>
    <t>Francisco</t>
  </si>
  <si>
    <t>…mecánica, con varios suplementos sobre la belleza del caba llo, su edad, hechura única deja silla y brida, método de guiarle, herrarle, y co nocer sus enfermedades exteriores, por D. Francisco de la Iglesia y Darrac, caba llero de la Real y distinguida orden de Carlos m. El método, claridad y solidez que brillan en la obra, calidades tan precisas en las de esta clase, la han dado sin gular aprecio entre los inteligentes, como la mas propia para el…</t>
  </si>
  <si>
    <t>…e, corregidor por S. M. déla ciudad de Astor^a, su jurisdicción y á ella agregadas, se llaman, citan y empla zan á todos los acreedores ó sus herederos á los bienes concursados de D. Francisco ^lore.z V-illamil, vecino que fue y del comercio de esta ciudad, para que por sí ó ‘ por -sus poder habientes se: presénten én el referido tribunal por la escribanía dé •ayuntamiento del cargo de D. Manuel Cureces á deducir su derecho; en la inteliíge nc.ia,…</t>
  </si>
  <si>
    <t>…ecino que fue de la villa de Cehegin, en el reino de Murcia , el que era poseedor de 17 vinculaciones, y no dejando sucesor conocido para ellas mas que un hermano que tuvo llamado D. Francisco de' Góngora y Aguado, natural de dicha villa de Cehegin, e! que se ausentó de la casa de su padre D. Jorge de Góngora en la ed¿d de la pubertad; y haciendo bastantes años que no se ha tenido noticia de su paradero, se suplica al que supiese de dicho D. Franci…</t>
  </si>
  <si>
    <t>…la pertenencia de un vale Real de 150 pesos de t.° de Setiembre de 1808 , núm. 2 13Ó47, que s:?lió en cabezado en IX Francisco Alvarez Cuervo, y se endosó en 1 2 de Mayo de 1812 á D. Francisco de la Vieja. las personas que se consideren con derecho á ¿1 acudirán i deducirlo ante dicho Sr. Juez y escribanía dentro del preciso termino de 1 5 dias; apercibidas que de no hacerlo les parará el perjuicio que h.ya lugar. En la villa de Arroyo del Puerco,…</t>
  </si>
  <si>
    <t>…bieren muerto en defensa de la justa causa de la nación, ha cabido en suerte del primer extracto de la de este dia á Doña Josefa Hueso, hija del coronel y comandante de artillería D. Francisco, muerto en el campo del honor. La extracción siguiente se egecutari el dia 25 de Junio. ARTICULO DE OFICIO. Cirudar del Ministerio de Hacienda. Siendo muy ruinosa para las fábricas nacionales la introducción de los jabones extrangeros no obstante los derechos…</t>
  </si>
  <si>
    <t>…L&gt;. Francisco G reía Rodrigue* y Piterlet, de nación Francés, á quien se di ce corresponde dicha cantidad , $e ha mandado por el señor subdelegado general del mismo ramo que dicho D. Francisco ó sus herederos (caso de haber fallecido) comparezcan ante dicho señor gobernador dentro del término de seis meses, con tados desde el día de este anuncio, á deducir el derecho de que se crean asistidos; apercibidos que pasado dicho término sin haberlo hecho…</t>
  </si>
  <si>
    <t>…iotas que hubieren muerto en defensa de la justa causa de la nación, ha cabido en suerte del primer extracto de la de este dia á Doña María de los Dolores Toro , hija del teniente coronel Don Francisco, muerto en el campo del honor. La extracción siguiente se egecutará el dia 22 de Julio. ARTICULO DE OFICIO. Circular del Ministerio de Guerra. Consecuente al abuso que se observa en algunas de las Autoridades de América en conferir grados á los Oficiales y de…</t>
  </si>
  <si>
    <t>…Yupanguí, intendente; el marques de Casa Villareat, caballero veinti cuatro del Excmo. ayuntamiento; D. Juan de Haro y Figueredo, individuo del Real cuerpo de maestranza; el Lie. D. Francisco de la Blanca y Calvo, del ilustre colegio de abogados; D. Gaspar Benet, y D. Antonio Marcelino Fornieles, hace saber: que siendo sus principales deberes excirar á los habi tantes de ella á que ofreciesen voluntariamente las mayores cantidades posi bles , con…</t>
  </si>
  <si>
    <t>…graduado de teniente de Fragata D. Juan Navarrete. A la graduación de tenientes de Fragata d los que lo están de alféreces de Navio D. Agustín Berlinguero, D. Juan Martínez León, D. Francisco de la Torre y D. Antonio Angarea. Para la graduación de alféreces de Navio d los que lo son en propiedad de Fragata D. Miguel Moreno y D. Pedro Juan Barceló. A la graduación de aférez de Fragata al primer piloto prdetico D. Antonio Armengual. OFICIALES DE MAR…</t>
  </si>
  <si>
    <t>T 126 Francisco de Pauta Carbonero de la Caballería , presbítero de la Aldea del Rio de Calatrava; D. Francisco de la Roca y Arredondo, contador de la tesorería general; D. Antonio Josef Melgarejo , vecino de la villa de S. Cle mente ; D. Lorenzo Delgado, presbítero y comisario del Sto. Oficio de Se villa; D. Josef María Pau y Cánovas, vecino de Huesca; D. Ramón Anto n…</t>
  </si>
  <si>
    <t>…n los premios- prime ros D. Joaqurn Cañed'o , D. Leo na rdo-García , D. Bernardo Cadenas, Don Joaquín Vargas y D. Mantiél Ribera: con los segundos D. Juan García Cefedonó’ Casado, D. Francisco. Canillas, D-. Máximo de Vargas y Don‘Ge»Bíuo Salgado , D. Pedia Gómez y D. Pedro Miguel; y con los tetcetoi</t>
  </si>
  <si>
    <t>…de Sevilla a D. Josef María Tirado, corregidor de la ciudad de Carmona., Asimismo ha nombrado S. M. para la asistencia de Sevilla al intenden te del egército y de la misma ciudad D. Francisco La Borda: oara el cor regimiento de Boñar á D. Pedro Font y Grau; y para el de Moya á Don</t>
  </si>
  <si>
    <t>1413 B. Josef, D. Lorenzo, I). Antonio, Dona María de la Concepción, Doña Gertrudis, Doña María de Jesús, D. Francisco, D. Juan,* D. Manuel y Don Ramón López Perez, naturales de la Havana. Y habiendo fallecido el refe rido su padre D. Antonio López Gómez en el mismo año de 1802 al tiem po de estar para recogerlos, habiendo dejado pagados parte de sus gastos, dejando á deber-s…</t>
  </si>
  <si>
    <t>…en gefe.” El dia 16 del pasado tuvieron el honor de cumplimentar á S. M. y A. por su augusto enlace, comisionados por la villa del Rio, en el reino de Córdoba * el Exento, é limo. Sr. D. Francisco kequena, teniente general de los Reales egércitos, gran cruz de la orden militar de S. Hermenegildo, del consejo y cantara de Indias &amp;c., y D. Pedro González de Canales , caballe ro maestrante de la Real de Ronda, condecorado con la flor de Lis por S. M. Cris…</t>
  </si>
  <si>
    <t>Frederici</t>
  </si>
  <si>
    <t>…sentida, había formado por encargo de nuestro Soberano un proyecto de código penal, que según los inteligentes podía considerarse como una obra maestra en varias de sus partes. El profesor Frederici, su discípulo, acaba de imprimir este proyecto con notas muy instructivas. Por otra parte el profesor Tittman, de Leipsick, ha concluido también su proyecto de código penal que le habia encargado el Gobierno. Estos dos-proyectos se han pasado á una comisión e…</t>
  </si>
  <si>
    <t>Freile, Beatriz</t>
  </si>
  <si>
    <t>Beatriz Freile</t>
  </si>
  <si>
    <t>…807 está reservado el derecho á los hijos , nietos y biznietos del Lie. D. Bernardo Perez de Herrera, por el que puedan tener al crédito de 47977 rs. y 32 mrs., co res pondiente á Doña Beatriz Freile, contra el estado del marquesado de Froinista, y á los réditos vencidos y mandados pagar por la sentencia, cuya cantidad unida á la antecedente asciende á 384891 rs. y 23 mrs., de que deberán deducirse 89130 rs. sobre que se fundaron los dos patronatos mandad…</t>
  </si>
  <si>
    <t>Freile, Juana Caldera</t>
  </si>
  <si>
    <t>Juana Caldera Freile</t>
  </si>
  <si>
    <t>…la sentencia, cuya cantidad unida á la antecedente asciende á 384891 rs. y 23 mrs., de que deberán deducirse 89130 rs. sobre que se fundaron los dos patronatos mandados fundar por Doña Juana Caldera Freile, hija de !a Doña Beatriz, en el convento de Sta. Clara de esta corte, y á cuyo goce y obtención de dichos patronatos está reservado igualmente el derecho por la sentencia de Ja chancillería á los que le puedan tener mejor que Doña Josefa Ga briela Valdearetia…</t>
  </si>
  <si>
    <t>Freire, Andrés</t>
  </si>
  <si>
    <t>Andrés Freire</t>
  </si>
  <si>
    <t>…aduación de alféreces de Navio d los que lo son en propiedad de Fragata D. Antonio Torneo y D. Manuel Guin de Torres. Para la misma graduación al que lo estd de alférez de Fragata D. Andrés Freire. DEPARTAMENTO DE CARTAGENA. Para teniente de Navio al primer piloto graduado de teniente de Fragata D. Juan Navarrete. A la graduación de tenientes de Fragata d los que lo están de alféreces de Navio D. Agustín Berlinguero, D. Juan Martínez León, D. Francisco…</t>
  </si>
  <si>
    <t>French, Domingo</t>
  </si>
  <si>
    <t>Domingo French</t>
  </si>
  <si>
    <t>…, que recomiendo en las {ornadas de V. S. Dios guarde á V. S. muchos años. Cuartel general en la Plata 7 de Diciembre de i3i 5. = Josef Rondeau. = Se ñor coronel mayor de egército D. Domingo French.” Los enemigos que viven en nuestro seno hablan hecho correr las mas tris tes nuevas de esta jornada, atribuyendo al general Pezuela mas ventajas que las que efectivamente ha tenido. Desde aquí continúa el gacetero empleando toda suerte de frases consolatoria…</t>
  </si>
  <si>
    <t>Frendí, Domingo</t>
  </si>
  <si>
    <t>Domingo Frendí</t>
  </si>
  <si>
    <t>…expresa en los términos si guientes : Jornada de Sipesipe___ Domingo 31 de Diciembre de 18 if. „Anoche recibió el señor director interino del estado un expreso del coro nel mayor D. Domingo Frendí, con fecha de 19 del que espira , desde la pos ta de los Algarrobos, incluyendo original el oficio del brigadier general del egército auxiliar del Perú, que se copia á continuación. ,, El inesperado contraste de nuestro egército en la acción del 29 de No viem…</t>
  </si>
  <si>
    <t>Fresno, Miguel Andrés</t>
  </si>
  <si>
    <t>Miguel Andrés Fresno</t>
  </si>
  <si>
    <t>…n par lamentario o i gobernador rebelde de ia plaza, con una carta concebida en los términos que expresa la adjuma copia núrn. i.° que condujo el capitán de húsares de Fernando vn D. Miguel Andrés Fresno, en que ie indicaba esperaba la decisión en el término de 24 horas. Seguidamente me dirigí á hacer un reconocimiento lo mas cerca que fuese posible de la plaza, acom-. panado del general de la escuadra y segundo del egército D, Pascual Enri le, en el cual obs…</t>
  </si>
  <si>
    <t>…Valle Dupar, el grado de coronel: á D. Ma nuel Carmona, capitán del regimiento infantería de la Victoria, D. Donato Ruiz de Sta. Cruz , idein de granaderos del regimiento del Rey, D. Miguel Andrés Fresno , capitán graduado de húsares de Fernando vn, D. Simón Sicilia, capitán del regimiento del Rey, y D. Sebastian Díaz, ídem de Zapa dores , grado de teniente coronel: á D. Joaquín Cornijo , teniente de cazado res de Barbastro, empleo de capitán efectivo : á D.…</t>
  </si>
  <si>
    <t>Freyre, Manuel</t>
  </si>
  <si>
    <t>Manuel Freyre</t>
  </si>
  <si>
    <t>…s. vn.; proponiendo ademas ciertos arbitrios para ocurrir á las necesidades del estado. S. M. se ha servido admitir este donati vo, mandando que se den gracias en su Real nombre á D. Manuel Freyre, que se publique en la gaceta para su satisfacción, y que en orden á sus pro puestas se dé la competente instrucción para que recaiga la oportuna resolu ción de S. M. Por providencia del Sr. D. León de la Cámara Cano, del consejo de S. M., te niente corregido…</t>
  </si>
  <si>
    <t>Frías, Alfonso Josef de</t>
  </si>
  <si>
    <t>Alfonso Josef de Frías</t>
  </si>
  <si>
    <t>…ata: para la de Higares á D. Manuel Gre gorio Velasco: para la de Salvatierra á D. Josef Antonio Ramo: para la de Fuensalida á D. Manuel Fernandez Azcona; para la de Doña Mencía á Don Alfonso Josef de Frías: para la deTorija á D. Telesforo Valero: para la de Aguilar de Campó á D. Victoriano Escribano: para la de Budia á D. Vi cente Perez Sánchez: para la de Cañete de las Torres á D. Indalecio Coro nel: para la de Orce á D. Francisco Saturio de Puerta: para la de…</t>
  </si>
  <si>
    <t>Frías, Andrés López de</t>
  </si>
  <si>
    <t>Andrés López de Frías</t>
  </si>
  <si>
    <t>…de Goyeneche, conde de Guabul* declarándole la antigüedad desde 22 de Setiembre próximo pasado. El Rey nuestro Señor por resolución de 27 de Julio último se ha servia do jubilar á D. Andrés López de Frías, ministro de la audiencia de Catalu ña , con todo el sueldo y honores de oidor. En junta de acreedores del concurso formado á los bienes del estado del mar quesado del Villar en 6 del corriente en la posada de! Sr. D. León de la Cámara Cano, primer teniente d…</t>
  </si>
  <si>
    <t>Frías, Juan Crisóstomo de</t>
  </si>
  <si>
    <t>Juan Crisóstomo de Frías</t>
  </si>
  <si>
    <t>…ión de IX Josef Andrés de A rellano a la de Pedro-Mu ñoz, á D. Antonio Gregorio. Nogués: para la de la villa de Uclés, vacante por fallecimiento de D. Antonio Celedonio Lorente, á D. Juan Crisóstomo de Frías; y para la de Miguelturra , de nueva creación, á D. Manuel María Cabrera Ruiz. D. Pedro J osef Lazon, coronel de las milicias del partido de Huanta en la provincia de Huainanga, ha hecho al R,ey nuestro Señor el donativo de 28428 rs. y 25 mrs. y nVedio en tre…</t>
  </si>
  <si>
    <t>Frimont</t>
  </si>
  <si>
    <t>1152 VVelIington marchó á Cernay con el general Frimont y todos los generales y oficiales superiores de su estado mayor general. París jo de Setiembre. La revista general de las tropas en las inmediaciones deCambray se hará inmediatamente que el duque de Wellington haya concluido la inspección de los contingentes…</t>
  </si>
  <si>
    <t>…tos de legua de la ciudad , en donde el comandante en gefe hizo maniobrar á unos 8§ hombres de caballería y de infantería austríaca. El duque de YVellington fue después á casa dei general Frimont , donde hubo una comida es pléndida, á que asistieron las principales autoridades francesas y austríacas. A los postres el duque de Wellington brindó por el Emper^d^r de Austria, y ei general Frimont por todos los aliados, y en particular por el Rey de Franci…</t>
  </si>
  <si>
    <t>Froct'c, Isabel</t>
  </si>
  <si>
    <t>Isabel Froct'c</t>
  </si>
  <si>
    <t>…stv j &gt;n. = AL j * Miguel de Ciria.** El día 4 dv-1 corriente tuvo la honra de felicitar á S M. el Rey nuestro Señor 1 or «u concerado enlace con la Serma Sra. Infanta de Portugal Doña Isabel Froct'c \ . y K.«^r *-u Real mano en nombre de la*&gt; meri1 dades de Castilla la Vieja, D. PeJro Diaz de la Peña y Rozar, señor de las Torres de</t>
  </si>
  <si>
    <t>Froila</t>
  </si>
  <si>
    <t>…&lt;3° Real sangre de Francia, con su esposo el conde D. Ramiro: D. García , hi jo Je losados: lu condesa Doña María Froila , madre de Ñuño M-.lendez: la condesa Doña Este tan 14: el conde D. Froila, muy d.voro d: eia Iglesia: el conde D. Di go: el conde 1&gt;. Sancho : Ñuño Melcndez , el Hcrnuso, y oíros sin epitafio. También hay nueve lucillos sin título, los seis pequeños y los tres mayores, y son de Infantes ¿ Infantas, todos dentro de dicho Real pan te…</t>
  </si>
  <si>
    <t>Froila, María</t>
  </si>
  <si>
    <t>María Froila</t>
  </si>
  <si>
    <t>7&lt;3° Real sangre de Francia, con su esposo el conde D. Ramiro: D. García , hi jo Je losados: lu condesa Doña María Froila , madre de Ñuño M-.lendez: la condesa Doña Este tan 14: el conde D. Froila, muy d.voro d: eia Iglesia: el conde D. Di go: el conde 1&gt;. Sancho : Ñuño Melcndez , el Hcrnuso, y oíros sin epitafio. También hay nueve lucillos sin título, los seis pequeños y los tr…</t>
  </si>
  <si>
    <t>Frutos, Juan Pablo de</t>
  </si>
  <si>
    <t>Juan Pablo de Frutos</t>
  </si>
  <si>
    <t>…e llaman la Madagona en 3600: nueve fanegas en donde dicen la haza de Ana en 8 too; y siete fanegas eh Censo Mallens tn 1400. Quien quisiere hacer postura acudirá en dicha villa á D. Juan Pablo de Frutos, administra dor comisionado de dicha testamentaría, por quien,se admitirán las posturas que se hagan , ó si acomodase á a'gun acreedor artista ó menestral u otros de los privilegia dos tomar alguna de ellas en pago de su crédito, lo manifestará en esta corte…</t>
  </si>
  <si>
    <t>Fu, Francisco</t>
  </si>
  <si>
    <t>Francisco Fu</t>
  </si>
  <si>
    <t>…n el honor de felicitar á S. M., á nombre de la ciudad de Lérida, D. Tadeo Soler y Cases, alcblde decano de la sala de corte, y ministro honorario del supremo consejo de Castilla, Don Francisco Fu lgbsio, teniente segundo de Reales guardias Waionas,y D. Ig nacio Bufalá, guardia de la Persona del Rey ; el primero de los cuales dijo: ,,Señor : La dudad^de Lérida tíos comisiona para felicitar á V. M. por la venida de la Reina nuestra Señora y su augusto e…</t>
  </si>
  <si>
    <t>Fuertes, Rafael Paz y</t>
  </si>
  <si>
    <t>Rafael Paz y Fuertes</t>
  </si>
  <si>
    <t>…ciudad: honores de alcalde del crimen de la audiencia de Extremadura á Di Alfonso Astudillo López, corregidor de Truxillo: de alcalde mayor del crimen de la audiencia de Galicia á D. Rafael Paz y Fuertes, fiscal de marina y auditor honorario del departamento del Ferrol: de alcalde del crimen de la chancillería de Valíadolid á D. Josef Benitez, asesor de la dirección general de la armada; y honores de auditor del tribunal de la Rota de la Nunciatura á D. Santo…</t>
  </si>
  <si>
    <t>Fulgosio, Francisco</t>
  </si>
  <si>
    <t>Francisco Fulgosio</t>
  </si>
  <si>
    <t>…u reinado hagan felices á los que tienen la incomparable dicha de ser sus vasallos. Los mismos senti mientos animan al gobernador militar y político de Lérida el mariscal de campo D. Francisco Fulgosio, y nos encarga lo manifestemos asi á V. M.” En seguida pasó la comisión al cuarto de S. A. el Sermo. Sr. Infante Don Carlos, y dijo: „Señor: Tenemos el honor de felicitar á V. A. en nombre de la ciudad de Lérida por su concertado enlace con la Serma. Sra. Inf…</t>
  </si>
  <si>
    <t>…s hotnenages de respeto y amor hícia su Real Persona, asegurando que Lérida no cesa de pedir i Dio&lt; le colme de bendiciones. Et gobernador militar v político de ia referida ciudjd D. Francisco Fulgosio felicita igualmente á V. A.” ARTICULO DE OFICIO. Circular del Ministerio de Hacienda. Con esta fecha comunico á la Dirección del Crédito público la Real or den siguiente: ,, Enterado el Rey nuestro Señor de la duda ocurrida al Comisionado principal de ese est…</t>
  </si>
  <si>
    <t>Fulgosio, Francisco Xavier</t>
  </si>
  <si>
    <t>Francisco Xavier Fulgosio</t>
  </si>
  <si>
    <t>…77 de Mayo. El día 6 del corriente tuvieron la honra de presentarse á cumplimentar á S. M. á nombre de la ciudad de Lérida D. Tadeo Soler, alcalde decano de su Real casa y corte; D. Francisco Xavier Fulgosio, segundo teniente de Reales Guardias Walonas, y D. Ignacio de Búfala, guardia de la Real Per sona; el primero de los cuales dijo: ,,Señor: Vuestra ciudad de Lérida, que á ningún pueblo de la monar quía cede en fidelidad, amor y respeto á su Soberano, nos comi…</t>
  </si>
  <si>
    <t>Funchal</t>
  </si>
  <si>
    <t>…o* Varios extrangeros distinguidos é individuos del cuerpo diplomático han tenido la honra de cumplimentar á S. S. en Casrel-Gandolfo. El Padre San to ha dado muchas audiencias al conde Funchal, embajador extraordinario de Portugal.__ Se asegura que el cardenal Fontana, conocido por su afecto á la Compañía de jesús, no ha hecho mas que una visita de etiqueta á dicho embajador,siendo asi que la mayopparte de los individuos del sacro colegio, y aun et…</t>
  </si>
  <si>
    <t>G, A C.</t>
  </si>
  <si>
    <t>A C. G</t>
  </si>
  <si>
    <t>…sio Sánchez y otros- desde Tp de Julio de 181-3 hasta 24 de Diciembre de id,; A. C. G 'St. Remy á Fer nando Martin y otros desde 25 de Noviembre de r8n hasta 24 de Marzo* dé 1812; D. A C. G.° Fianner y Béverly á Leoncio Ximenez desde 2f de Mayo de 1813 hasta 24 de Agosto dé id,; G. Milkinson C. C. á Vicente Alonso y otros desde ri de Setiembre de r8t2 hasta id, ^ A. D. A, C. G. Cra-wley á Juan Mbrevia- y otros desde 2f de Noviembre de t8ii hasta-…</t>
  </si>
  <si>
    <t>G, C.</t>
  </si>
  <si>
    <t>C. G</t>
  </si>
  <si>
    <t>…e bocas de fuego cogidas, y algún botín para los soldados. Nosotros hemos tenido algunos heridos ; pero ningún muerto. „ Di os &amp;c. Barinas 12 de Marzo de 1816. = Vicente Becerra. =Sr. C. G. interino.” P. D. Por esta parte de las fronteras no hay novedad de enemigos. La Seca, provincia de ValladjUJ, 16 Je Abril. El al calde mayor de la villa de La Seca , excitado con su avur tj miento del mas eficaz deseo por los adelantamientos y progre'os de la…</t>
  </si>
  <si>
    <t>G, Josef Manuel de</t>
  </si>
  <si>
    <t>Josef Manuel de G</t>
  </si>
  <si>
    <t>…D. Luis Grcg'irio López del Castrillo, obispo de Lorima , y auxiliar de esta corte, y D ArJ-os cJ An tres García Palomares, obispo de Albarracin ; y padrinos del primeo ei Excmo. Sr. D. Josef Manuel de G &gt;yeneche, conde de Guaqui, ac.'»i larvado dd Excmo. Sr. D. Juan de la Cruz de Henestro4a , y del segundo .i b&gt;oe¡. ntisimo Sr. conde de .Sta. Coloma , en nombre del Excmo. Sr. Dn’ue de S. Car los, acompañado del Excmo. Sr. conde de Puñoenros-tr'’. hi Incido y…</t>
  </si>
  <si>
    <t>Ga</t>
  </si>
  <si>
    <t>…funto Vison en su testamento. Sermón histórico-fúnebre predicado en Búrgrs e! 14 da Junio de 1815 en el entierro de los patriotas que los franceses privaron de sepultura: su autor D. Ga briel Villanuera y Calleja, p'rroco de Quintana Ortuño. Se vende á 3 rs. en ia librería de Rodríguez, calle de las Carretas, y en Burgos en la de Villanueva. Discurso acerca de la autoridad de los instrumentos que hay en los archivos de las iglesias catedrale…</t>
  </si>
  <si>
    <t>Ga, Esteban Rodríguez</t>
  </si>
  <si>
    <t>Esteban Rodríguez Ga</t>
  </si>
  <si>
    <t>…egercicios, y precedido convite al cabildo eclesiástico, co munidades religiosas y demas personas de distlnci &gt;n, se reunió el ayunta miento en su sala capitular, presidido por el Sr. D. Esteban Rodríguez Ga llego, su alcalde mayor y corregidor interino , y se dió principio por un bre ve discurso que leyó el catedrático sobre lo mucho que contribuyen para la perfección y propiedad del idioma castellano los conocimientos de la lengua latina. En seguida se presenta…</t>
  </si>
  <si>
    <t>Ga, Josef</t>
  </si>
  <si>
    <t>Josef Ga</t>
  </si>
  <si>
    <t>…opas del egército del sur partiese desde Huaxuanan, como lo verificó el 26 de Octubre último, á reforzar el puntó déTlapa , ame nazado por varias gavillas, con el objeto de que el coronel D. Josef Ga briel de Mmijo , comandante general del rumbo de Acapulco, que se ha llaba en aquellas inmediaciones para sostener aquel punto, pudiese' retroce der hacia Tbxla , á fin de proteger el rico cargamento de China, que en tres trozos acababa de llegar de Acapulco…</t>
  </si>
  <si>
    <t>Ga, Josefa</t>
  </si>
  <si>
    <t>Josefa Ga</t>
  </si>
  <si>
    <t>…a. Clara de esta corte, y á cuyo goce y obtención de dichos patronatos está reservado igualmente el derecho por la sentencia de Ja chancillería á los que le puedan tener mejor que Doña Josefa Ga briela Valdearetias. La comunidad de S. Pedro Mártir de Toledo para pago de deudas y otros uso» trata de enagenarse de una dehesa cerrada de buena calidad, que posee en el térmi no é inmediación de la villa de Villamiel, á tres leguas cortas de Toledo, de cab…</t>
  </si>
  <si>
    <t>Ga, Martin</t>
  </si>
  <si>
    <t>Martin Ga</t>
  </si>
  <si>
    <t>…despacho de la Secretaría de Estado de Ha cienda que tenia puesto á su cuidado, he venido en ello, y en nombrar pata que le sirva interinamente á mi consejero honorario de Estado D. Martin Ga« ray. Tendreisrlo entendido , y dispondréis lo necesario á su cumplimiento. ±r lubricado de la Real mano.= En Palacio á 23 de Diciembre de 1816. = A D. Josef García de León y Pizarro.” 2.° „ Para dar un testimonio de lo apreciables que me son los servicios de…</t>
  </si>
  <si>
    <t>Ga.scueña, Julián</t>
  </si>
  <si>
    <t>Julián Ga.scueña</t>
  </si>
  <si>
    <t>…jero 20. D. Fernando Cerrudo 20. D. Miguel Cantero 70. D Andrés Calvedo 40. D. Victoriano Vacas 46. D. Juan Ser na 40. D. Felipe Raguimido 40. D. Diego Veruega 44^ E! lectoral 23. Don Julián Ga.scueña 46. D Antonio Arguello 48. D. Ramón Orachea 48. Don Fernando Perez 2o. Sr. Corrales, racionero de aquella santa iglesia, 20. El cura de S. Juan 20. El beneficiado de Gracia 24. El cura de Sfo. Domingo 46. El cura de S. Nicolás 20. El cura de Santiago 100. El…</t>
  </si>
  <si>
    <t>Gabaldon, D Luis</t>
  </si>
  <si>
    <t>D Luis Gabaldon</t>
  </si>
  <si>
    <t>…. Iin seguida se distribuyeron diferentes premios á los niños y niñas mas sobresalientes de las escuelas de enseñanza pública establecidas por la socie dad ; después de lo cual el Sr. D Luis Gabaldon ,del Consejo de S. M., y su juez mayor de Vizcaya , dio gracias á ia sociedad por el zelo que la ha ani mado desde ia última junta pública: significó la satisfacción de la sociedad por el esmero de los maestros y maestras de sus escuelas ;y habiendo ponde rad…</t>
  </si>
  <si>
    <t>Gabaso, Juan</t>
  </si>
  <si>
    <t>Juan Gabaso</t>
  </si>
  <si>
    <t>…marina de Cumaná, ha dirigido al Sr. Secretario de Estado y del Despacho del mismo ramo ,con fecha de 12 de Enero último desde Pampatar,el siguiente parte: „E1 alférez de fragata D. Juan Gabaso, comandan te de la goleta de S. M. General Morillo con esta fecha me dice lo que sigue: „A las cuatro de la tarde del dia de ayer llegó al puerto de Pampatar la ca ñonera del patrón D. Vicente Pedraza con el aviso de haber avistado en el mismo dia dos goletas…</t>
  </si>
  <si>
    <t>Gaiceran, Fermín</t>
  </si>
  <si>
    <t>Fermín Gaiceran</t>
  </si>
  <si>
    <t>128o sef Alonso, D. Juan Vega\ D. Manuel Rodríguez Almeiras y D. Cayetano Cruz. En geometría D. Josef Pujadas, D. Fermín Gaiceran, D. Josef Sada, D. Ignacio Palacios , D. Tomas Díago, y los citados D. Josef Perez y Don Juan Pablo Rodríguez. En trigonometría plana D. Manuel Bandujo, Don Cándido Pulleiro, D. Joaquín Hernández, D. Eusebio Arróspide, D. Ra món González, D. Domingo Valay y D…</t>
  </si>
  <si>
    <t>Gaiceran, Francisco</t>
  </si>
  <si>
    <t>Francisco Gaiceran</t>
  </si>
  <si>
    <t>…etría plana D. Manuel Bandujo, Don Cándido Pulleiro, D. Joaquín Hernández, D. Eusebio Arróspide, D. Ra món González, D. Domingo Valay y D. Vicente Matis. En trigonometría esférica D. Francisco Gaiceran, D. Lino Pacheco, D. Marcelino Deus, y los citados Hernández, Arróspide, Bandujo, Pulleiro, González y Va lay. En cosmografía dichos Bandujo,Deus y Pulleiro. En geografía Hernán dez, Arróspide y Bandujo. En navegación Bandujo y Pulleiro. En la apli cación del…</t>
  </si>
  <si>
    <t>Gailat, Gaspar</t>
  </si>
  <si>
    <t>Gaspar Gailat</t>
  </si>
  <si>
    <t>…Ortiz, D. Joaquín Miranda, D. Pe dro Navarro, D. Juan Josef Lahorda, D- Lorenzo Biscasillas, D. Antonio Ttmprado, D. Martin Jucez, D. Josef La&gt;, D. Josef Martin, D. Manuel Laredo, D. Gaspar Gailat, D. Inocencio Maicas, D. A: mnio Cebollero, D. Pedro Juste y D. Francisco López. Dio principio ul egcrcicio D. Maria no Nogués con un elegante discurso latino, que mereció los aplausos: luego una porción de los cenantes, habiendo presentado la colección de au…</t>
  </si>
  <si>
    <t>Gainza, Bernardo</t>
  </si>
  <si>
    <t>Bernardo Gainza</t>
  </si>
  <si>
    <t>…os; pues de otro modo no sé dará curso á instancia alguna que carezca de dichos re quisitos. A virtud de providencia del Real y supremo Conseco de Almirantazgo sé cita y emplaza á D. Bernardo Gainza, vecino y del comercio de S. Sebastian , y á, Don Miguel Tomas González, ayudante que fue de la misma, ó á sus herederos en ca so de haber fallecido, é igualmente á los herederos del marques de Ba^secourt, ca pitán general que fufe de la provincia de Guipúzco…</t>
  </si>
  <si>
    <t>Gairan, Manuel Montero de Espinosa y</t>
  </si>
  <si>
    <t>Manuel Montero de Espinosa y Gairan</t>
  </si>
  <si>
    <t>…, maestrante de la Real de Ronda , regidor perpetuo decano de dicha villa de Ta'avera, alcaide de dicha santa hermandad, y secretario del samo oficio de la inquisición de corte, y D. Manuel Montero de Espinosa y Gairan , Regi dor perpetuo de la misma, maestrante de la Rcai de Sevilla, segundo alcalde de la misma hermandad, y ambos lugarestenientes de S. A. el Sermo. Señor Infante D. Cárlos María, como alcalde perpetuo de las Reales hermandades de Talayera, Toledo y Ciudad-R…</t>
  </si>
  <si>
    <t>Gáírios</t>
  </si>
  <si>
    <t>…o , extendiendo sus pen&amp;oñésc victoriosos ú nuevas regiones. .1 I ’ En seguida los, mismos: comisionados; tuvieron.' la hoara de felicitar, con igual motivo al Sermo. Srj. Infante D. Gáírios; ¡i o r &lt; - m ¡ El día .30 del mismo tuvieron la honra de feliéitar áí S.'M. y A. R. por sus felices enlaces , en nombre tde la.&gt;M. N. .y Mí. L. cipdádi de Huete, Dón Anselmo de Cuenca , regidor.Idsda mismas y D. Braulio Tarancon; los cua les manifestaron los…</t>
  </si>
  <si>
    <t>Gaitan, Joaquín Rafael</t>
  </si>
  <si>
    <t>Joaquín Rafael Gaitan</t>
  </si>
  <si>
    <t>…lla de Villafranca del reino de Córdoba, compuesta de su alcalde mayor D. Mateo Coro nado y Blanco, de los regidores D. Gabriel de Vega y D. Blas Herrera, del vicario eclesiástico D. Joaquín Rafael Gaitan, y de los presbíteros Don Miguel Zamorano y D. Antonio Sanz Pastor; y otra de la ciudad de Jaén representada por su corregidor D. Rafael Ainat, los cuales repitieron áS.M* y A. R. las mismas expresiones de respeto, amor y sumisión. Al dia siguiente habiéndose…</t>
  </si>
  <si>
    <t>Gaitan, Juan Josef de Olazabal y</t>
  </si>
  <si>
    <t>Juan Josef de Olazabal y Gaitan</t>
  </si>
  <si>
    <t>…illa de Irun , el brigadier de los Reales egércitos, gefe de la primera bri— gada de la segunda división del egército de Andalucía, D. Juan Josef de Olazabai y Veroiz y su sobrino D. Juan Josef de Olazabal y Gaitan ; de ios cuales el primero dixo : ,,Señor: Vuestra N. y L. villa de Trun, de la provincia de Guipúzcoa, nos ha honrado con la comisión de manifestar y expresar á V. M. los senti mientos enérgicos de amor, fidelidad y obediencia con que siempre se han distingu…</t>
  </si>
  <si>
    <t>Gal, Francisco Fernandez de</t>
  </si>
  <si>
    <t>Francisco Fernandez de Gal</t>
  </si>
  <si>
    <t>…a y Castelló para la de Jalón: á D. Francisco Antonio Oniza para la de la villa de Ri va roja: á D. Josef Giménez Vinerta para la de Catarro ja : para la de la villa de Relchite á D. Francisco Fernandez de Gal vez; y para la de la villa de Epila á D. Rafael Larraz. Igualmente se ha servido S. M. nombrar para la agencia liscal de ía cámara á D. Josef Ruiz Barriopedro: para una plaza de oidor de la audiencia de Ex tremadura á D. Demetrio Ortiz , alcalde del crimen ma…</t>
  </si>
  <si>
    <t>Galceran, Fermín</t>
  </si>
  <si>
    <t>Fermín Galceran</t>
  </si>
  <si>
    <t>…oJriuuez , I). Josef Abad, D. Manuel Vicario, D. Josef Vicente Veigi, D Josef Alonso, D. Juan Vega, D. Manuel Rodríguez Almeiras j D. Cayetano Cruz. En geometría D. Josef Pujadas, D. Fermín Galceran, D Josef Sada, D. Ignacio Palacios, D. Tomas Diago, y los citados D Josef Perez y D. Juan Pablo Rodríguez. En trigonometría plana D. Manuel Ban dujo, O. Cándido Pulleiro, D. Joaquín Hernández, D. Eusebio Arróspide, D. Ramón González ,D. Domingo Balay y D. Vic…</t>
  </si>
  <si>
    <t>Galceran, Francisco</t>
  </si>
  <si>
    <t>Francisco Galceran</t>
  </si>
  <si>
    <t>…etría plana D. Manuel Ban dujo, O. Cándido Pulleiro, D. Joaquín Hernández, D. Eusebio Arróspide, D. Ramón González ,D. Domingo Balay y D. Vicente M itis.En trigonome tría esférica D. Francisco Galceran, D. Lino Pacheco, D. Marcelino Deus, y los citados Hernández, Arróspide, Bandujo , Pulleiro, González y Balay, feu cosmografía dichos Bajujo, Deus y Pulleiro. En geografía Hernández, Arróspide y Bandujo. En navegación Bandujo y Pulleiro. En la aplicación del…</t>
  </si>
  <si>
    <t>Galera, Juan de Lillo Rubio y</t>
  </si>
  <si>
    <t>Juan de Lillo Rubio y Galera</t>
  </si>
  <si>
    <t>…ayor ordinario, y Don Ramón Ruiz Ocaña, síndico personero, en nombre del ayuntamiento, del Dr, D. Cristóbal Carrillo de Albornoz , prior y cura párroco , en nombre del clero, y de D. Juan de Lillo Rubio y Galera, en nombre de los hacenda dos : otra de la villa de Martos, compuesta del teniente coronel D. Amero Henriquez y Cevallos , gobernador de ella;, y de los regidores D&gt; Alonso</t>
  </si>
  <si>
    <t>Gali, Amonio AlcaU</t>
  </si>
  <si>
    <t>Amonio AlcaU Gali</t>
  </si>
  <si>
    <t>…ra, Secretario del Rey nuestro Señor, lo hice escribir por su mandado =El Almirante Duque de Vera zúa. == Don Víctor Rascón. = D. Josef Martines de Bustos ^D. Sancho de Llamas, ss D. Amonio AlcaU Gali&amp;no. En atención á los dilatados y buenos servicios d.' D Josef Ramón Caxide Tabeada , tesorero de egército que era del de Castilla la Viej- , y comi sario ordenador honorario, se ha servido S. M. conferirle la ’O dad de tal comisario ordenador con el mismo su…</t>
  </si>
  <si>
    <t>Galiano, Antonio Alcalá</t>
  </si>
  <si>
    <t>Antonio Alcalá Galiano</t>
  </si>
  <si>
    <t>…complacidos. El día 24 del mismo felicitaron á SS. MM. por su efectuado matrimonio en repretentscion de la •villa de Cabra , reino de Córdoba , el Excrno. Sr. conde de Altamira y D. Antonio Alcalá Galiano , ministro del consejo supremo de Hacienda; y después de presentar sus poderes dijo el primero entre otras cosas: ,, Señor: La villa de Cabra de la Frontera, reino de Córdoba, al mis mo tiempo que felicita á V. M. por su efectuado matrimonio con ia Sra. In fa…</t>
  </si>
  <si>
    <t>Galindez, Francisco</t>
  </si>
  <si>
    <t>Francisco Galindez</t>
  </si>
  <si>
    <t>…cribanía, donde se admitirán siendo arregladas. Se vende un molino para labrar chocolate con sus adherentes, todo corriente, tasado ¿n 7056 rs., y manifestará á quien quiera verlo D. Francisco Galindez, del comercio de esta corte, con tienda en la plazuela de Sto. Domingo. Quien quisiere hacer postura acuda ante el Sr. D. León de la Cámara Cano, del Consejo de S. M. en el supremo de Hacienda, teniente corregidor de esta villa, por la escribanía de su número…</t>
  </si>
  <si>
    <t>Galindo, Pedro García</t>
  </si>
  <si>
    <t>Pedro García Galindo</t>
  </si>
  <si>
    <t>…de tenientes de Fragata D. Juan Dieguez Miguez y D. Andrés Ramos. Vara la graduación de tenientes de Fragata d los que lo están de alférez de Navio D Pedro Sánchez, D. Juan Alias, D. Pedro García Galindo, D. Juan Inciarte y Portu y D. Julián Alias.</t>
  </si>
  <si>
    <t>Gall</t>
  </si>
  <si>
    <t>…mente en la Dieta sobre mantener 6 no la agencia diplomática en Milán , que egerce en el dia Mr. Marcacci. Los diputados de Zurich, Friburgo, Ginebra, Basilea , Neufchatel , Vaud, Sr. Gall, Argovia y Zug reclamaron un decreto imperial que previene que no pueda haber ya ninguna agencia diplomática en el reino Lombardo Vé neto , y fundados en eito pidieron que dicha agencia diplomática se reemplaza se con un consulado ordinario, que pagaría gusto…</t>
  </si>
  <si>
    <t>…Suiza parece que no se examinará hasta que se verifique la organización definitiva de las igle sias católicas de Alemania. Hace dos dias que llegó aqui el que fue Príncipe abad de Sr. Gall, que viene de Roma Inmediatamente visitó á los principales individuos de la Die ta, con objeto de atraerlos á que favorezcan su pretensión, reducida ¿ que se le restituyan sus estados y su abadía; pero se cree que no consiga nada, y que tenga que contentarse…</t>
  </si>
  <si>
    <t>Gallardo, Antonia Manuela</t>
  </si>
  <si>
    <t>Antonia Manuela Gallardo</t>
  </si>
  <si>
    <t>…ones á una de las huérfanas de los militaresLó patriotas que hubieren muerto en defensa de Ja justa causa de Ja nación, ha cébido en suerte del primer extracto de ia de este dia á Doña Antonia Manuela Gallardo, hija del patriota D. Tomas Salustiano, muerto en el campo del honor. La extracción siguiente se egecutará el dia 29 de Abril. ARTICULO DE OFICIO. Copia del parte del capitán general del Nuevo-Reino de Granada. ,,Excmo. Sr.: Tengo el honor de anunciar á V. E.…</t>
  </si>
  <si>
    <t>Gallego, Santiago</t>
  </si>
  <si>
    <t>Santiago Gallego</t>
  </si>
  <si>
    <t>…ez , boticario, uno: D. Tomas López 1 2 rs.: Don Josef Chicarro un par de zapatos : D. Fausto Escaja uno: D. Gerónimo Gó mez uno: D. Fernando Pareja uno: D. Martin Ginoves 10 rs.: D. Santiago Gallego un par de zapatos: D. Manuel Alonso uno: D. Antonio Chalanzon uno:D. Santiago Treve uno: D. Juan Hechilla uno: D. Ricardo Muñoz uno: D. Marcos Unzue uno: D. Manuel García ur.o: D. Juan Ocon uno: D. Manuel Cono uno: D. Fernando Carrillo uno: D. Josef Cantalapi…</t>
  </si>
  <si>
    <t>Gallego, Tomas</t>
  </si>
  <si>
    <t>Tomas Gallego</t>
  </si>
  <si>
    <t>…Bautista López Monroy, D. Juan del Campo, D. Manuel del Moral, D. Alonso Molina, D. Fran cisco Martínez Hervas, D. Josef de Lara, D. Antonio del Campo , D. Si món Matías de Mesa, D. Tomas Gallego , D. Juan de la Herrera y Godino y D. Francisco Herrera y Navarrete : todos los cuales en nombre de las corporaciones y pueblos que representaban manifestaron á S. M. y A. la sa tisfacción que les cabía*por ver ya satisfecho el mayor dé sus deseos, pro testan…</t>
  </si>
  <si>
    <t>Gallinaus, Josef</t>
  </si>
  <si>
    <t>Josef Gallinaus</t>
  </si>
  <si>
    <t>…y últimamente endosados el primero á los señores viuda de R, Boon é hijos, de Cádiz; el segundo á D. Nicolás Ballcster y Flotats; el tercero á I&gt;. Tomas de Urrutia, y el cuarto á D. Josef Gallinaus: dos de á 300 pesos, el mismo encabezamiento y creación, con los números 80982 y 84537, y endosados últimamente el uno á D. Eduardo B. Iitymaurice, y el otro al mismo D. Eduardo: 13 de 150 pesos, creación asimismo de Enero de 1808, señalados con los números 2…</t>
  </si>
  <si>
    <t>…y últimamente endosados el pnnVero á los señores viuda de R. Boon é hijos, de Cádiz; el segundo á D. Nico lás Billester y Flotats; el tercero á D. Tomas de Urruti.i, y el cuarto í D. Josef Gallinaus: dós dé á 300 pesos, el mismo encabezamiento y crea.ion, con los nú meros 8098*2 y 84337 , y endosados últimamente el uno á D. Eduardo B. Ittymaurice, y el otro al mismo D. Eduardo: 13 en los miamos términos, de 150 pesos, creación tafnbien de Enero de 1808,…</t>
  </si>
  <si>
    <t>Gálvez, Josef</t>
  </si>
  <si>
    <t>Josef Gálvez</t>
  </si>
  <si>
    <t>…da dia mas el Sr. D. Carlos in del cabal des empeño de su ministro, no dudó el encargarte también de la secretaría de Estado y del Despacho universal de Indias al fallecimiento de D. Josef Gálvez, que desempeñó desde 1787 á 1790. Aun recuerdan Jas Américas la obra de su ministerio en las mejoras de Hacienda y Guerra, y en las acertadas elecciones de tantos beneméritos gefes, nombres todos de eterna gratitud en aquellos dominios ; testimonios irrefraga…</t>
  </si>
  <si>
    <t>Gamboa, Juan Josef de</t>
  </si>
  <si>
    <t>Juan Josef de Gamboa</t>
  </si>
  <si>
    <t>…e Castañiza , obispo electo de Durango: el Sr. Dr. D. Joscf Mariano Beristain , deán de esta santa iglesia : los señores canónigos Lie. D. Juan de Sarria y Alderete , chantre: Dr. D. Juan Josef de Gamboa , maestre-escuela: Lie. D. Andrés Fernandez de la Madrid, tesorero ; se decidió que Morelos, como reo de alta traición, era digno de !a deposición perpetua y degradación solemne que debía verificarse el citado dia 27. A consecuencia vestido de pontifical el l…</t>
  </si>
  <si>
    <t>Gamborino, Miguel</t>
  </si>
  <si>
    <t>Miguel Gamborino</t>
  </si>
  <si>
    <t>…de Rodríguez y Matute, ca lle de las Carretas, y en la nueva de Pallas, plazuela de la Paz. Estampa en 4.0 de S. Ignacio de Loyola , fundador de la Compañía de Jesús, grabada por D. Miguel Gamborino, según una copia del retrato original del Santo. Véndese con otras varias en el almacén de e&gt;tampas de la calle Mayor, frente á la casa del conde de Oñate. EN LA IMPRENTA REAL.</t>
  </si>
  <si>
    <t>…Selma, á 6 rs. ~Ochenta estampas, que forman un cuaderno, de los caprichos de Goya, grabadas por él mismo, á 200 rs.rzUn viacrucis, in ventado por D. Vicente López, y grabado por D. Miguel Gamborino, á 40 rs. {Se continuará.') En virtud de providencia del Excmo. Sr. Capitán general de Castilí? la Nue va , dada con acuerdo de su auditor de guerra en 23 de Agosto de este año en los autos de abintestato que se siguen1 en su juzgado con motivo del fallecimie…</t>
  </si>
  <si>
    <t>…E.ffampas en cuartilla de marca mayor. Catorce estampas ilumina das, que representan los que venden comestibles y otros efectos por las calles de Madrid, dibujadas y grabadas por D. Miguel Gamborino, á 42 rs.zz Las mismas sin iluminar, á 28 rsrr; Cartilla para aprender á dibujar, sacada de las obras dejo» sef Ribera, llamado vulgarmente el Españoleta, dibujada y grabada por p. Juan Barceló, á 16 rs.c= Veinte y ocho cuadernos de trages de todas las hacióh…</t>
  </si>
  <si>
    <t>Gamboríno, Miguel</t>
  </si>
  <si>
    <t>Miguel Gamboríno</t>
  </si>
  <si>
    <t>…él el lino de mar ó de libretas : por D. Saturlo Ximenez de Bcrdonces. Se hallará en la librería de Francés, frente á las gradas de S. Felipe el Rea!. Retrato de S. M. grabado por D. Miguel Gamboríno para colocar al frente de la obra intitulada Decretos del Rey nuestro Señor D. Fernando vir, á 4 rs.rrEl mando (mudo) militar con la espada para instrucción de los señores oficiales de egército, á 12 rs. Se hallarán en las librerías de Escribano, calle de las…</t>
  </si>
  <si>
    <t>Gamones, Jósef Díaz</t>
  </si>
  <si>
    <t>Jósef Díaz Gamones</t>
  </si>
  <si>
    <t>…21 de Enero próximo pasado se le perdió una cartera con varios papeles á iin sacardote que desde esta corte pasaba á Chinchilla. Se suplica á quien los haya encontrado lo avise á D. Jósef Díaz Gamones, oficial de correos, que vive en esta corte. Se halla vacante la cátedra de mayores del Real estudio de latinidad de la villa de la Bañeza, de rigurosa oposición, cuya dotación es la de 3100 rs. anuales ¿ pa gados por tercios de Jos propios. Los pretendientes…</t>
  </si>
  <si>
    <t>Gana, Tomas de</t>
  </si>
  <si>
    <t>Tomas de Gana</t>
  </si>
  <si>
    <t>…beneficien, y atiendan con su producto á la reparación de su monasterio, precedida la Calificación de los que tos hayan de obtener. El alférez de navio retirado de la Real armada D. Tomas de Gana, pe netrado de las presentes urgencias del Estado , no solo ha cedido á favor del Real erarlo 5935 rs* V 2 mr&gt;. vn.de haberes vencidos, sino también los cuatro reales diarios que disfrutaba en su retiro ; y S. M. ha tenido a bien admitirle esta cesión, y mand…</t>
  </si>
  <si>
    <t>Gar, Francisco</t>
  </si>
  <si>
    <t>Francisco Gar</t>
  </si>
  <si>
    <t>…. y A. por sus contraídos matrimonios, á nombre del cabildo de la santa iglesia de Cartagena de Murcia, D. Eugenio García, canónigo, y su arcediano titular, con honores de la Rota,D. Francisco Gar cía Jara ,canónigo, y dignidad de chantre de la misma ,y juez de la Nuncia tura , D. Josef Lledó , canónigo también de ella, y consejero de Ordenes, y O. Juan López Pelegrin , capellán de honor de S. M., y canónigo de la pro pia iglesia; y el primero dijo: ^e…</t>
  </si>
  <si>
    <t>Gar, Juan</t>
  </si>
  <si>
    <t>Juan Gar</t>
  </si>
  <si>
    <t>…ación, para que dentro de él se presenten en el juzgado del Sr. í&gt;, Tadeo Soler, del consejo de S. M,, alcalde de cano de la Real casa y corte , por la escribanía de provincia del Sr. D. Juan Gar rido á decir y alegar de su derecho en el concurso y testamentaría de dicho señor marques; con apercibimiento que pasado el término señalado les parará el perjuico que haya lugar á los que no lo hayan hecho, y se procederá á lo demas que corres ponda en justi…</t>
  </si>
  <si>
    <t>Gar, Ramón</t>
  </si>
  <si>
    <t>Ramón Gar</t>
  </si>
  <si>
    <t>…quisieren hacer puja ó mejora al mismo lo podrán verificar dentro del término de 1 5 dias, contados desde el dia 11 del corriente mes, por la escribanía del número que despachi el Sr. D. Ramón Gar cía Xitnenez , secretario de S. M., en la que se les instruirá de todo. A voluntad de su dueño, y en virtud de providencia pronunciada en 10 de es te mes del Sr. D. Josef Sal vador López del Pan, del consejo de S. M., alcalde de casa y corte, refrendada de D.…</t>
  </si>
  <si>
    <t>Garai, Fernando</t>
  </si>
  <si>
    <t>Fernando Garai</t>
  </si>
  <si>
    <t>…scripción de los mapas gererales. Últimamente rara amenizar estos ejercicios áridos para una porción del auditorio los Sres. D. Fernando y D. Rafael de Urries, D. Joaquín Miranda, D. Fernando Garai, D Jaime Salas &gt; D. Juan Josef Labrrda y D. Pedro Nogués repre sentaron con mucha viveza y propiedad un gracioso diálogo sobre la necesi dad de aprender por principios y reglas la lengua española , ya para hablar con precisión , corrección y ekgancia , ya par…</t>
  </si>
  <si>
    <t>Garate, Rafael de</t>
  </si>
  <si>
    <t>Rafael de Garate</t>
  </si>
  <si>
    <t>…y plaza de la misma, y por la calle que llaman de las Platerías hace un ángulo obtuso, que mira uno á oriente, y otro diagonalmente al mediodía, y por poniente linda con solar de D. Rafael de Garate; tiene 3947 pies de sitio, y está tasado en 8464 rs.; y últimamente un ter reno que se halla plantado de viña en el término de Fuencarral, sitio llamado la Fuente de la Mora, con 408 cepas, tasada en 816 rs., cuyas posesiones pertenecen al concurso de D. Juan…</t>
  </si>
  <si>
    <t>Garay, Martin de</t>
  </si>
  <si>
    <t>Martin de Garay</t>
  </si>
  <si>
    <t>…a del 10 del corriente se presentasen estos á dar pruebas de sus addantamlentos, como se veriticó después del despacho acostumbrado , con asuénela de su director primero el Excmo. Sr. D. Martin de Garay, protector de los ca nales Imperial jb Real de Tauste, de los señores oiiciales y un número - res petable de caballeros socios; y desde luego los aluninoi designados comen zaron á disertar á presencia de tan distinguida reuniou, y de los demás ciu dadanos que…</t>
  </si>
  <si>
    <t>García</t>
  </si>
  <si>
    <t>…méri to á los demas individuos, que todos, todos se han portado con emuLGon. y llenado mis deseos, considerándoles por tanto merecedores de su e u:¡). Ayer se me ha presentado el capitán García con la bandera apr.-hcimm: -Ti .'a acción de Butaque, que tengo el gusto de mandar á V. E. p*ra ¡os t,: 1 u z c — sean de su agrado. Este oficial me ha informado de los pera ci.&lt; de cion , resultando ser de mas importancia que ío que manifiesta G p;.rn a ate.…</t>
  </si>
  <si>
    <t>…, segunda espoía del Señor Rey Don Alonso de Aragón. Sres. Infantes é Infantas. Lo? Sres. Infantes D. Alonso, D. Ordoño y D. Ramiro, hijos del Sr. Rey' D. Fruela el 11. Fl Infante D. García, hijo del conde de Castilla D. Sancho. La Sra. Infanta Doña Sancha, hermana dd Emperador D. Alonso, está consagrada á Dio« por cs^iótual esposa de San Isidoro; anduvo siete años en peregrinación visitando los santos lugares; en riqueció esta iglesia con mucha…</t>
  </si>
  <si>
    <t>7&lt;3° Real sangre de Francia, con su esposo el conde D. Ramiro: D. García , hi jo Je losados: lu condesa Doña María Froila , madre de Ñuño M-.lendez: la condesa Doña Este tan 14: el conde D. Froila, muy d.voro d: eia Iglesia: el conde D. Di go: el conde 1&gt;. Sancho : Ñuño Melcndez , el Hcrnuso, y oíros sin epitafio. También hay nuev…</t>
  </si>
  <si>
    <t>…ía en Chautla al comandante de las tropas del Rey D. Mateo Musitu con otros varios oriciales europeos, no obstante de que el primero le ofreció por su vida 5G01 pesos: tn Tasco a1 comandante García de los Rios con otros seis europeos y ocho americanos, dando por nula la capitulación que habían hecho con Galeana antes de en tregarse de que les conservarla la vida, á pretexto de que después de ella siguió la tropa haciendo fuego: en Orizaba á tres individ…</t>
  </si>
  <si>
    <t>García, Cristóbal Romero</t>
  </si>
  <si>
    <t>Cristóbal Romero García</t>
  </si>
  <si>
    <t>…Manuel Caro, D, Ildefonso Lucas, D. Josef de Neira , D. Antonio Montero, D. Antonio Rodríguez, D. Antonio Villar., D. Antonio Ulloa y D. Antonio Cartnona. Para dar fin á este acto D. Cristóbal Romero García, cura mas antiguo y beneficiado propio de lá Encarnación de esta villa, profirió un elegante y enérgico discurso, en el que dando gracias al P. Mtro. por su extraordinario esmero en la enseñanza de los niños, le suplicó por sí y por todos los padres de famili…</t>
  </si>
  <si>
    <t>García, Donato</t>
  </si>
  <si>
    <t>Donato García</t>
  </si>
  <si>
    <t>…mes próximo pasado, por haber ocur rido la muerte del profesor IX Cristiano Herrgen ; S. M. ha dispuesto, á con sulta de la junta de Protección de Ciencias naturales, que el vice-profesor D. Donato García empiece sus lecciones el dia 20 del corriente á las i r de la mañana, y las continuará todos los martes, jueves, y sábados de cada se mana que. no sean festivos. Por este aviso se hace notorio que los- abajo mencionados certificados de alquiler de muías , dad…</t>
  </si>
  <si>
    <t>…El de la de Espejo 7 139. Ei de la ciudad de Monti11a 1815.__Total 85937 rs* Y 1 maravedí.. Por disposición de S. M. r á consulta de la junta de protección del Museo de ciencias, D. Donato García , vice- profesor de mineralogía , empezará sus lecciones en el Real gabinete de Historia Natural el dia 4 de Noviembre á las 11 de la mañana, y las continuará todos los lunes, miércoles y viernes de cada semana. Habiéndose reclamado en el año de 1808 58 vales…</t>
  </si>
  <si>
    <t>García, Eugenio</t>
  </si>
  <si>
    <t>Eugenio García</t>
  </si>
  <si>
    <t>…taron al Rey nuestro Señor y Sermo. Sr. Infante D. Carlos á felicitar á S. M. y A. por sus contraídos matrimonios, á nombre del cabildo de la santa iglesia de Cartagena de Murcia, D. Eugenio García, canónigo, y su arcediano titular, con honores de la Rota,D. Francisco Gar cía Jara ,canónigo, y dignidad de chantre de la misma ,y juez de la Nuncia tura , D. Josef Lledó , canónigo también de ella, y consejero de Ordenes, y O. Juan López Pelegrin , capellán…</t>
  </si>
  <si>
    <t>García, Gabriel Cairo</t>
  </si>
  <si>
    <t>Gabriel Cairo García</t>
  </si>
  <si>
    <t>…de la villa de Santillana, provincia de Santan der, que se halló en la batalla deMedellin. Cualquiera que tenga noticia de su exis tencia ó fallecimiento se servirá comunicarlo á D. Gabriel Cairo García, procura dor de los Reales Consejos en esta corte, que vive calle de Toledo, núm. 4, cuar to principal, frente á los Reales estudios de S. Isidro. En la villa de la Membrilla, provincia de la Mancha, se halla vacante el parti do de médico, dotado con 9900 rs.…</t>
  </si>
  <si>
    <t>García, Gaspar</t>
  </si>
  <si>
    <t>Gaspar García</t>
  </si>
  <si>
    <t>ros en nns composición poética que recitó, y en seguida D. Gaspar García pronunció un discurso latino, que por la materia de que trataba, por la pu» reza del leng uage, y por el despejo y desembarazo con que lo decoró , me* reció el aplau so de los concurrentes. Concluido este, presentaron varios to mos de las obras de Cicerón, de…</t>
  </si>
  <si>
    <t>García, Joaquín</t>
  </si>
  <si>
    <t>Joaquín García</t>
  </si>
  <si>
    <t>…á oficial tercero el cuar to D. Josef Santiago Santaeiia; á oficiales cuartos los quintos D. Fulgencio García Saez y D. Martin Rodon y Simón, y á oficiales quintos los meritorios D. Joaquín García y D. Serapio Carreras.</t>
  </si>
  <si>
    <t>García, Joaquín Merle y Di Agustín</t>
  </si>
  <si>
    <t>Joaquín Merle y Di Agustín García</t>
  </si>
  <si>
    <t>…o á las muchas preguntas que les hicieron. Por último los de la clase de menores y rudimen tos D. Casimiro Custardoy, D. Calixto Martínez, D. Vicente Marco , Don: Cipriano Remon , D. Joaquín Merle y Di Agustín García tradujeron varías, fábulas de Fedro, y respondieron con puntualidad y acierto á^cuanto sve les preguntó sobre los preceptos Gramaticales y propiedad de la locución. En víW ta de e^to el corregidor D. Pedro Martínez de Baños, que á la cabeza del ayuntamiento p…</t>
  </si>
  <si>
    <t>García, Jomas</t>
  </si>
  <si>
    <t>Jomas García</t>
  </si>
  <si>
    <t>…privaciones, por lo que son muy dignos de la consideración de V. E. para que les acuerde las gracias que crea justas el teniente coronel D. Manuel García de Luna, y su segundo el capitán D. Jomas García, A quien se debe la egecucion de mi combinación, sin por esto rebajar el méri to á los demas individuos, que todos, todos se han portado con emuLGon. y llenado mis deseos, considerándoles por tanto merecedores de su e u:¡). Ayer se me ha presentado el capitán…</t>
  </si>
  <si>
    <t>García, Josef</t>
  </si>
  <si>
    <t>Josef García</t>
  </si>
  <si>
    <t>…casa lo egecutará ante dicho señor y escribanía. En virtud de providencia del Sr. D. Josef Cavanilles, del Consejo de S. M., alcalde de casa y corte, y escribanía de provincia de D. Josef García de la Madrid, se cita, llama y emplaza í los que tengan mejor derecho y algún crédito á la heren cia intestada de Dona Polonia Vega, natural que fue de la villa de Leganés, la cual tienen pretendida Felipe, Angel, Isabel y Juana Montero, vecinos de dicha vill…</t>
  </si>
  <si>
    <t>…dad. El dia 6 del corriente el ayuntamiento de la imperial ciudad de Toledo por medio de sus diputados D. Víctor Josef Marina , caballero profeso de la orden militar de Alcántara, D. Josef García de la Torre, alcalde de casa y corte , regidores perpetuos , D. Patricio Ortiz Pareja y JD. Isidoro de Lara, jurados perpetuos , con su escribano mayor , acompañados del Excmo. Sr. du que de Híjar , como tutor del Excmo. Sr. duque de Alba , dignidad de al cai…</t>
  </si>
  <si>
    <t>…nientes D. Fernando Vázquez y D. Casimi ro Mendivil: á los capitanes del regimiento del Rey D. Manuel María Mar tínez de Aparicio, D. Lino López Quintana y D. Manuel Guevara, y al teniente D. Josef García, al subteniente D. Juan Meseron, al sargento pri mero Francisco Melendro, y al cabo primero de gastadores Benito Ximenezj como asimismo al corneta y tambor del regimiento de la Union Pedro Ra mírez y Manuel Martínez, y al sargento segundo Miguel Mancha. „No p…</t>
  </si>
  <si>
    <t>…ndola en 2 tomos en 8.° prolongado. Se vende en el despacho de la iiñprenta Real, á 34 rs. en rústica, 40 eu pasta'y 50* en papel marquilla avitelado. En virtud de providencia del Sr. D. Josef García de la Torre, del Consejo de S. M., alcalde en su Real Casa y Corte, refrendada del escribano de provincia Don* Cárlos Rodríguez de Moya, se cita, llama y emplaza á todas y cualesquier perso nas que tengan Ínteres á los bienes que han quedado por fallecimiento…</t>
  </si>
  <si>
    <t>García, Juan</t>
  </si>
  <si>
    <t>Juan García</t>
  </si>
  <si>
    <t>…l tribunal supremo de la Gran Bretaña llamado Chatíeery (tribunal de equidad y conciencia), dada en n de Julio de 1816 en una causa en que son partes D. Luis Gargoilo con otros, y D. Juan García, se dio comisión al Sr. D. Samuel Compton Cox, individuo de dicho tribu nal, para inquirir y exponer sí los pesos duros y doblones cargados á bordo del S* Juan Bautista , y poseídos por dicho García en virtud de providen cia del tribunal del almirantazgo con…</t>
  </si>
  <si>
    <t>…ribunal supremo de la Gran Bretaña llamado Chan•cery (tribunal de equidad y conciencia^), dada en 11 de Julio de 1816 en una causa en que son partes D. Luis Gargolló con otros , y D. Juan García, se dió comisión al Sr. D. Samuel Compton Cox , individuo de dicho tribu nal, para inquirir y ‘deponer si dos .pesos duros y doblones Cargados á bordo</t>
  </si>
  <si>
    <t>García, Juan Justo</t>
  </si>
  <si>
    <t>Juan Justo García</t>
  </si>
  <si>
    <t>…presente curso, serán premiados con el tratado elemental de matemáticas, escrito por D. Josef Mariano "Vallejo. 2.0 Y los tres que sigan á estos en mérito con la obra elemental de D. Juan Justo García. 3.0 Cuatro medallas de plata de va lor de 20 rs. vn. cada una y un egemplar de. la obrita titulada institucio nes de geometría práctica, para el uso de los jóvenes artistas por D. Beni to Bails, se ofrecen á los cuatro discípulos de la sala de aritmética y g…</t>
  </si>
  <si>
    <t>García, Manuel</t>
  </si>
  <si>
    <t>Manuel García</t>
  </si>
  <si>
    <t>…rs.: D. Santiago Gallego un par de zapatos: D. Manuel Alonso uno: D. Antonio Chalanzon uno:D. Santiago Treve uno: D. Juan Hechilla uno: D. Ricardo Muñoz uno: D. Marcos Unzue uno: D. Manuel García ur.o: D. Juan Ocon uno: D. Manuel Cono uno: D. Fernando Carrillo uno: D. Josef Cantalapiedr» uno: D. Tomas Medina uno: D. Josef Salinas uno: D. Fernando Acuña uno: D. Nicolás Suarcz dos: D. Josef Robles uno: D. Blas López cuatro: el mar ques de Villadangos do…</t>
  </si>
  <si>
    <t>…d de Avila 4© rs. El Sr. obispo 500. El ca bildo eclesiástico 4:00. Intendencia, contaduría y oficinas 1473. IX Pedro Espina 9 '‘O. D Sebastian Hernández 120. D. Felipe Barra 100. D. Manuel García 80. D. Gaspar Arribas 20. D. Juan Nobreda 20. D; Manuel Saudin Calderón 8. D. Fernando Gómez 10. Doña Margarita Martin 20. D. Santos Avoin Coronel en efectos y dinero 360. D. Manuel Cisneros 200. D. Anto nio Echenique 140. D. Josef Perez 40. D. Fructuoso Teje…</t>
  </si>
  <si>
    <t>…an Ballesteros 20. Don Ruperto Molinero 16. D Josef Brochero 40. D Manuel Palomares 30. Don Pabio Aviles 23 D. Joaquín Delgado 69. D. Sebastian Zahonero 60. D. Pe dro Espina 11 5. D. Manuel García 46. D. Francisco Meneses 4. D. Manuel Castellano 22. D. Antonio Salceda 10. D. Félix Mcdinilla 6. D. Manuel Parra 69. D. Juan Martin Parra 4. D. Francisco Carrasco 2. D. Vicente Ximenez 6. Josef Alcaide 8. Miguel Palacios 8. Antonio Garrigos 2. Marga rita Mar…</t>
  </si>
  <si>
    <t>García, Miguel Calvo</t>
  </si>
  <si>
    <t>Miguel Calvo García</t>
  </si>
  <si>
    <t>…vn. á metálico. Las personas que quieran hacer postura acudan dentro de dicho término ante el referido señor juez comisio nado por la escribanía de cámara de la sala del cargo de D. Miguel Calvo García. Se halla vacante el partido de cirujano de estuche de la villa de Menasalbas, que dista de Toledo seis leguas: su dotación es la de $9 rs., cobrados y pagados por la justicia/, se admiten memoriales hasta el 25 de Marzo, en cuyo día se ha de pro veer por el…</t>
  </si>
  <si>
    <t>…vn. Las personas que quieran hacer postura á dichas fincas ó cualquiera de ellas acudan ante el referido señor juez comisionado por la escribanía de cámara de la sala del cargo de D. Miguel Calvo García. Memorias históricas del ministerio del pulpito: su autor el Excmo. y M. R. P. Fr. Manuel del Cenáculo, obispo de Beja*. traducidas por el bachiller D. Vicente del Seixo &amp;c.: 2 tomos en uno: su .precio en pasta 20 rs. Se hallará en la librería de Castillo, fr…</t>
  </si>
  <si>
    <t>…on 23 mrs. en vales Reales. Las personas que quieran hacer mejora acudan hasta dicho día, ó en el acto del remate, ante el referido señor juez y escri banía de cámara del cargo de D. Miguel Calvo García. Quien quisiere hacer postura á una casa sita en esta corte en la calle de los Jar dines , niim. 10, manz. 292, que comprende 4014 pies superficiales de sitio, inclu sos los gruesos de sus medianerías, tasada en 214073 rs. vn., y se vende á instancia</t>
  </si>
  <si>
    <t>…La persona que quiera hacer postura á dicha finca acuda dentro del referido término ante el expresado señor juez comisio nado, por la escribanía de cámara de la sala del cargo de D. Miguel Calvo García. Compendio de la historia de Canarias, por D. Josef María Zuaznavar, ministro del consejo de Navarra, é individuo de la Real academia de la Historia. Se hallará de venta, con otras obras del mismo autor concernientes á las islas Canarias , en la casa núrr. 2,…</t>
  </si>
  <si>
    <t>…n , en di nero las dos terceras partes, y la otra tercera en vales. Las personas que quieran ha cer mejora acudirán ante el referido señor juez y escribanía de cámara del cargo de D. Miguel Calvo García; en inteligencia que serán preferidas las que se hagan á metálico, llegando al total de la tasación, aunque sea separando las fincas de un pueblo de las del otro. En el juzgado del Sr. D. Joaquín Almazan, del consejo de S. M., teniente cor regidor en esta vil…</t>
  </si>
  <si>
    <t>…hecho postura en la misma cantidad, el un millón de reales en dinero metálico, y el resto en vales. Lo que por providen cia de dicho señor juez, refrendada del escribano de cámara D. Miguel Calvo García, se ha mandado anunciar al público por medio de los periódicos para su in teligencia. Disertación sobre el origen, nombre y población de Madrid: por D. Juan An tonio Pellicer. rrr Discurso sobre varias antigüedades de Madrid, en que se refieren y examinan alg…</t>
  </si>
  <si>
    <t>…serío, en 1.034725 ^. vn. Las personas que quieran hacer' postura acudan dentro de dicho término ante el expresado señor juez comisionado por i.i escribanía de Cámara del cargo de D. Miguel Calvo García. EN LA IMPRENTA REAL? ’</t>
  </si>
  <si>
    <t>García, Miguel Gilvo</t>
  </si>
  <si>
    <t>Miguel Gilvo García</t>
  </si>
  <si>
    <t>…ce saber al público pa a que las personas que quieran hacer postura acudan dentro de dicho termino ante ci expresado señor juez por la escribanía de cámara de la sala del cargo de D. Miguel Gilvo García. Por providencia de 27 de Junio último del Sr. D. León de la Cámara Cano, del consejo de S. M., teniente primero de corregidor de esta villa, en los autos de testamentaría pendientes en la escribanía del número que está á cargo del Sr. Don Ra mon García Ximen…</t>
  </si>
  <si>
    <t>García, Pedro</t>
  </si>
  <si>
    <t>Pedro García</t>
  </si>
  <si>
    <t>…, 2 5 50 rs. •que alcanza por valor de 200 encerados entregados para la artillería, 2 5 5c eti créditos: D. Pedro Talasac 66: D. Antonio Sánchez Peñuela ico : D. Fabio Muiñoz 320: D. Pedro García 244. Partido de Vega y Sierra---- Pueblos. Albolote 166 rs.: Alhendin , el administrador de tabacos 588 en créditos: Beas 199: Churriana 748: idem débito que alcanza á su favor de un hacendado de aquel termino, por cu ya cobranza se está procediendo,) 132 en…</t>
  </si>
  <si>
    <t>…. MM. y A A. con el plausible mo tivo de su venturoso enlace, y á nombre de la Real biblioteca, el bibliotecario mayor inrerino D. Francisco Antonio González, y los bibliotecarios Don Pedro García y D. Juan Antonio Romero; los cuales tuvieron la honra de presentar un elegante discurso,en que manifestaron la satisfacción y deseos de tan ilustre cuerpo (i). En la extracción de la primitiva lotería Real, egecutada el dia 14del cor riente , han salido por el mismo orden con que aq…</t>
  </si>
  <si>
    <t>García, Serafín</t>
  </si>
  <si>
    <t>Serafín García</t>
  </si>
  <si>
    <t>747</t>
  </si>
  <si>
    <t>…o dedicado al plausible dia anterior. Un innumerable concurso tan lucido como ilustrado se apresuró i ocupar los aliento'-, y con inquietud esperaba la inauguración. El presidente D. Serafín García abrió la sesión leyendo un discurso muy oponuuo y análogo al dia y al objeto que la motivaba: manifestó las venta-</t>
  </si>
  <si>
    <t>García, Tomas</t>
  </si>
  <si>
    <t>Tomas García</t>
  </si>
  <si>
    <t>6116</t>
  </si>
  <si>
    <t>…la partida de húsares de Fernando vn, mandada por su valiente comandante el teniente D. Eugenio Payoll, á quien seguía la caballería del pais, toda bajo el mando de mi se gundo el capitán D. Tomas García, siguiendo yo con toda la infantería co mo inmediata reserva. En este orden, y con el mayor silencio, llevaba mi marcha, cuando á las cinco de la mañana se avistó muy de cerca y en una pequeña altura una hoguera, se oyó hablar algunos hombres y relinchar algu…</t>
  </si>
  <si>
    <t>…ges indicados. El 25 de Febrero marcharon batiendo el valle de la Pascua; el 2 de Marzo forzaron el paso de Quebrada honda, donde el capitán de la Union , segundo de estas fuerzas D. Tomas García, logró aprehender 12 observadores, entre ellos un oñcial amigo y confidente de Zaraza; el 17 del mismo ya Luna es taba sobre Espino , de acuerdo con el gobernador de Guayana, que por disposición mía había venido á Cabruta con 200 infantes; y como aquel te nia…</t>
  </si>
  <si>
    <t>García, Vicente Fita y</t>
  </si>
  <si>
    <t>Vicente Fita y García</t>
  </si>
  <si>
    <t>…cluirá perentoriamente del beneficio de dicha provi dencia. = Firmado =r Samuel C. Cox. El dia i ° del corriente falleció en esta corte á los 43 años, 8 meses y 27 dias de edad el Sr. D. Vicente Fita y García, fiscal togado del Consejo Supremo del Almirantazgo. Fue nombrado fiscal de lo civil y criminal de la audiencia de Extremadura en el año de 1802 , cuyo cargo desempeñó con la mayor pureza y exactitud, y mereció siempre el mas alto aprecio y consi deración de…</t>
  </si>
  <si>
    <t>Garcn, Donato</t>
  </si>
  <si>
    <t>Donato Garcn</t>
  </si>
  <si>
    <t>…oreecion de! museo de Ciencias , en cumplimiento :e lo mandado por S. M. , dispuso que los discípulos de la ciase de mineralogía, cu va enseñanza ‘ esta confiada al vice-proN. sor D. Donato Garcn, diesen prueba1 publicas de su aplicación, del zelo de su maestro, y de los ventajo sos resultados que produce la doctrina del célebre V\ erner. Elnfi de Julio empezó !&gt;. Josef Lucio Perez, quien trató» de las diferen cias que distinguen los cuerpos organizad…</t>
  </si>
  <si>
    <t>Gargoilo, Luis</t>
  </si>
  <si>
    <t>Luis Gargoilo</t>
  </si>
  <si>
    <t>…la materia. Por providencia del tribunal supremo de la Gran Bretaña llamado Chatíeery (tribunal de equidad y conciencia), dada en n de Julio de 1816 en una causa en que son partes D. Luis Gargoilo con otros, y D. Juan García, se dio comisión al Sr. D. Samuel Compton Cox, individuo de dicho tribu nal, para inquirir y exponer sí los pesos duros y doblones cargados á bordo del S* Juan Bautista , y poseídos por dicho García en virtud de providen cia del tr…</t>
  </si>
  <si>
    <t>Gargolló, Luis</t>
  </si>
  <si>
    <t>Luis Gargolló</t>
  </si>
  <si>
    <t>…Estado.” Por providencia del tribunal supremo de la Gran Bretaña llamado Chan•cery (tribunal de equidad y conciencia^), dada en 11 de Julio de 1816 en una causa en que son partes D. Luis Gargolló con otros , y D. Juan García, se dió comisión al Sr. D. Samuel Compton Cox , individuo de dicho tribu nal, para inquirir y ‘deponer si dos .pesos duros y doblones Cargados á bordo</t>
  </si>
  <si>
    <t>Garri, Juan</t>
  </si>
  <si>
    <t>Juan Garri</t>
  </si>
  <si>
    <t>…lcalde decano de la Real casa y corte, juez de la quiebra de Lloret y Sobrino,de Zaragoza, refundida en la de Cal vo y Manota, de Madrid, radicada en la escribanía de provincia de D. Juan Garri do, se ha servido convocar á junta general á los acreedores de ella para el martes: 16 de Abril próximo, a las 9 de su mañana , en su posada calle de Fucncarral, junto á la casa de Astrearena. Lo que se hace saber por el presente á todas las personas que sean…</t>
  </si>
  <si>
    <t>Garrido, Juan</t>
  </si>
  <si>
    <t>Juan Garrido</t>
  </si>
  <si>
    <t>…mero 8 de 2a manz. 28 : comprende 4169 pies de sitio, y está tasada en 167008 reales vellón. Quien quisiere hacer postura i dic' as fincas acuda por la es.ribanía de provincia del Sr. D. Juan Garrido, que se admitirán las que se hagan siendu arre gladas. Se halla \facante la plaza de cirujano de la villa de Mon-r’ejar, provinAi de Guadalajara: su dotación consiste er. 6800 rs. , pagados por tercios, y cóbralos por la justicia, quedando á su favor el estad…</t>
  </si>
  <si>
    <t>…despichó.,' y ren las provincias en todas las ad ministraciones principales, y agregadas dé correosa Para el martes 5 de Noviembre próximo en la escribanía de provincia del Se ñor D. Juan Garrido á las 12 de sur mañana: estáseñalado el remate de la casa si ta e.n la .calle dé las, Tres Cruces, con- fachada» “a la .de la Salud 7 número 3 i man zana ^53 , que con otras dos, números-. I. y.- t: de dichainsan?ana. señalan sí afea star do por el juzgado de…</t>
  </si>
  <si>
    <t>Garrido, Juap</t>
  </si>
  <si>
    <t>Juap Garrido</t>
  </si>
  <si>
    <t>…de Astrearena: lo que se hace saber á dichos acreedores por el presente para que *c ncurran por sí ó apoderado, autorizado en debida forma, por la escribanía de provincia del Sr. 'D. Juap Garrido, secretario de S. M-í con zpeccibimiento que de lo contrario les parará el perjuicio que haya lugar. 1, Quien supiere el destino actual ó paradero del cirujano T&gt;. Jaime de Salp. que ha residido en la ciudad de Córdoba, se servirá comunicarlo á D. Pedro Anton…</t>
  </si>
  <si>
    <t>Garrido, Manuel</t>
  </si>
  <si>
    <t>Manuel Garrido</t>
  </si>
  <si>
    <t>…usticia por tercios, y á mas casa, lo que produzca el estado eclesiástico y golpes de mano airada. Se admitirán memoria les hasta el 30 de Marzo, que Jos pretendientes dirigirán á D. Manuel Garrido, regente de la Real jurisdicción de la misma villa. En la villa de Pontevedra, reino de Galicia, se hallan vacantes las plazas de medico y cirujano titular, la primera con la dotación de 400 ducados, y la segúnda con 300, pagados del fondo de propios: su pobl…</t>
  </si>
  <si>
    <t>Garriga, Josef Vidal y</t>
  </si>
  <si>
    <t>Josef Vidal y Garriga</t>
  </si>
  <si>
    <t>…regidor de esta villa , dada por la escribanía del número al cargo de D. Cristóbal de Vicuña , se cita, llama y emplaza á D. Rafael Ignacio Fantoni, O. Ensebio Domingo de Urqutjo, D. Josef Vidal y Garriga, D. Fran cisco Arger é hijos, D. Agustín Alcgrin, D. Domingo Perez é hijo, D. Miguel Alvarez de Pazos, D. 'Carlos Bazzoni y D. Jaime Ordeix, interesados en un vale Real de 600 pesos, creación de j.° de 'Setiembre, señalado con el núm. 2927, para que en el tér…</t>
  </si>
  <si>
    <t>Garza, Manuel</t>
  </si>
  <si>
    <t>Manuel Garza</t>
  </si>
  <si>
    <t>ESPAÑA. Orense 22 de Julio. El dia 23 del corriente murió en esta ciudad D. Manuel Garza, de edad de 55 años, después de padecer siete meses mal de orina con muchos dolo res , sin que los facultativos se hubiesen convenido en la esencia de su enfer medad , por los diversos síntomas que la acompañaron, llamándola unos mal de piedra, oíros pólipo,…</t>
  </si>
  <si>
    <t>Gascón, Francisco</t>
  </si>
  <si>
    <t>Francisco Gascón</t>
  </si>
  <si>
    <t>…Pe dro Micheo. A tenientes de Fragata los alféreces de Navio D. Josef Vargas MachucaD. Josef López Sagredo, D. Francisco Ro dríguez Gelabert, D. Mateo Albornoz, D. Josef Oiozaga, D. Francisco Gascón, D. Tomas Ciscar, D. Francisco Ristori y D. Santiago Soroa. A alféreces de Navio los de Fragata D. Luis Romero, D. Josef Sevilla, D. Félix Martínez, D. Ildefonso Yoldi, D. Josef del Solar, D. Juan de Lerena, D. Pedro Teruel, D. Ber nardo Roca, D. Luis Roca, D…</t>
  </si>
  <si>
    <t>Gaspar</t>
  </si>
  <si>
    <t>…rancia debido al grande Emperador Kang-Hi de 1692 y el de 1711 han sido copiados de nuevo ért el tribunal de Ritos, y remitidos y sellados con el gran sello de tafetán ama rillo á D. Gaspar de la Cruz, portugués. Es de notar que este D. Gaspar es un fraile dominico, y de la misma nación que en 1536 llevó la religión cris tiana á la China. La corte de Roma ha visto con la mayor- satisfacción que la religión cris tiana se introduce nuevamente en u…</t>
  </si>
  <si>
    <t>…o verifica igualmente del precioso donativo que, entre otros señalados beneficios, hizo á .aquel establecimiento df. su numerosa y escogida librería el difunto consejero de Estado D. Gaspar de jo ve lia nos.; y S. M. I13 tenido á bien ordenar que se publique en la gaceta este distin guido rasgo de generosidad y patriotismo. Cumpliendo el consulado de la Coruña con lo prevenido por S. M. en la instrucción que rige para la enseñanza de los alumnos…</t>
  </si>
  <si>
    <t>Gassó, Antonio Buenaventura</t>
  </si>
  <si>
    <t>Antonio Buenaventura Gassó</t>
  </si>
  <si>
    <t>…aprobados que quieran solicitarla remitirán sus memoriales al cura párroco de la expresada villa, con dirección por Villarejo de Salvanés. España con industria, fuerte y rica: por D. Antonio Buenaventura Gassó: un tomo en 4.0 Se vende en la librería de Martínez, frente á S. Felipe el Real, y en Barcelona en la de Brusi. Elementos anatómicos de osteología y miologia para el uso de los pintores y escultores, por J. H. Layater, traducidos al francés por Gauthier de la…</t>
  </si>
  <si>
    <t>Gastaniaga, Pedro</t>
  </si>
  <si>
    <t>Pedro Gastaniaga</t>
  </si>
  <si>
    <t>…or Pala del Rey uno: el de S. Marcelo uno: el de Renueva uno: el de Sta. Ana uno: el tesorero del cabildo dos: D. Pascual Suarez uno: D. Lidro Benitoa uno: D. Ramón Arquello dos : D. Pedro Gastaniaga uno: D. Juan Bros dos: D. Manuel Chicarro ocho reales: D. Benito Hermosino dos pares de zapatos: D. Ignacio Lorenzana dos. D. Manuel Mercadillo uno: D. Ma nuel Rodríguez uno: D. Manuel Yolis dos: D. Bernardino 1 erremos uno: D. Valentín Bustamante dos: D. Joa…</t>
  </si>
  <si>
    <t>Gato, Bernardo</t>
  </si>
  <si>
    <t>Bernardo Gato</t>
  </si>
  <si>
    <t>…, como por el presente se cita ^ llama y emplaza: á to das y cualesquiera personas que se conceptúen con derecho á los bienes quedados ceiimctivodel fallecimiento abtn testa to de D. Bernardo Gato , sargento brigada quefue de Reales Guardias Españolas, acaecido hallándose prisionero de guerra en Francia cn el mes de vSetiembre de 1812 , para que en el preciso y perentorio término de 60 días, contados desde i.° dei corriente, que por primero, segundo, t…</t>
  </si>
  <si>
    <t>Gaver, Fernando</t>
  </si>
  <si>
    <t>Fernando Gaver</t>
  </si>
  <si>
    <t>…Josef Cevallos, y D. Josef Matías de Landaburu, secretario de legación en Berlin. Cruz de Caballeros. El capitán de Fragata D. Miguel Araoz, el capitán del regimiento de Gra nada D. Fernando Gaver, el sargento mayor del regimiento de Badajoz Don Joaquín Gayón, el teniente coronel D. Luis Clouet, ei subteniente de dra gones retirado D. Josef Mariano Zavala, D. Juan Josef Echezuria, vecino de Caracas; el coronel del Real cuerpo de ingenieros D. Josef Par…</t>
  </si>
  <si>
    <t>Gavi, Lorenzo</t>
  </si>
  <si>
    <t>Lorenzo Gavi</t>
  </si>
  <si>
    <t>…a Zamorano 370. D. Juan Blas Zamorano 60. D. Rafael de Blancas 60. D. Andrés Ramírez Sousa .60. D, Antonio Melero 60. D. Pablo del Valle 40 Juan Pastor 80. Antonio Féiíx Ortiz 80. D. Lorenzo Gavi lán 50. Miguel Romero 50. D. Josef Carlos Oxtiz 50. Antopio Nieto 50.</t>
  </si>
  <si>
    <t>Gayón, Joaquín</t>
  </si>
  <si>
    <t>Joaquín Gayón</t>
  </si>
  <si>
    <t>…legación en Berlin. Cruz de Caballeros. El capitán de Fragata D. Miguel Araoz, el capitán del regimiento de Gra nada D. Fernando Gaver, el sargento mayor del regimiento de Badajoz Don Joaquín Gayón, el teniente coronel D. Luis Clouet, ei subteniente de dra gones retirado D. Josef Mariano Zavala, D. Juan Josef Echezuria, vecino de Caracas; el coronel del Real cuerpo de ingenieros D. Josef Parreño; Don Juan Antonio de Rojas Queipo, racionero de la santa i…</t>
  </si>
  <si>
    <t>Ge, Infante</t>
  </si>
  <si>
    <t>Infante Ge</t>
  </si>
  <si>
    <t>…o de Estado y del despacho universal de la Guerra existe en esta corte en la calle de la Flor baja, núm. 12 , tuvo la sa tisfacción el 26 de Ju¡io último de que S. A. R. el Sermo. Sr. Infante Ge neralísimo se dignare honrarla con su presencia. Se presentó S. A. en dicho establecimiento acompañado de los Excelen tísimos Sres. marques de Campo Sagrado, secretario de Estado y del despa cho universal de la Guerra, del marques de Feria, su gentilhombre de…</t>
  </si>
  <si>
    <t>Gelassi, Vicente</t>
  </si>
  <si>
    <t>Vicente Gelassi</t>
  </si>
  <si>
    <t>…intención de permanecer aquí algún tiempo, porque ha alquilado -una casa de campo. Sé asegura que ha ter minado felizmente su misión cerca de S..A. S. el gran duque de Toscana. El caballero Vicente Gelassi, comandante en'gefe de la gendarmería pon tificia, está para venir aqui á fin de organizar ía segunda legión de esta arma.. Liorna 2$ de* Setiembre. - ' El capitán del bergantín de comercio S* Sebastian, recíen venido de Ar gel, refiere que á su salida se est…</t>
  </si>
  <si>
    <t>Gen</t>
  </si>
  <si>
    <t>…Nuñcz de Guzman, D. Fr. Barto lomé de las Casas, Francisco Sánchez, y D. Alfonso de Villegas. ~ Cuaderno 15: Ñuño Nuñez Rasura, Lain Calvo, Pedro Navarro, D. Juan Bautista Perez , Don Gen •limo Gómez d- Huerta, y D. Gaspar de Guzman y Pimentel.rz Cuader no 16: Fr. Juan de Jesús Ma ría, D. Martin Bautista de Lanuza,ei conde de Lemo&gt;.,el Mtro. Vicente Espinel, D. Jorge Juan, y D. Antort o de Uiloa. —Cua derno 17: D Pablo- de Sant* Marta, el P. D…</t>
  </si>
  <si>
    <t>Generalísimo</t>
  </si>
  <si>
    <t>…l momento que se dignó lle gar S. M., á quien se recibió en el mismo orden, siguiéndole en carroza abierta su augusto Tio el Sermo. Sr. Infante D. Antonio. En el instarte S. A. el Sr. Generalísimo , acompañado de todos los gefes indicad &gt;s , salió i recibir á S. M., que revistó con atención las divisiones, pasando por rodas sus filas, y se mostró satisfecho de su equipo y rigurosa uniformidad. Estas después , formando columna de honor, desfilaron por e…</t>
  </si>
  <si>
    <t>Generalísimo, Infante</t>
  </si>
  <si>
    <t>Infante Generalísimo</t>
  </si>
  <si>
    <t>…ionar les mas cómoda subsistencia. , Madrid I§ de Abril. El dia 28 de Marzo próximo pasado tuvo la honra la Inspección general de milicias de ver en medio de ella á S. A. eiSermo. Sr. Infante Generalísimo. S. A. se presentó á las ir de la mañana ¿acompañado del teniente gene ral marques de Monsalud , su primer caballerizo ; el brigadier capitán de Rea les gu a relias Españolas D. Rafael Pinos, su gentilhombre, y demás servidum bre; admitiendo á besar su Real m…</t>
  </si>
  <si>
    <t>…inistro de la Guerra, con una parte de los gefes de la sección de oficiales destinada á sus inmediatas órdenes, se puso á la cabeza, y en seguida salió á recibir á S. A. el Sermo. Sr. Infante Generalísimo con el general inspector conde de Villariezo, los subinspectores de ambas divi siones mariscal de campo D. Fernando Butrón, brigadier D Ignacio Balanzar , el de igual clase D. Vicente de Vargas, secretario de la inspección , y de mas ayudantes. S. A. fue reci…</t>
  </si>
  <si>
    <t>…ando aumentar» si es posible, el amor que en todas partes profesan á su Real Persona. El dia 11 la*' tropas desean»aron ; pero en la lista de la tarde se presentó en ella el Sermo Sr. Infante Generalísimo, que fue recibido en la forma que corresponde, estando ausente S. M. Las divisiones estaban formadas en dos líneas, entre las que se dig nó pasar S. A., presenciando después el manejo del arma á la muda , que egecutaron con tal precisión, que mereció los mayo…</t>
  </si>
  <si>
    <t>Genoves, Juan Bautista</t>
  </si>
  <si>
    <t>Juan Bautista Genoves</t>
  </si>
  <si>
    <t>…D. Mariano Sigüenza con 100 rs., ambos discípulos de la Real aca^ demia de Nobles Artes de S. Cárlos. En el mismo acto de la distribución ce dieron la parte pecuniaria del premio D. Juan Bautista Genoves, D^Bernar do Morera, D. Antonio Cervero, D Gregorio Sech, D. Antonio Iractburu y D. Antonio Chicoy , é igualmente las niñas Doña Margarita Joanicot, Do-; ña Concepción Jordá, Doña Brígida Buchelli, Doña María Praty Doña Jo sefa Piquer. Para costear estos prem…</t>
  </si>
  <si>
    <t>Georges</t>
  </si>
  <si>
    <t>…os soldados se han venido á Francia. Madama Lavalette se halla aun en la cárcel. Habita actualmente en el cuarto en que estaba el mariscal Ney, que también ocupó en otro tiempo el general Georges. El 27 del pasado evacuaron los ingleses el cuartel de Mont-Blanc; pero ocupan todavía el de la calle del arrabal Poissonntere, y algunos pueblos del norte de París, asi como las alturas de Mont-Martre. La guardia de las puer tas de París se ha entregado á la…</t>
  </si>
  <si>
    <t>Gerónimo</t>
  </si>
  <si>
    <t>…es de privilegios en sus personas, en sus discursos y en sus escritos; privi legios que han hollado en su país cuando tenian en sus manos el poder? ¿Se veria aqui al rey Josef, al rey Gerónimo y al republicano Luciano con una infinidad de traidores y asesinos que servían de instrumentos á la tiranía de su hermano? Este es el estado de la cuestión sobre la ley de los extrangeros. La expedición del mayor Peddic destinada al Nieger no saldrá del Seneg…</t>
  </si>
  <si>
    <t>Gertrudis</t>
  </si>
  <si>
    <t>1413 B. Josef, D. Lorenzo, I). Antonio, Dona María de la Concepción, Doña Gertrudis, Doña María de Jesús, D. Francisco, D. Juan,* D. Manuel y Don Ramón López Perez, naturales de la Havana. Y habiendo fallecido el refe rido su padre D. Antonio López Gómez en el mismo año de 1802 al tiem po de estar para recogerlos, habiendo dejado pagados par…</t>
  </si>
  <si>
    <t>GhristerfTeld</t>
  </si>
  <si>
    <t>…o. Se hallará en la imprenta de Dávila, calle de Barricnuev*, y "en la librería efe Sójo, calle de las Carretas. Lecciones de mundo y de crianza, entresacadas de las cartas que mi lord GhristerfTeld escribía á su hijo Stanhope cuando estaba educándose, traducidas del ingies al español, ,y publicadas por D, Josef González: corregidas en esta segunda impresión: obra digna de leerse, de estudiarse y de grabarse en el corazón de los jóvenes: un tomo en 8.° S…</t>
  </si>
  <si>
    <t>Gi, Pedro</t>
  </si>
  <si>
    <t>Pedro Gi</t>
  </si>
  <si>
    <t>…u ministros hechos á las tropas. En la villa de Puebla de Cazalla, provincia y partido de Sevilla, se venden las fincas siguientes, correspondientes á; la testamentaría del Excmo. Sr. D. Pedro Gi rón , duque que fue de Osuna, para pago de sus acreedores: una casa cilla dei gana dos con Jas oficinas de matadero y almacenes de aceite, tasada en 41303 rs. : una casa en la plaza frente 4 la Iglesia parroquial en 4534: otra mesón nombrado el Nue vo en 3873…</t>
  </si>
  <si>
    <t>Gil, Diego</t>
  </si>
  <si>
    <t>Diego Gil</t>
  </si>
  <si>
    <t>1130 DEPARTAMENTO DE FERRO!, Para la graduación de tenientes de Fragata d los que lo están de alféreces de Navio D. Diego Gil, D. Joaquín Díaz Hurtado, que lo es en propiedad; Don Santiago Novo, D. Josef Sánchez, D. Josef Antonio Suarez, D. Cayetano Inzuela y D. Jacobo Auli. Para la graduación de alféreces de Navio d los que lo son en propiedad de Fragata D. Antonio Torneo y D. Manu…</t>
  </si>
  <si>
    <t>Gil, Florencio</t>
  </si>
  <si>
    <t>Florencio Gil</t>
  </si>
  <si>
    <t>…hecho merced S. M. Crbtiamsima per su decidido amor c inclinación á la aucuita familia de los Borbones. S. M., por su Real cédula de 27 de Julio ultimo, se ha dignado conce der á D. Florencio Gil , tintorero de la cnjdad de Soria , p::\ 1 er.io vara que pueda poner el escudo de sus Re-ales arma* en, !a puerta de su ca*a ti ..re , en prueba de lo gratos que le han sido su aplicación, buenos servicios* v citado de perfección en que la tiene. Confirmació…</t>
  </si>
  <si>
    <t>Gil, Lorenzo</t>
  </si>
  <si>
    <t>Lorenzo Gil</t>
  </si>
  <si>
    <t>…itaron una égloga de Virgilio con tanta viveza y pro piedad de afectos que merecieron los aplausos mas singulares del concurso. Concluida esta salieron en certamen los medianistas D. Lorenzo Gil y Don Angel la Cuesta; y después de haber traducido los pasages que se les desig naron, variaron las oraciones por todos los modos que admitía, notando con esmero las reglas y el artificio del. lenguage de un modo que no podía espe rarse de su tan corta edad. No mostraron menos lu…</t>
  </si>
  <si>
    <t>Ginoves, Martin</t>
  </si>
  <si>
    <t>Martin Ginoves</t>
  </si>
  <si>
    <t>…zapatos: D. Manuel Rodríguez , boticario, uno: D. Tomas López 1 2 rs.: Don Josef Chicarro un par de zapatos : D. Fausto Escaja uno: D. Gerónimo Gó mez uno: D. Fernando Pareja uno: D. Martin Ginoves 10 rs.: D. Santiago Gallego un par de zapatos: D. Manuel Alonso uno: D. Antonio Chalanzon uno:D. Santiago Treve uno: D. Juan Hechilla uno: D. Ricardo Muñoz uno: D. Marcos Unzue uno: D. Manuel García ur.o: D. Juan Ocon uno: D. Manuel Cono uno: D. Fernando Carr…</t>
  </si>
  <si>
    <t>Giraldo, Josef</t>
  </si>
  <si>
    <t>Josef Giraldo</t>
  </si>
  <si>
    <t>…e gimiento L). Ramón de la Rocha. Distribuyóse la fuerza de esfa llamada di visión en dos brigadas, al inundo la primera del coronel D.Quintín Vi lasco, y la segunda fiel teniente coronel D. Josef Giraldo , ambos ct mandantes de batallón. El del tercero el teniente coronel D. Juan Pablo Sebastian hacia de gefe del E. M. de dicha división; y el capitán graduado de teniente coronel D. Antonio Trias egercia iguales funciones en la destinada á la defensa, te niend…</t>
  </si>
  <si>
    <t>Giraldo, Pedro</t>
  </si>
  <si>
    <t>Pedro Giraldo</t>
  </si>
  <si>
    <t>…racia han conseguido por Real orden de 6 del mis ino , á egempio de la que disfrutan los de la Real Armada y Real cuerpo de Artillería. El ingeniero general y el mariscal de campo D. Pedro Giraldo calieron á recibir á S. M , acompañados det gefe de estudios de la academia, los profe sores y demas oficiales. S. M. se di rigió á la sala ó clase en que actualmente estudian los alum nos. El brigadier gefe de estudios D. Luis Balanzat, en un breve y elocuen…</t>
  </si>
  <si>
    <t>Girón, Antonio Garcíá</t>
  </si>
  <si>
    <t>Antonio Garcíá Girón</t>
  </si>
  <si>
    <t>…dado las gracias al público que se había dignado asistir, se retiraron todos satisfechos del adelantamiento de los discípulos, y del zelo y desvelos con que el ex presado maestro D. Antonio Garcíá Girón procura imbuir á sus discípulos en los fundamentos de una sólida y cristiana educación. Madrid 2 4 de Enero, ARTICULO DE OFICIO. Circular del Ministerio de Hacienda. Con el justo deseo de que se fijase por regla general el modo de pro ceder contra los Dependi…</t>
  </si>
  <si>
    <t>Girón, Dámaso Megía</t>
  </si>
  <si>
    <t>Dámaso Megía Girón</t>
  </si>
  <si>
    <t>…de Tordesillas á D. Joaquín Martínez Campaya: para el de Montejaque á D. Félix Fernandez Aviles: para el de Villamartin á D. Nicolás Díaz Molin; y para el de Rueda del Almirante á D. Dámaso Megía Girón. También se ha servido el Rey nombrar para la vara de alcalde mayor de la ciudad de Berlanga á D. Josef Fernandez Viliami!: para la de k Guardia, en el Reino de Jaén, á D. Teles foro Contreras: para la de Montemayor á D. Andrés Gómez Plata: para la de Higares…</t>
  </si>
  <si>
    <t>Girón, Pedro Agustín</t>
  </si>
  <si>
    <t>Pedro Agustín Girón</t>
  </si>
  <si>
    <t>…ecir, que en el espacio de seis dias tuvo cuatro muy serias, que lo fueron la de Arar.juez, en que las divisiones primera , segunda y tercera que mandaban los entonces brigadieres D. Pedro Agustín Girón , D. Luis de Laci y D. Gaspar Vigodet, y el pri mero todas aquel dia por su antigüedad, rechazaron con gloría el 5 de Agos to las considerables fuerzas enemigas del cuerpo de Sebastiani, que intentaban con obstinación apoderarse de aquel Real sitio: la de 9 d…</t>
  </si>
  <si>
    <t>…los términos prevenidos en la citada circular; dirigiendo la exposición al capitán general D. Joaquín Blake, presidente de U junta de nuevas Condecoraciones militares. El teniente general D. Pedro Agustín Girón ha solicitado del Ret nues tro Señor la condecoración de una cruz de distinción por la feliz y gloriosa acción de Arroyo-Mol i nos, ganada por las tropas aliadas españolas é ingle sas el 28 ce Octubre de i8it , en la que fue destruida ia división enemiga del…</t>
  </si>
  <si>
    <t>…noticia en la gaceta , tuvo ia benignidad de recibir también el día 15 de Setiembre próximo pasado á ios diputados de la ciudad de Ronda JosExcmos. Sres&gt; marques de las Amachas y D. Pedro Agustín Girón , tenientes generales de los Reales egércitos, los cua les cumplimentaron á S. M. y -A* por su feliz arribo, ofreciéndoles jos justos homenages de respeto y amor de los habitantes de aquella ciudad y,su tierra. 1. * En seguida fueron igualmente presentados aq…</t>
  </si>
  <si>
    <t>Gironelia, Cristóbal</t>
  </si>
  <si>
    <t>Cristóbal Gironelia</t>
  </si>
  <si>
    <t>…). Agustín Frutos, número* 31071 y 70935: dos de Ia.de 1;.® de ídem de 1809 á los herederos de D. Angel Perez, números 34877 y 42209: otrocreación y valor idem ídem, núm. 47246, á D. Cristóbal Gironelia é hijos: otro idem ídem; núm. 56522 , á D. Antonio Abadal: otros dos de idem idem, números 67913 y 69252, á D, Jaime Valis: uno idem de ídem, núm. 67953 » a Juan Artiz y García; otro idem de idem, niun. 79853 , á D, Josef Francisco Guardiola: otro idem idem,…</t>
  </si>
  <si>
    <t>Gisvert, Gregorio</t>
  </si>
  <si>
    <t>Gregorio Gisvert</t>
  </si>
  <si>
    <t>…e el premio en el acto mismo de ia di tribucion; se verifico ari en varios de la sala de aritmética y geometría práctica, y de las escuelas de primera educación. Concluido esto el Sr. D. Gregorio Gisvert, beneficiado y cura propio de la parroquial de S. Lorenzo de esta ciudad, leyó nna composición poética alusiva á las circunstancias , y el vice-director de la sociedad D. Mariano García de Zamora, dignidad de arcediano de Villena en esta santa iglesia, dio la…</t>
  </si>
  <si>
    <t>Gnmez, Simón Antonio de</t>
  </si>
  <si>
    <t>Simón Antonio de Gnmez</t>
  </si>
  <si>
    <t>…este Real cuerpo. Madrid ij de Setiembre. La diputación de la ciudad de Baza, compuesta de los Excmos. Señores duques de Hijar y de Abrantes, grandes de España de primera clase, y Don Simón Antonio de Gnmez, capellán de honor de ella, y cura del sagrario de su ?anra igietia cohg;al , tuvo el honor de besar á S. M. la mano el dia 11 dG oavic’o; de los cuales el primero arengó en los términos siguientes: ,, Señor: La ciudad de Baza, que en rada cede al resto de Es…</t>
  </si>
  <si>
    <t>Gó, Gerónimo</t>
  </si>
  <si>
    <t>Gerónimo Gó</t>
  </si>
  <si>
    <t>…cuidad de León. D. Antonio Fernandez un par de zapatos: D. Manuel Rodríguez , boticario, uno: D. Tomas López 1 2 rs.: Don Josef Chicarro un par de zapatos : D. Fausto Escaja uno: D. Gerónimo Gó mez uno: D. Fernando Pareja uno: D. Martin Ginoves 10 rs.: D. Santiago Gallego un par de zapatos: D. Manuel Alonso uno: D. Antonio Chalanzon uno:D. Santiago Treve uno: D. Juan Hechilla uno: D. Ricardo Muñoz uno: D. Marcos Unzue uno: D. Manuel García ur.o: D.…</t>
  </si>
  <si>
    <t>Gó, Pedro</t>
  </si>
  <si>
    <t>Pedro Gó</t>
  </si>
  <si>
    <t>…on el honor de presentarse á besar la Real mino de S. M., y de felicitarle con el plausible motivo de su efectuado matrimo nio, D. T.adeo Segundo Gómez, ministro del Consejo Real, D. Pedro Gó mez, arcediano de la santa iglesia catedral de Teruel, é inquisidor honora rio del tribunal de Valencia, y el teniente coronel D. Francisco Sánchez Muñoz, en representación de la M. N. y M. L. ciudad de Teruel; y el pri mero dijo: ,,Señor: Después de la prodi…</t>
  </si>
  <si>
    <t>Goberna</t>
  </si>
  <si>
    <t>…o alterar el itinerario, y lle gar á Aranjuez el 26 del corriente. Circular de la Sala de Alcaldes de Id Real Casa y Corte. Por el limo. Sr. Decano del Consejo se ha comunicado al Sr. Goberna dor de la Sala con fecha 16 del corriente la. Real orden siguiente: * ’■ , r: ,,EI Sr. Secretario de Estado y del Despacho de Gracia y Justicia me</t>
  </si>
  <si>
    <t>Gobernador</t>
  </si>
  <si>
    <t>…ra de 10835 rs*. &gt; giradi de Cádiz á favor de! Excmo. Sr. Duque presidente del consejo contra la casa de los once M;queletorena, del comercio de esta corte , endosada por S. E. al Sr. Gobernador de la sala en 21 de Febrero de este año, y percibida por Moreda *. 17490 rs. entregados al mismo de las multas impuestas por la sala, y destinadas para este efecto : 1600 rs. entregados por la comisión á Moreda para dar á D. Francisco Agudo, uno de los agraci…</t>
  </si>
  <si>
    <t>Godoi, Manuel de</t>
  </si>
  <si>
    <t>Manuel de Godoi</t>
  </si>
  <si>
    <t>…entina ienfos. El dia 9 del corriente tuvieron la honra de felicitar á S. M. por so con tratado y augusto enlace el Excmo. Sr. duque de Montemar, presidente del consejo de Indias, D. Manuel de Godoi, vecino de Cazorla, y D. Nicolás de León, vecino de esta corte ; el primero de los cuales dijo: „Señor: La ciudad de Cazorla, cuya fidelidad á V. M. manifiestan aun</t>
  </si>
  <si>
    <t>Godoy, Manuel</t>
  </si>
  <si>
    <t>Manuel Godoy</t>
  </si>
  <si>
    <t>…acar á pública subasta el arrendamiento de la casa esquileo, que .en el lugar de Trescasas, distante legua y media de la ciudad de Segovia, corresponde á los bienes secuestrados a D. Manuel Godoy., la cual se compone de habitación al ta y baja, con Las oficinas y utensilios correspondientes al efecto. Si alguna persona .quisiere hacer postura acudirá á la comisión y contaduría del CrskU-</t>
  </si>
  <si>
    <t>…ad de Segovia, por providencia de la Direc ción del Crédito público, de la casa esquileo con. sus utensilios, que en ei lu gar de Trescasas corresponde á los bienes secuestrados á D. Manuel Godoy, acudiendo á hacer sus posturas y enterarse de las condiciones á la comisión y contaduría del propio establecimiento en dicha ciudad. Doña Antonia Trejo, natura! de Mérida, residente en Madrid . tiene de recho en Suiza á un legado de mil florines, y debe acre…</t>
  </si>
  <si>
    <t>Goicoa, Magdalena de Urieta y</t>
  </si>
  <si>
    <t>Magdalena de Urieta y Goicoa</t>
  </si>
  <si>
    <t>…de coches de camino y calesines 1804: los vendedores de la plaza y plazuelas 12081. ARTICULO DE OFICIO. Circular del Min'sterio de Guerra, Con motivo del expediente promovido por Doña Magdalena de Urieta y Goicoa , viuda del segundo Teniente que fue de Reales Guardias Walonas D. Jaime Parrella , en solicitud de que se le expidiera el Real despacho de Capitán del mismo Cuerpo, cuyo ascenso le correspondió durante su perma nencia va c!a:e de prisionero de guerra en Fran…</t>
  </si>
  <si>
    <t>…eralizar á las viudas de los Oficiales de Infantería, Caballería y Drago nes del Egército que han fallecido estando prisioneros en Francia la gracia propuesta á favor de la citada Doña Magdalena de Urieta y Goicoa, y de más viudas de Oficiales de los Cuerpos de Casa Real, Artillería é Ingenieros, en cuya escala de ascensos tienen solo lugar sus propios individuos , cuanto ha estimado conveniente ; teniendo también presente lo dispuesto en la circu lar de 21 de Agosto d…</t>
  </si>
  <si>
    <t>Goicochea, Miguel de</t>
  </si>
  <si>
    <t>Miguel de Goicochea</t>
  </si>
  <si>
    <t>io8i Tercera clase. D. Antonio Saenz , D. Fernando Herrero , D. Vicente Te jada, D. Miguel de Goicochea, D. Andrés Ubago y D. Lucio Roldan. Torca 20 de Setiembre. El ilustre ayuntamiento de esta ciudad, no pudiendo desentenderse de la dolorosa decadencia á que se veian reducidos por las pasadas circunstancias sus establecimientos de educación, se dedicó desde l…</t>
  </si>
  <si>
    <t>Goicoechea, Josef</t>
  </si>
  <si>
    <t>Josef Goicoechea</t>
  </si>
  <si>
    <t>…. Severo Andriani, maestrescuela de la catedral de Huesca, y director de la casa de misericordia; á los oficiales de la secretada del Despacho de Hacienda D. Francisco Icabaleerá, D. Josef Goicoechea, D. Justo Josef Banqueri, D. Luis López Ballesteros y D. Manuel Corte*; D. Josef María de Aguirre, teniente goberna dor subdelegado de Rentas de Cantabria; D. Antonio Reguera., regidor de la Coruña; D. Mariano Moxo, maestrante de Ronda, y D. Francisco Durango…</t>
  </si>
  <si>
    <t>Goiffieux, Teodoro</t>
  </si>
  <si>
    <t>Teodoro Goiffieux</t>
  </si>
  <si>
    <t>…de campo D. Fernando Poulle, los capitanes D. Josef Coupigni y D. Agustín de Mena, los primeros tenientes marques de Torrer nueva, D. Manuel Liaño, D. Josef Joaquín de Craivenkel, D. Teodoro Goiffieux, y el segundo teniente marques de Bassecourt, oficiales del expre sado cuerpo de Reales Guardias Walonas; ha tenido á bien S. M. declarar á todos los nominados oficiales libres de todo cargo , y acreedores á las gracias y ascensos quedes hayan correspondido;…</t>
  </si>
  <si>
    <t>Goiri, Antonio de</t>
  </si>
  <si>
    <t>Antonio de Goiri</t>
  </si>
  <si>
    <t>422</t>
  </si>
  <si>
    <t>…presen tarán en el citado Gordejuela para el 10 de Junio próximo, en cuyo día se dará principio al examen y oposición, debiendo dirigir sus memoriales, con relación de méritos, á D. Antonio de Goiri , cura beneficiado, en todo el mrs de Mayo, pa sado el cual 110 se admitirán. El pretendiente sacerdote íí ordenado in sacris será preferido en iguales circunstancias, y tendrá misa en los sábados con limosna de 5 rs. y 22 mrs. señalada por la fundación. Quie…</t>
  </si>
  <si>
    <t>Gomara, Josef</t>
  </si>
  <si>
    <t>Josef Gomara</t>
  </si>
  <si>
    <t>…derecho, pa rándoles el perjuicio que haya lugar. El marques de Real Proclamación, vecino de la Havana, hace saber que Dona Mariana Saens, D. Josef Retortillo, D. Felipe Esmilch, D. Josef Gomara, Don Pedro Subviaga, D. Domingo de la Torre, D. Manuel García Tejada, D. Santiago Merino y D. Ignacio Yanci pueden ocurrir por sí ó sus poderes á cobrar de los bie nes de D. Gonzalo Recio Oquendo, marques de Real Proclamación, sus capitales y premios á que es…</t>
  </si>
  <si>
    <t>Gómez, Antonio</t>
  </si>
  <si>
    <t>Antonio Gómez</t>
  </si>
  <si>
    <t>…ciones para huir, dando lugar asi rara que este pue blo , en ia mayor parte fcl y amante dei Rey, haya podido demostrar su júbilo completamente. ,,En los días 9 y 11 del actual el capitán D. Antonio Gómez logró alcanzar á los enemigos , y con solo ¿gj hombres derruirlos, apoderándose de ia caballada , armas , municiones, equipages ¿kc., causando el mayor des— orden en aquellos desgraciados , que hu\ en á los llanos de S. Martin , adon de ios alcanzará la espad…</t>
  </si>
  <si>
    <t>Gómez, Antonio López</t>
  </si>
  <si>
    <t>Antonio López Gómez</t>
  </si>
  <si>
    <t>…de S. M. que fue un despacho genealógico, histórico, y certificación de armas de los apellidos de López, Gómez, Ruizo, Morano, Perez, Dominguez, López, Alvarez, pertene ciente al Sr. D. Antonio López Gómez, natural de Cádiz, y de su esposa Doña Manuela Perez de Abreu, natural de la ciudad de S. Felipe y Santia go del Bejucar, y vecinos de la Havana, por sí y en nombre de sus hijos</t>
  </si>
  <si>
    <t>…e la Concepción, Doña Gertrudis, Doña María de Jesús, D. Francisco, D. Juan,* D. Manuel y Don Ramón López Perez, naturales de la Havana. Y habiendo fallecido el refe rido su padre D. Antonio López Gómez en el mismo año de 1802 al tiem po de estar para recogerlos, habiendo dejado pagados parte de sus gastos, dejando á deber-solo 540 reales y la encuadernación á parte___ Por lo cual se da este aviso para si alguno délos referidos herederos existiesen, se sirvi…</t>
  </si>
  <si>
    <t>Gómez, Bernardino Antonio</t>
  </si>
  <si>
    <t>Bernardino Antonio Gómez</t>
  </si>
  <si>
    <t>…io de Prusia para entender en la conservación de las obras artísticas, y que el Gobierno no ha aceptado su propuesta. GRAN BRETAÑA. Londres 13 de Junio. Un sabio portugués llamado D. Bernardino Antonio Gómez publicó ca 1814 una memoria sobre la desinfección de las cartas procedentes de lugares apestados. Los 22 experimentos que hizo sobre este asunto se dirigieron á comparar y apreciar los diversos medios conocidos,ó que pueden idearse se gún el estado actual de…</t>
  </si>
  <si>
    <t>Gómez, Casiano Manuel</t>
  </si>
  <si>
    <t>Casiano Manuel Gómez</t>
  </si>
  <si>
    <t>…ea 28, donde dice D. Antonio Ribera, uno de los agraciados con la cruz supernume raria de Cárlos m, léase D. Antonio Reguera; y en la misma gaceta, pág. 1128, línea 7, en lugar de D. Casiano Manuel Gómez de (.astro, léase D. Casiano Manuel González. Id. en la pág. 1132, en ia clase de gentileshombres de cámara con entra da, donde dice marques de Casa-boca, debe decir de Cas aboza ; y en lugar de mar ques ,4e Cor fas , léase Corpa. /EN LA IMPRENTA REAL.</t>
  </si>
  <si>
    <t>Gómez, Casimiro Antonio</t>
  </si>
  <si>
    <t>Casimiro Antonio Gómez</t>
  </si>
  <si>
    <t>…ados á fa vor de Ascorbeta, para que en el término de go cjias que se les señalan, contados desde 4 del corriente mes, compadezcan en mi-juzgado y por la escribanía del nu mero de D. Casimiro Antonio Gómez, que despachi el infrascrito en virtud de Real habilitación, á decir y exponer por sí ó por medio de procurador con poder bastante lo que les convenga, que si lo hicieren les oiré y guardaré justicia en lo que la tuvieren; con apercibimiento que pasado sin ha…</t>
  </si>
  <si>
    <t>…de esta corte; y para que llegue á noticia de todos y puedan concurrir i ella, se da este aviso, como también por si quisieren enterarse , que acudan á la escribanía del número de D. Casimiro Antonio Gómez, donde se halla radicado el concurso. be halla vacante la plaza de segundo médico de la villa dé Alcázar de S. Juan, provincia déla Mancha: so dotación son 250 ducados , pagados de propios, ade mas de las visitas.del vecindario, compuesto de 1500, dos convent…</t>
  </si>
  <si>
    <t>Gómez, Esteban</t>
  </si>
  <si>
    <t>Esteban Gómez</t>
  </si>
  <si>
    <t>…69. D. Francisco Crespo 20. Agustín Bar tolomé 13. D. Eustbio Arrabal 20. Fernando Gómez 20. D. Vicente Telio 4. D. Manuel Cisneros 23. D. Valentín.Ximenez 20. D. Carlos Milre40. D. Esteban Gómez 20. D» Felipe Eneri y Seda 40. D. Gregorio Fernan dez 46. D. Fernando Larrondo 92. D. Martin Ocaf.a 20. D. Blas María 20. D. Pedro Pacheco 20. D. Fernando Prieto 24. D. Juan Ballesteros 20. Don Ruperto Molinero 16. D Josef Brochero 40. D Manuel Palomares 30.…</t>
  </si>
  <si>
    <t>Gómez, Fernando</t>
  </si>
  <si>
    <t>Fernando Gómez</t>
  </si>
  <si>
    <t>…y oficinas 1473. IX Pedro Espina 9 '‘O. D Sebastian Hernández 120. D. Felipe Barra 100. D. Manuel García 80. D. Gaspar Arribas 20. D. Juan Nobreda 20. D; Manuel Saudin Calderón 8. D. Fernando Gómez 10. Doña Margarita Martin 20. D. Santos Avoin Coronel en efectos y dinero 360. D. Manuel Cisneros 200. D. Anto nio Echenique 140. D. Josef Perez 40. D. Fructuoso Tejedor 30. D. Josef Lozano 30. D. Victorio Valtierra 30. D. Lorenzo de Seras 30. El coman dante…</t>
  </si>
  <si>
    <t>Gómez, Josef María</t>
  </si>
  <si>
    <t>Josef María Gómez</t>
  </si>
  <si>
    <t>…le da que dirigirán por conducto del secretario de la junta facultativa de lá ec*presada Real tundición de artillería de bronce de Sevilla, que lo es el tenien te del mismo cuerpo D. Josef María Gómez, documentando aquellas coa una información judicial de limpieza de sangre y buenas costumbre*, y cer tificados que acrediten haber estudiado las matemáticas puras y la mecánica, y aprendido el dibujo militar, pues antes de su admisión han de sufrir ea Sevilla…</t>
  </si>
  <si>
    <t>Gómez, Josef Piqueras</t>
  </si>
  <si>
    <t>Josef Piqueras Gómez</t>
  </si>
  <si>
    <t>8 meros ioo© rs. de suministros hechos á las tropas.,—Er. D. Gonzalo Josef Ramírez , prior de Porcuna,reino de Jaén , 5168 rs. y 22 mrs.de suministros hechos á las tropas___D. Josef Piqueras Gómez , vecino de la villa de Jorquera , de 6498 rs. en un recibo de intereses de vales___^ D. Josef Betaaicourt y Castro, coronel de milicias,su sueldo de ifoo rs. desde t.° de Julio de 1808 hasta igual mes de 5814___D. Manuel Quiñones Abad , cura párroco de San P…</t>
  </si>
  <si>
    <t>Gómez, Lorenzo HaeJo y</t>
  </si>
  <si>
    <t>Lorenzo HaeJo y Gómez</t>
  </si>
  <si>
    <t>…la filo sofía , en el que manifestaron el zelo infatigable con que se L-s había instruido. Llegado el dia i.® de Julio, destinado por su dignísimo y sabio rector el muy i 1 u tre Sr. D. Lorenzo HaeJo y Gómez, arcediano mayor de esta santa iglesia, y g &gt;b mador eck-M Otico en sede vacante,se presentaron los semina ristas y discípulos d I miorio Real seminario, en núrnrro de 122 , en su igle ■ ■■■ de Segorve uno de los dias mas gloriosos, por sersia, y dieron a la…</t>
  </si>
  <si>
    <t>Gómez, Luis Antonio</t>
  </si>
  <si>
    <t>Luis Antonio Gómez</t>
  </si>
  <si>
    <t>…o rada ausencia de S. M. Por otra Real resolución, que recayó sohre consulta de la misma Cáma ra , ha concedido S. M. igual gracia de título de Castilla para sí y sus suce sores á D. Luis Antonio Gómez, con la denominación de conde de CampoEspina. S. M., á consulta del Real Consejo, se ha servido conceder á la ciudad de Montiüa , en el reino de Córdoba, la correspondiente facultad para que pueda celebrar todos los años una feria en los dias i , 2 y 3 de Set…</t>
  </si>
  <si>
    <t>Gómez, Manuel</t>
  </si>
  <si>
    <t>Manuel Gómez</t>
  </si>
  <si>
    <t>…n de su 't r intento, y llenos de asombro huyeron vergonzosamente, tal vez al ve- •; firmeza de ánimo de este bene mérito párroco, ó porque sabían que se aproximaba la partida del capitán D. Manuel Gómez. El comandante subdelegado de Tezcuco participó que el 8 de Setiembre hizo salir 30 hombres en persecución del perverso Josef Casas, alias el Chino, que con 14 hombres estaos robando á los vecinos del puebto de Papalotla. Murió dicho Chino á manos del valient…</t>
  </si>
  <si>
    <t>…lina, vecino de la villa de Abaran en la provincia de Murcia , introduciendo la correspon diente demanda de tanteo y consunción del oficio de Regidor perpetuo y Alguacil mayor que D. Manuel Gómez poseía en dicha villa,, ofreciendo al mismo tiempo consignar el precio de su egresión luego que- consrase por me dio de presentación del título del expresado oficio ,se admitió la demanda, y substanció el pleito por los trámites de derecho ^ pero antes de fal…</t>
  </si>
  <si>
    <t>Gómez, Pedia</t>
  </si>
  <si>
    <t>Pedia Gómez</t>
  </si>
  <si>
    <t>…D. Bernardo Cadenas, Don Joaquín Vargas y D. Mantiél Ribera: con los segundos D. Juan García Cefedonó’ Casado, D. Francisco. Canillas, D-. Máximo de Vargas y Don‘Ge»Bíuo Salgado , D. Pedia Gómez y D. Pedro Miguel; y con los tetcetoi</t>
  </si>
  <si>
    <t>Gómez, Tadeo</t>
  </si>
  <si>
    <t>Tadeo Gómez</t>
  </si>
  <si>
    <t>…1816. = YO El REY. = Yo Don Juan Ignacio de Ayestarán, Secretario del Rey nuestro Señor, lo hice escri bir por su mandado. = D. Gonzalo Josef de Vilchcs. = D. Manuel de Tor res. =:D. Tadeo Gómez. ssD. Josef Montemtyor. = D. Felipe de Sobrado. 2 Registrada., Aquilino Escudero.2Teniente de Canciller mayor» Aquilino Escudero. S. M. ha tenido á bien, conformándose con la consulta de la cámara de Indij«, aprobar la permuta que de sus respectivos destinos…</t>
  </si>
  <si>
    <t>Gomiel, Joaquin</t>
  </si>
  <si>
    <t>Joaquin Gomiel</t>
  </si>
  <si>
    <t>…atallón del Rey; á D. habían Perez, teniente de ídem; á D. Antonio Fernandez , te niente de ídem ; á D. Cosme Rodríguez, sargento primero graduado del ba tallón de la Victoria ; á D. Joaquin Gomiel, soldado graduado de sargento segundo del sexto escuadrón de Artillería; á Juan Hurtado, soldado gradua do de sargento segundo del sexto escuadrón de Artillería; á Joaquin Bos, soldado del regimiento infantería de Granada. El Don personal y medalla de plata c…</t>
  </si>
  <si>
    <t>Gon</t>
  </si>
  <si>
    <t>…o pasado tuvieron la honra de besar la Real mano de S. M. y felicitarle por su augusto y contratado enlace á nombre de la ciudad de Baeza el Excmo. Sr. duque de Montemar, el limo. Sr. D. Gon zalo Josef de Vilches, del consejo y cámara, el corregidor D. Vicente Ximenez Granados y D. Juan Manuel de Robres, alférez mayor del ayuntamien to de dicha ciudad; el primero de los cuales arengó á S M. en los términos siguientes: „ Señor: La dudad de Baeza,…</t>
  </si>
  <si>
    <t>Gon, Casiano Manuel</t>
  </si>
  <si>
    <t>Casiano Manuel Gon</t>
  </si>
  <si>
    <t>…ue vive en dicha parroquia de S. Gines. Cuartel de la Plaza. Al Sr. D. Fermín Nafarrondo, individuo de la so ciedad económica matritense. Cuarteles de S. Isidro y S. Francisco. Al Sr. D. Casiano Manuel Gon zález de Castro, contador de temporalidades, é individuo del cuerpo cole giado de la nobleza, que vive calle del Duque de Alba, casa de Consoli dación. Cuartel de Maravillas. Al Sr. D. Juan Puente, caballero de la Real y distinguida orden española de Cárlos m…</t>
  </si>
  <si>
    <t>Gon, Dionisio Rodríguez</t>
  </si>
  <si>
    <t>Dionisio Rodríguez Gon</t>
  </si>
  <si>
    <t>…la de Salas de los Infantes á D. Manuel de! Pozo: para la de Curiel á D. Esteban Sánchez de la Iglesia: para la de Huelma á D. Antonia Josef Ximenez de Vega: para la de Peñaflor á D. Dionisio Rodríguez Gon zález: para la de Cogolludo á D. Francisco María Ortiz: para la de Algari-</t>
  </si>
  <si>
    <t>Góngora, Jorge de</t>
  </si>
  <si>
    <t>Jorge de Góngora</t>
  </si>
  <si>
    <t>…ando sucesor conocido para ellas mas que un hermano que tuvo llamado D. Francisco de' Góngora y Aguado, natural de dicha villa de Cehegin, e! que se ausentó de la casa de su padre D. Jorge de Góngora en la ed¿d de la pubertad; y haciendo bastantes años que no se ha tenido noticia de su paradero, se suplica al que supiese de dicho D. Francisco lo avise á los párrocos de dicha villa de Cehegin, ó en Madrid á D. Vicente Ferrer Merino, agente de nego cios de…</t>
  </si>
  <si>
    <t>Góngora, Luis de</t>
  </si>
  <si>
    <t>Luis de Góngora</t>
  </si>
  <si>
    <t>…de Bazan, Antonio de Nebrija, y D. Pedro Menendez Avilés.zzCuaderno 5 °: D. Juan de Austria, Fr. Luis de Granada, Martin de Alpizcueta, Pedro Chacón, D. Bernardino de Rebolledo, y D. Luis de Góngora.= Cuaderno 6.°: D. Alonso Tostado, Luis Vives, D. Diego Hurtado de Mendoza, D. Gerónimo de Zurita, D. Diego de Saavedra Fajardo, y D. Alvaro Navia Osorio.—Cuaderno 7.0: D. Luis de Requesens, D. Bartolomé Leonardo de Argensola, D. Francisco Valles, D. Juan de…</t>
  </si>
  <si>
    <t>Gonsalvi</t>
  </si>
  <si>
    <t>…us credenciales. SUIZA. Xurich iG de Abril. El consejo de Estado de este cantón ha circulado á los diferentes canto nes una carta de oficio dirigida á nuestro burgo-maestre por el cardenal Gonsalvi, secretario de Estado, y remitida por el nuncio de Lucerna. En esta carta se anuncia el nombramiento del arzobispo de Beryte para secretario en gefe de la congregación dé los obispos, y el de monseñor Cárlos Zeno para nuncio de S. S. en Suiza. El cantón de Un…</t>
  </si>
  <si>
    <t>Gonzá, Josef María</t>
  </si>
  <si>
    <t>Josef María Gonzá</t>
  </si>
  <si>
    <t>…de Abril tuvieron el honor de cumplimentar á S. M. y besar su Real mano como comisionados de la M. N. y M. L. ciudad de Sigüenza D. Eugenio María Gutiérrez, coronel de infantería, D. Josef María Gonzá lez, diputado en el ilustre ayuntamiento, y D. Genaro Blanco; pronuncian do el primero el discurso siguiente : „Señor: Vuestra fiel ciudad de Sigiienza, que no ha cedido á. ninguna del reino en lealtad á vuestra Real Persona, ni en sacrificios de toda..clase…</t>
  </si>
  <si>
    <t>Gonzaga, Luis</t>
  </si>
  <si>
    <t>Luis Gonzaga</t>
  </si>
  <si>
    <t>…21 de Octubre de 1802 sirviendo la plaza de oficial primero de aquella factoría en Tabacos, quedó con un niño de menor edad, hijo de ambos, que ahora tendrá la de 16 años, llamado D. Luis Gonzaga: desde aquella época faltan noticias de la existencia y paradero de la madre é hijo. A la persona que Jas tuviere se suplica tenga á bien comunicarlas á D. Isidoro Simón de Castro, presbí tero en el lugar de Getafe, para instruir al D. Luis Gonzaga de asuntos…</t>
  </si>
  <si>
    <t>González, Bernardo</t>
  </si>
  <si>
    <t>Bernardo González</t>
  </si>
  <si>
    <t>…ximo de Avila y D. Rafael Bautista Ca ntara , y los diputados D Manuel Ahugetas, D. Vicente Cárdenas, D. Joscí Rodriguez y D. Francisco Fernandez Calvillo , y el sindico persenero Don Bernardo González, con su procurador síndico el Lie. 1). Fraru en Joscfde Torre, pasó tn cuerpo al templo , que estaba surruosamente adornado , &gt; con asistencia de los cabildos eclesiásticos y prelados de los conventos. como asi mismo dei coronel de dragones de Nu manda , su l…</t>
  </si>
  <si>
    <t>González, Casiano Manuel</t>
  </si>
  <si>
    <t>Casiano Manuel González</t>
  </si>
  <si>
    <t>…e los agraciados con la cruz supernume raria de Cárlos m, léase D. Antonio Reguera; y en la misma gaceta, pág. 1128, línea 7, en lugar de D. Casiano Manuel Gómez de (.astro, léase D. Casiano Manuel González. Id. en la pág. 1132, en ia clase de gentileshombres de cámara con entra da, donde dice marques de Casa-boca, debe decir de Cas aboza ; y en lugar de mar ques ,4e Cor fas , léase Corpa. /EN LA IMPRENTA REAL.</t>
  </si>
  <si>
    <t>González, Dionisio</t>
  </si>
  <si>
    <t>Dionisio González</t>
  </si>
  <si>
    <t>nejo á D. Dionisio González; y para la de Lorca, de nueva creación, á Don Luis de Lemos Gil de Taboada. Por providencia del Sr. D. Joaquin Almazan del dia 23 de Diciembre anterior se ha mandado sacar á pública subasta por término de 30 dias , contados desde la publicación de este anunci…</t>
  </si>
  <si>
    <t>…ndalecio Coro nel: para la de Orce á D. Francisco Saturio de Puerta: para la de Bonillo á D. Jcaquiu González: para la de Aimanza á D. Antonio Merino y Calvo: para la de Quesada á D. Dionisio González: para la de Palma del Rio á D. Cristóbal Benitez: para ía de Salas de los Infantes á D. Sandalio de Or ne y Garav : para la de Villalba de Alcor á D. Pedro Brenes Lobato: para la del Viso de Alcor á D. Antonio María de Rodas: para la de las Peñas de S. Pedro…</t>
  </si>
  <si>
    <t>González, Francisco Antonio</t>
  </si>
  <si>
    <t>Francisco Antonio González</t>
  </si>
  <si>
    <t>…sfacciones.” El dia 8 del corriente felicitaron á SS. MM. y A A. con el plausible mo tivo de su venturoso enlace, y á nombre de la Real biblioteca, el bibliotecario mayor inrerino D. Francisco Antonio González, y los bibliotecarios Don Pedro García y D. Juan Antonio Romero; los cuales tuvieron la honra de presentar un elegante discurso,en que manifestaron la satisfacción y deseos de tan ilustre cuerpo (i). En la extracción de la primitiva lotería Real, egecutada el…</t>
  </si>
  <si>
    <t>…ia espa ñola á SS. MM. y A A. con el plausible motivo de su venturoso y deseado enlace una comisión compuesra de lo&gt; Excmos. Sres. duque de Híjar y conde de Noroña, y de los Sres. D. Francisco Antonio González y D. Josef Duaso; los cuales tuvieron la honra de presentar á las Reales Personas un ele gante discurso en que manifestaba tan ilustre cuerpo los tiernos sentimientos de* su pláéér, de su respeto y de su satisfacción.</t>
  </si>
  <si>
    <t>González, Francisco Rafael</t>
  </si>
  <si>
    <t>Francisco Rafael González</t>
  </si>
  <si>
    <t>…erez Palomo 40. D. Ber nabé Notario 160 D. Juan Xerez y Montes 40. D. Francisco Carrillo del Valle, administrador general ,2411 rs. y 26 mrs. D. Antonio de Ramos y Ximenez 200 rs. D. Francisco Rafael González 60. Catalina Prados 6. D. Juan Cantarero 60. D. Joaquín Obrero 400. D. Diego Bernia 100. D. Pedro Herrera 200. D. Antonio Velasco ioo. D. Manuel Estaquero 120. D. Ra fael Salinero, presbítero, 60. Doña Rosalía de Negrete 20. El colegio de San Roque 500. El co…</t>
  </si>
  <si>
    <t>González, Ignacio Ortiz</t>
  </si>
  <si>
    <t>Ignacio Ortiz González</t>
  </si>
  <si>
    <t>…ado Caballero, síndico procurador general de la misma: otra de la villa de Luque, de la que fueron individuos su alcalde mayor D. Fernando Rod riguez y Luque, alcalde ordinario, y D. Ignacio Ortiz González, di putado del común, juez comisario de la santa hermandad de Ciudad-Real: otra de la ciudad de Monroro, compuesta de su alcalde mayor el Lie. Don Josef Macedo y de D. Antonio Piedrahita , regidor decano de su ayuntamien to ; y otra de la villa de ia Rambla,…</t>
  </si>
  <si>
    <t>González, Jcaquiu</t>
  </si>
  <si>
    <t>Jcaquiu González</t>
  </si>
  <si>
    <t>…bano: para la de Budia á D. Vi cente Perez Sánchez: para la de Cañete de las Torres á D. Indalecio Coro nel: para la de Orce á D. Francisco Saturio de Puerta: para la de Bonillo á D. Jcaquiu González: para la de Aimanza á D. Antonio Merino y Calvo: para la de Quesada á D. Dionisio González: para la de Palma del Rio á D. Cristóbal Benitez: para ía de Salas de los Infantes á D. Sandalio de Or ne y Garav : para la de Villalba de Alcor á D. Pedro Brenes Lobat…</t>
  </si>
  <si>
    <t>González, Josef</t>
  </si>
  <si>
    <t>Josef González</t>
  </si>
  <si>
    <t>…para la de la Coruña á D. Manuel Fernandez .Duran: para la de Miranda del Castañar á D, Francisco Cornsgo: para la de Fuente de Cantos á D. Roque Naranjo: para la de Jarandilla á D. Josef González: para la de Salas de los Infantes á D. Manuel de! Pozo: para la de Curiel á D. Esteban Sánchez de la Iglesia: para la de Huelma á D. Antonia Josef Ximenez de Vega: para la de Peñaflor á D. Dionisio Rodríguez Gon zález: para la de Cogolludo á D. Francisco Marí…</t>
  </si>
  <si>
    <t>…erá embarcar se si los vientos lo permiten. ESPAÑA. Uinojósa del Duque 29 de Febrero. En este dia se han celebrado exámenes públicos en Ja escuela de prime** ras letras á cargo de D. Josef González, presididos por el Lie. D. Euge nio Jabalquinto y Portillo, corregidor, alcalde mayor por S. M. (que Dios guarde), y hallándose presente el ayuntamiento, los curas párrocos, el guar dián del convento de S. Diego, el custodio de la provincia religiosa de los A…</t>
  </si>
  <si>
    <t>…lle de Preciados, núm. 1 7, cuarto principal, casa del oficial may’or in terino de l.i misma D. Pedro Xavier de Vera. Ei Rey nuestro Señor se ha servido conceder su Real permiso á D. Josef González lV-toruia y Dnmmpuez,4. natural de la ciudad de Vino,V vJ alcalde ma&gt;or subdelegado que ha sido en varios paridos de la provincia de Guadalnjara , en &lt;. 1 reino de Nueva-España , psra poder mar la condecoración de la Lis de que le ha hecho merced S. M. Crbtia…</t>
  </si>
  <si>
    <t>González, Josef Manuel</t>
  </si>
  <si>
    <t>Josef Manuel González</t>
  </si>
  <si>
    <t>…Habiéndose servido el Rey nuestro Señor admitir la cesión que ha hecho de sus sueldos vencidos hasta fín de Abril último el oficia! supernumerario del cuerpo político de la armada D. Josef Manuel González, que ascienden ¿ 1870 rs. y 17 mrs. vn. r ha mandado se publique en la gaceta para su sa tisfacción. El venerable cabildo de la santa iglesia de León, penetrado, según ha ex puesto , de las benéficas y rectas intenciones de S. M. para el mejor arreglo de su R…</t>
  </si>
  <si>
    <t>González, Josef María</t>
  </si>
  <si>
    <t>Josef María González</t>
  </si>
  <si>
    <t>…honra de besar la Real mano de S. M. y felicitarle á nombre de la ciudad de Sigüenza, el Lie. D. Juan Peinador jr Pino, alcalde mayor y subdelegado de rentas Reales de la misma, y D. Josef María González, procurador de su ilustre ayuntamiento; con cuyo moti vo el primero dijo áS. M. entre otras cosas lo siguiente: ,,Señor: L. M. N. y L. ciudad deSigüenza , siempre constante en ma nifestar á V. M. sus fieles sentimientos , nos ha dispensado el honor de elevar…</t>
  </si>
  <si>
    <t>González, Miguel Tomas</t>
  </si>
  <si>
    <t>Miguel Tomas González</t>
  </si>
  <si>
    <t>…ezca de dichos re quisitos. A virtud de providencia del Real y supremo Conseco de Almirantazgo sé cita y emplaza á D. Bernardo Gainza, vecino y del comercio de S. Sebastian , y á, Don Miguel Tomas González, ayudante que fue de la misma, ó á sus herederos en ca so de haber fallecido, é igualmente á los herederos del marques de Ba^secourt, ca pitán general que fufe de la provincia de Guipúzcoa , y á los de D. Agustín Carril, escribano que fue de dicha ciudad de S…</t>
  </si>
  <si>
    <t>González, Ramón</t>
  </si>
  <si>
    <t>Ramón González</t>
  </si>
  <si>
    <t>…D. Tomas Diago, y los citados D Josef Perez y D. Juan Pablo Rodríguez. En trigonometría plana D. Manuel Ban dujo, O. Cándido Pulleiro, D. Joaquín Hernández, D. Eusebio Arróspide, D. Ramón González ,D. Domingo Balay y D. Vicente M itis.En trigonome tría esférica D. Francisco Galceran, D. Lino Pacheco, D. Marcelino Deus, y los citados Hernández, Arróspide, Bandujo , Pulleiro, González y Balay, feu cosmografía dichos Bajujo, Deus y Pulleiro. En geografía…</t>
  </si>
  <si>
    <t>González, Serafín</t>
  </si>
  <si>
    <t>Serafín González</t>
  </si>
  <si>
    <t>…vir á la combustión; le comparó con ellos poniendo de manifiesto estos tres gases, distintos ya por solo su color, amarillo ver doso del primero, y rojo de púrpura del iode. El io D. Serafín González habló del mercurio, de sus mineralizaciones, de sus caracteres y naturaleza geognóstica, del análisis y beneficio de sus mi nas, de su unión con el azufre , substancias metálicas y otros cuerpos , y de las sales que resultan por su combinación con los ácidos.…</t>
  </si>
  <si>
    <t>González, Valentín</t>
  </si>
  <si>
    <t>Valentín González</t>
  </si>
  <si>
    <t>…nte nos gobierna; ofreciendo en prenda del amor hacia su augusta y Real Persona y á la patria las fatigas literarias, acreditadas en la juventud de su cargo: hecho esto, el alumno Don Valentín González recitó una composipion .latina sobre la necesidad de la buena educación ; y el de igual clase D. Manuel Merino pronunció un discur so en castellana en defensa de la poesía : últimamente, dirigiéndose el men cionado catedrático á sus discípulos les hizo en 'su…</t>
  </si>
  <si>
    <t>Gonzalo</t>
  </si>
  <si>
    <t>…giosas de S. Martin de Cabra 2®. El de religiosos de la Concepción de ídem 2®. El de religiosas de la Madre de Dios de Baena 2®. El convento de re igiosos de la Victoria de Puente D. Gonzalo 900. El de religiosos domiR'icos de Lucena 1500. El de ídem de S. Agustín de Moutilla 1300. El ayuntamiento de la villa de Luque 4739 rs. y 33 mrs. Et de la villa de Espiel 1512 rs. El de la de Zuheros 516- El de la de Valenzuela 437. El de la de Espejo 7 139…</t>
  </si>
  <si>
    <t>Gonzalo, Leandro Antonio</t>
  </si>
  <si>
    <t>Leandro Antonio Gonzalo</t>
  </si>
  <si>
    <t>…l dia ii del presente fueron presentados á cumplimentar á S.M. ,á nom bre de la villa de Almazan, D. Josef Martínez de Bustos, ministro del su premo consejo de Hacienda , y el Dr. D. Leandro Antonio Gonzalo , deán de la Real iglesia de Logroño; y el primero habló á S.M. en estos términos: ,,Señor: La poco menos que arruinada villa de Almazan por las tropas del mas inhumano de los tiranos lleca á los Reales pies manifestando el go zo de su corazón por el enlace d…</t>
  </si>
  <si>
    <t>Gonzalo, Miguel</t>
  </si>
  <si>
    <t>Miguel Gonzalo</t>
  </si>
  <si>
    <t>…15 días primeros siguientes i la publicación por la audiencia del Sr. ú. Joaquín de Almazan, de] Consejo de S. M., teniente de corregidor de esta villa, y escribanía del número de D. Miguel Gonzalo. A virtud de lo resuelto por la Dirección del Crédito público se ha señalado el dia 14 del corriente para celebrar en la comisión principal del establecimiento en la ciudad de Pla&amp;encia el primer remate del arrendamiento de la encomienda de Bel vis de la Sier…</t>
  </si>
  <si>
    <t>…5 dias primeros siguientes i la publicación, por la audiencia de| Sr. D. Joaquín de Almazan, del Consejo de S. M., teniente de corregidor de esta villa, y escribanía del número de D. Miguel Gonzalo. En el juzgado del Sr. Bk, Josef Manuel de Arjona , del Consejo de S. M., su alcalde d? casa y corte, y escribanía de provincia y comisiones de D. Manuel Ló pez de R ivas, se h tilín radicados los autos de testamentaría formados por los res pectivos fallecimi…</t>
  </si>
  <si>
    <t>…rs. vn., se está subastando en virtud de providencia del Sr. Don Joaquín de Almazan, del Consejo de S. M., teniente de corregidor de esta villa, y por la escribanía del número de D. Miguel Gonzalo, y se continúa su subasta por otros 15 dias, que cumplirán el 24 del corriente; y en el día 29 del mismo se ve rificará su remate en el mejor postor en la audiencia de dicho señor juez, y hora de las r 2 de é!, señalado á este efecto. Se halla vacante el part…</t>
  </si>
  <si>
    <t>Gonzalvi</t>
  </si>
  <si>
    <t>…ones. El capitán Oake, encargado por el Gobierno Ingles de llevar á Italia las preciosidades artísticas restituidas por la Francia, ha sido recibido en triunfo en Civitavechia. El cardenal Gonzalvi pasó allá expresamente de orden del Papa para convidarle á que fuese á Roma con los demas oíieiales que estaban en su compañía. El capitán hizo el viage en el coche del Papa con una escol ta de dragones, y á su llegada á Roma se presentó á S. S. y le besó tre…</t>
  </si>
  <si>
    <t>Gordo, Miguel</t>
  </si>
  <si>
    <t>Miguel Gordo</t>
  </si>
  <si>
    <t>…e Roa á D. Do mingo Fuentenebro : para la de Potes á D. Mariano Muñoz Gómez Henriquez: para la de Cervera del Rio Pisuerga á D. Josef Joaquín Yagiie: para la de Mairena de Alcor á D. Miguel Gordo: para la de Villadiego á D. Ca simiro de la Piedra y Urrutia.: para la de Morata á D. Antonio Evaristo de Haro: para la de Granadilla á D. Feliciano Centeno: para la de Villagarcía á D. Josef Martínez Sarabia: para la de Arroyo del Puerco á D. Pedro Alzorriz…</t>
  </si>
  <si>
    <t>Gordonez, Antonio</t>
  </si>
  <si>
    <t>Antonio Gordonez</t>
  </si>
  <si>
    <t>…n vento de nuestra Señora de Belen de la ciudad de Valladolid , el hospital de la Re surrección de la misma, el señor conde de Montalco, marques de los Vales, el conde de la Roca, D. Antonio Gordonez, y el abad y cabildo de la capilla colegial del Señor Santiago del Castallar de Santistéban del Puerto. En virtud de providencia del Sr. D. Josef Salvador López del Pan, del Consejo de S. M., su alcalde de casa y corte, dada en 8 del corriente, y refrendada p…</t>
  </si>
  <si>
    <t>Gosalbes, Guillermo</t>
  </si>
  <si>
    <t>Guillermo Gosalbes</t>
  </si>
  <si>
    <t>…rs. Rafael Llopis id. Tomas Pascual id. Francisco Abargue.s 10. Rafael Llorens id. Escuela del maestro Baltasar Paya. Roque Vilaplana 20 rs. Josef gisbert id. Roque Vilaplana id. D. Guillermo Gosalbes, de la fábrica y comercio de paños, de esta villa, lleno de buenos deseos por el fomento de estos establecimientos, y de entu siasmo por sus progresos en tan corto tiempo , quiso premiar la aplicación délos niños del aula de latinidad, dándoles una merienda e…</t>
  </si>
  <si>
    <t>Gotnendio, Estéban</t>
  </si>
  <si>
    <t>Estéban Gotnendio</t>
  </si>
  <si>
    <t>…tamento de Cartagena. A brigadier el capitán de Navio D. Antonio Vacaro. A capitanes de Navio los de Fragata D. Benito Vivero y D. Manuel Moscoso. Para la graduación de esta clase D. Estéban Gotnendio.</t>
  </si>
  <si>
    <t>Gover</t>
  </si>
  <si>
    <t>78</t>
  </si>
  <si>
    <t>…e la vanguardia de la primera división del egército de Andalucía, mandada por el general D. Teodoro Reding, concurrió á la acción de Mengibar que contra la enemiga, mandada por el general Gover, se dio el 16 de Julio de 1808 entre aquella villa y la de Bailen, Por esta circunstancia se han dirigido al exponente varios oficiales, solicitando de palabra y por escrito que eleve á noticia de V. M. el servicio que hicie ron en aquel glorioso dia, y que á…</t>
  </si>
  <si>
    <t>…s que tenían á la oriíl» derecha, y to das las posiciones que tomaron consecutivamente, los persiguieron hasta las inmediaciones de Bailen, batiéndolos en tedas parres, matando al general Gover y considerable número de sus mejores tropas, apoderándose de un cañón, un carro de municiones, varios de transporte, de ios equipages que tenían en su campamento, sus ranchos y algunos prisioneros, entre estos un capítan de coraceros, y obteniendo cuantas ven…</t>
  </si>
  <si>
    <t>Goya, Francisco</t>
  </si>
  <si>
    <t>Francisco Goya</t>
  </si>
  <si>
    <t>…os. Se hallarán en las li brerías de Brun, frente á las gradas de S. Felipe, y de Rodríguez, calle de las Car retas. Colección de estampas inventadas y grabadas al agua fuerte por D. Francisco Goya, pintor de cámara de S. M., e« que se representan diversas suertes de toios, y lances ocurridos con motivo de estas funciones en nuestras plazas, dándose en la serie de las estampas una idea de los principios, progresos y estado actual de dichas fiestas en Es…</t>
  </si>
  <si>
    <t>Goyeatche, Josef Manuel de</t>
  </si>
  <si>
    <t>Josef Manuel de Goyeatche</t>
  </si>
  <si>
    <t>…ños. Palacio 2 de Ju nio de i8i6. = Sres* directores generales de Rentas* El Rey nuestro Señor , en consideración á los distinguidos y acreditado* servicios militares del teniente general D. Josef Manuel de Goyeatche , conde de Guaqui, y á consulta del supremo consejo de la Guerra, se ha servido condecorarlo coa la gran cruz y banda de la Real y militar óeden de S. Fer nando. El venerable cabildo de la santa iglesia de Toledo , primada de Tas Tí pa ñas, renunció voluntara…</t>
  </si>
  <si>
    <t>Goyeneche, Josef Manuel de</t>
  </si>
  <si>
    <t>Josef Manuel de Goyeneche</t>
  </si>
  <si>
    <t>…TICULO DE OFICIO. El Rey nuestro Señor se ha servido conceder la llave de gentilhombre de Cámara con egercicio, y destino á la servidumbre del Sr. Infante D. An tonio, ál teniente general D. Josef Manuel de Goyeneche, conde de Guabul* declarándole la antigüedad desde 22 de Setiembre próximo pasado. El Rey nuestro Señor por resolución de 27 de Julio último se ha servia do jubilar á D. Andrés López de Frías, ministro de la audiencia de Catalu ña , con todo el sueldo y honor…</t>
  </si>
  <si>
    <t>Gracia, Benito de</t>
  </si>
  <si>
    <t>Benito de Gracia</t>
  </si>
  <si>
    <t>…eunión , a que contestó el precep tor con una disertación metódica-sintética vv acabada en sil clase. Propu^tas» las materias del examen, se le dio principio recitando los alumnos D. Benito de Gracia, D. Bernardo Kstevez,D. Alfonso Berastegui, D. Jost-f y D.Juan Diez Prado, D. Juan y I&gt;. Gerónimo Ortega , D. J osefde la Fuente, Don Francisco Carreras y í&gt;. Josef Seoane las tabulas de Inarte y de Samaniego con exactitud, explicando la moralidad , y haciend…</t>
  </si>
  <si>
    <t>Graells, Ignacio</t>
  </si>
  <si>
    <t>Ignacio Graells</t>
  </si>
  <si>
    <t>298</t>
  </si>
  <si>
    <t>…o. Fr. Josef Juah González, residente en S. Felipe el Real de esta corte. Noticias del magnetismo , y de sus efectos portentosos sobre la economía ani mal, recopiladas por el Lie. D. Ignacio Graells, médico de Carabanchel de Abajo. Se hallará á 4 rS. en la librería de Villaréal, calle.,dé las Carretas, y de González, Calle de la Luria.___En las mismas sé Hallará también el' prbyécto. ó, plan de refor ma del autor, 'dirigido á promover loá adelantamientos…</t>
  </si>
  <si>
    <t>…, dirigido á promover los adelantamientos de la me dicina , y mejorar la suerte de sus profesores, igualmente que la de los enfermos, presentado al Real Proto-Medicato por el Lie. D. Ignacio Graells, médico que ha sido de la villa de Bañares, y actualmente titular de Carabanchel de abajo: segunda edición reformada. Este pequeño escrito ofrece un plan muy fácil y sencillo de po licía médica, no menos útil á los pueblos que á Jos profesores de medicina, ci…</t>
  </si>
  <si>
    <t>Gramage, Salvador</t>
  </si>
  <si>
    <t>Salvador Gramage</t>
  </si>
  <si>
    <t>…liva, D. Manuel Sánchez, D. Alonso María Sahagun y Chacón, y D. Lorenzo Romero: otra del ayuntamiento y clero de Villarubia de los ojos de Guadiana , compuesta de su alcalde mayor D. Salvador Gramage , de; su alcalde ordinario D. Juan García Tasamero, de su cura párroco D. Ma tías González Soler y de D. Francisco López; y otra de la villa de Dos Bar rios, representada por D. Jorge Ferrer, D. Josef Crespo de la Serna y Don Francisco Ruiz; todos los cuales…</t>
  </si>
  <si>
    <t>Gramaje, Salvador</t>
  </si>
  <si>
    <t>Salvador Gramaje</t>
  </si>
  <si>
    <t>…T jada: para la de Crecente á D. Anselmo del Campo: para la de Oáa a \j. Anto nio Rojo y Gandía: para la de Trigueros á D. Josef María Herrera: para la de Villarubia de los Ojos á D. Salvador Gramaje: para la Je Ayamot te á D. Juan de Padilla y Ortiz: para la vara segunda de teniente de asúrente de la ciudad de Sevilla á D Francisco Belloc y Navarro: para la de Yillamañan á D. Gerónimo Ti jerina: par¿ la del Real sitio y villa del Fscoral, juez privativo…</t>
  </si>
  <si>
    <t>Granados, Domingo</t>
  </si>
  <si>
    <t>Domingo Granados</t>
  </si>
  <si>
    <t>…Americana, y volvió á la costa á procurar la prisión de los insurgentes bastante conocidos que estaban en tierra, y son el Dr. D. Josef María Toledo, Dr. D. Miguel Díaz Granados, D. Domingo Granados, Dr. D. Basilio Toro, D. Esteban de Pumbo, y familia, D. María Amador , é id., D. Santiago Launa, é id., D. Manuel Verve id., D. Fran cisco Fierro é hijo. Quedaron apresados los individuos siguientes: á saber , Manuel Antonio, Manuel y Leandro Salgado, nueve…</t>
  </si>
  <si>
    <t>Granados, Miguel</t>
  </si>
  <si>
    <t>Miguel Granados</t>
  </si>
  <si>
    <t>…de la villa, y tocó ef segundo á D. Manuel Carrillo, de edad de siete años, y el tercero á D. Antonio Sánchez , de seis; concluyéndose el.acto con otro discurso que hizo el jóven D. Miguel Granados, de dicha estíbela pía, probando la utilidad de estos actos, y dando gracias al ayuntamiento por el interes que se toma en favor de su pueblo. ,:r;</t>
  </si>
  <si>
    <t>Granados, Miguel Díaz</t>
  </si>
  <si>
    <t>Miguel Díaz Granados</t>
  </si>
  <si>
    <t>…das que encontró en dicha Americana, y volvió á la costa á procurar la prisión de los insurgentes bastante conocidos que estaban en tierra, y son el Dr. D. Josef María Toledo, Dr. D. Miguel Díaz Granados, D. Domingo Granados, Dr. D. Basilio Toro, D. Esteban de Pumbo, y familia, D. María Amador , é id., D. Santiago Launa, é id., D. Manuel Verve id., D. Fran cisco Fierro é hijo. Quedaron apresados los individuos siguientes: á saber , Manuel Antonio, Manuel y Le…</t>
  </si>
  <si>
    <t>Granados, Vicente Ximenez</t>
  </si>
  <si>
    <t>Vicente Ximenez Granados</t>
  </si>
  <si>
    <t>…e por su augusto y contratado enlace á nombre de la ciudad de Baeza el Excmo. Sr. duque de Montemar, el limo. Sr. D. Gon zalo Josef de Vilches, del consejo y cámara, el corregidor D. Vicente Ximenez Granados y D. Juan Manuel de Robres, alférez mayor del ayuntamien to de dicha ciudad; el primero de los cuales arengó á S M. en los términos siguientes: „ Señor: La dudad de Baeza, que tanto bajo el imperio de los godos, como después de sus conquistas por el Rey D. Alonso el Bueno, ha…</t>
  </si>
  <si>
    <t>Grassoty, Antonio Gimbernat y</t>
  </si>
  <si>
    <t>Antonio Gimbernat y Grassoty</t>
  </si>
  <si>
    <t>…das, y en los Anales de Ciencias naturales, fue conferido á D. Manuel Paz; y los dos terceros, de los mismos Anales y traducciones, á D. Joaquín Amor y á D. Sebastian del Peral. A D. Antonio Gimbernat y Grassoty D. Manuel de Riaza entregó S. E. los primeros premios de agricultura, compuestos de las Observaciones sobre la historia natural, población , agricultura del reino de Valencia por Cava— nilles; de la obra de Alonso de Herrera, del Ensayo sobre las variedades de la vid, dichas tr…</t>
  </si>
  <si>
    <t>Grau, Pedro Font y</t>
  </si>
  <si>
    <t>Pedro Font y Grau</t>
  </si>
  <si>
    <t>…dad de Carmona., Asimismo ha nombrado S. M. para la asistencia de Sevilla al intenden te del egército y de la misma ciudad D. Francisco La Borda: oara el cor regimiento de Boñar á D. Pedro Font y Grau; y para el de Moya á Don</t>
  </si>
  <si>
    <t>Gre</t>
  </si>
  <si>
    <t>…de 1-816 eb Excmo. Sr. Duque Presidente del Consejo Real mandó que la volviese á examinar la junta supé-í rior gubernativa de Medicina' , lá Cüal-,* mediante &gt;él análisis hechopoV D. Gre gorio Bañares, declaró que era la: misma qué anteriormente había sido anali zada, y que sin perjudicar ni á la salud ni á la duración del pelo tenía las calidades de poderlo teñir con mas perfección que todqs los específicos in ventados hasta el dia: por lo c…</t>
  </si>
  <si>
    <t>Gre, Antonio</t>
  </si>
  <si>
    <t>Antonio Gre</t>
  </si>
  <si>
    <t>…á la fidelidad y obediencia de su Soberano. ESPAÑA. Madrid 29 de Mayo. ARTICULO DE OFICIO. Circular del Ministerio de Guerra. Habiendo representado el Capitán general de Mallorca D. Antonio Gre gorio sobre la formación de un Cuerpo permanente de Milicias Urbanas para servicio en la isla en los casos que lo exijan las circunstancias , mani festando al mismo tiempo los servicios que habia prestado el Cuerpo de lamisma ciase formado eventualmente con m…</t>
  </si>
  <si>
    <t>Gre, Manuel</t>
  </si>
  <si>
    <t>Manuel Gre</t>
  </si>
  <si>
    <t>…e Berlanga á D. Josef Fernandez Viliami!: para la de k Guardia, en el Reino de Jaén, á D. Teles foro Contreras: para la de Montemayor á D. Andrés Gómez Plata: para la de Higares á D. Manuel Gre gorio Velasco: para la de Salvatierra á D. Josef Antonio Ramo: para la de Fuensalida á D. Manuel Fernandez Azcona; para la de Doña Mencía á Don Alfonso Josef de Frías: para la deTorija á D. Telesforo Valero: para la de Aguilar de Campó á D. Victoriano Escriba…</t>
  </si>
  <si>
    <t>Grego</t>
  </si>
  <si>
    <t>…ella D. Gerónimo Sánchez, regidor del ilustre ayuntamiento, presidente por enfermedad del corregidor, D. Martin Diez Murga, presbítero, cura de la parroquial de Santiago Apóstol, D. Grego rio Nieto, diputado de abastos mas antiguo, D. Luis de Arrabal, prior síndico general por ambos estados, y D. Pablo Aviles, su secretario, con otros concurrentes distinguidos que asistieron al acto, presentó los discípu los D. Luis Mateos, D. Ildefonso y D. R…</t>
  </si>
  <si>
    <t>Gregoria, María</t>
  </si>
  <si>
    <t>María Gregoria</t>
  </si>
  <si>
    <t>…su rebeldía en los estra dos de la audiencia. r f. t i ; ¡ * . , Nota. En el aviso publicado en la gaceta del 27 del pasado, solicít'áñdo $‘rtbér él paradero de Dona María Fort y Doña María Gregoria, viuda dé D. Pedro Casta ñeda, aquella madre y ésta hérmaira dé D. Francisco Vison ..natural de Barcelona donde se dice qué esté fue primer-capitán de inválidos hábiles de ata plaza, léase de esta corte. . ‘ *• i v________ : • _______________________ ; • ■ -…</t>
  </si>
  <si>
    <t>Gregorio</t>
  </si>
  <si>
    <t>…rpo pasó á la ciudad de Salamanca, su patria, y fue destinado en clase de ayu dante mayor de1 batallón de soldados cumplidos que creó en dicha ciudad el Exce lentísimo Sr. Capiran general D. Gregorio de la Cuesta; y habiendo salido para la batalla de Uclés en el año de 1809, fue herido y hecho prisionero en ella, y con ducido á Madrid, de donde se fugó, y volvió á reunirse al egército del expresado Excmo. Sr. Capitán general en Despeñaperros: desde entonc…</t>
  </si>
  <si>
    <t>Gregorio, Antonio</t>
  </si>
  <si>
    <t>Antonio Gregorio</t>
  </si>
  <si>
    <t>…militar de Sevilla D. Juan Tomas de Silva y López: para la del go bierno de la villa de Infantes, que lo está por promoción de IX Josef Andrés de A rellano a la de Pedro-Mu ñoz, á D. Antonio Gregorio. Nogués: para la de la villa de Uclés, vacante por fallecimiento de D. Antonio Celedonio Lorente, á D. Juan Crisóstomo de Frías; y para la de Miguelturra , de nueva creación, á D. Manuel María Cabrera Ruiz. D. Pedro J osef Lazon, coronel de las milicias del p…</t>
  </si>
  <si>
    <t>Greigh</t>
  </si>
  <si>
    <t>…BADO 31 DE AGOSTO DE 1816. I ------------ --------------\ RUSIA. Petersburgo jj de Julio. Habiendo llegado el dia 27 del anterior á Nicolajexsr el gran Duque Cons tantino, el vice-almirante Greigh le presentó al dia siguiente los generales y oficiales de la armada de aquel puerto, y en seguida se trasladó S. A. I. al astillero, en donde estaba aparejado para botarse al agua un navio de linea de 74 cañones; y habiendo entrado en , él se botó inmediatame…</t>
  </si>
  <si>
    <t>Greor'</t>
  </si>
  <si>
    <t>…or. Vista del puerto y grao de Valencia, dibujada por D. Antonio Josef Cavanilles, y grabada por D. Tomas En grúdanos, á 5 rs.tnSeis estampas del poema de la música, dibujadas por D. Greor'10 Ferro, y grabadas por D. Manuel Salvador Carmona, D. Fernando Sclma y ) Joaquín Ballester, á 16 rs. rrrCuatro estampas de devoción, dibujadas por Doaf Mariano Maella, y grabadas por D. Manuel Salvador Carmona y T). Joaquín Ballester, á 8 rs. ( Se continuará…</t>
  </si>
  <si>
    <t>Gro, Pedro</t>
  </si>
  <si>
    <t>Pedro Gro</t>
  </si>
  <si>
    <t>…la Real Calcografía, sita en la imprenta Real. Estampas en pliego de marca mayor. Una vista del puerto de Cádiz, tres de su carraca, una de Sevilla y otra de Luarca, dibujadas por D. Pedro Gro1 lies, y grabadas por D. Tomas Encuídanos, D. Vicente Mariani y otros acredita dos profesores: á 6 rs. cada una. rz Dos vistas del prado de Madrid, dibujadas y grabadas por D. Isidoro Velazquez: á 30 rs.rrSeis estampas de la artillería vo an te, dibujadas por…</t>
  </si>
  <si>
    <t>Groso, Francisco</t>
  </si>
  <si>
    <t>Francisco Groso</t>
  </si>
  <si>
    <t>…ante de esta ca^te cuatro leeuas, y se ha de proveer el dia 8 de D icicmbre próximo. La persona que quisiere instalar su solicitud, y enterarse de su sueldo y condiciones, acuda á D. Francisco Groso, que vive calle de Jesús y Ala ría, frente á la Merced, núm. 4, cua to principal. Josef María de los Dolores Picó, hijo de Josef y de Juana de la Rañaga, natural de Cádiz, avecindado en Madrid, su edad 9 años, buena estatura , color trigueño, descolorido, pel…</t>
  </si>
  <si>
    <t>Grouchi</t>
  </si>
  <si>
    <t>…da de V. A. muchos años.” T S. A. R. ha acogido del modo mas benigno esta súplica de los prelados de los Qgtólico's romanos de Irlanda. &gt; Idem /i. • • Escriben de Guernesei que el mariscal Grouchi, después de haber estado allí algún tiempo, había salido para Nueva-Yorck en el navio el Brothers, que manda el capitán Brook. Los generales.Lefebvre y Galli habían ya lle gado á Nueva-Yorck. También se dice que están en la misma ciudad BoriSaint-Vicent y Fél…</t>
  </si>
  <si>
    <t>Grouchy</t>
  </si>
  <si>
    <t>…f Bonaparte , y aun sus criados andan sin libreas: concurre á pocas tertulias, y solo visita á los franceses. Ultimamente hizo un viage á Fiiadelfia, en el cual le acom pañaron el mariscal Grouchy y el general Lefevbre-Desnouettes. En Laudsdowne, donde pasó algún tiempo, te hizo compañía el general Ciausel___ Regnault de S. Juan d’Angely vino últimamente aquí de Chariestown, des pués de haber comprado muchas tierras en la Carolina meridional. Escribe m…</t>
  </si>
  <si>
    <t>…mismo género á lord Castlereagh y á algunos otros ingleses de dis tinción. FRANCIA. París 22 de Octubre. El 19 de este mes se juntó el consejo de guerra permanente para juzgar al general Grouchy ,cuyo hijo presentó un recurso, reducido á que en sustan cia su padre, en calidad de ^ran oficial del imperio, gozaba de la prerogativa de no poder ser juzgado sino por un tribunal supremo imperial; que ha biendo el Rey conservado á todos los oficiales los ho…</t>
  </si>
  <si>
    <t>Gt, Francisco</t>
  </si>
  <si>
    <t>Francisco Gt</t>
  </si>
  <si>
    <t>…arde á V. E. muchos años. Palacio 20 de Junio de 1816. * Por Real resolución á consulta de Ta cámara se ha servido S. M. conce der los honores de alcalde de su Real casa y corte á D. Francisco Gt mea Fernandez, fiscal de lo civil de la audiencia de Sevilla , en ccmidcracion a sus méritos y servicios ,adhesión i su R.al Persona, y defensa de su Soberanía. Habiéndose dado cuenta al Rey nuestro S ñor de la causa formada ante ti consejo de guerra de ofici…</t>
  </si>
  <si>
    <t>Gtenfuegos, Nicasio Alvares de</t>
  </si>
  <si>
    <t>Nicasio Alvares de Gtenfuegos</t>
  </si>
  <si>
    <t>…rcero un examén se creto por los censores á presencia de los opositores. Todo lo cual se hace sa ber de orden del Excitio. Sr. protector de lá Real escuela Veterinaria. Poesías de D. Nicasio Alvares de Gtenfuegos: segunda edición, aumentada con, la tragedia intitulada Pitaco y otras varias composiciones inéditas'. ,Es ya tan conoci do el nombre de Cienfuegos, y tan distinguido el aprecio que hizo el público de sus primeras poesías, que parece superflua toda recomendac…</t>
  </si>
  <si>
    <t>Gu, A’ej.inbo</t>
  </si>
  <si>
    <t>A’ej.inbo Gu</t>
  </si>
  <si>
    <t>…al continúe la suba *a por otro* jo di s y hecho se vuelva á dar cuenta. La persona que qu'sie e hacer mejora á JiJn vara acuda antedicho señor teniente y escribanía del número de D. A’ej.inbo Gu ierrez. £1 Sr. D. Tadeo Soler, del Concejo de Si M. r alcalde decano de la Real casa y corte, se fii servido convocar á’junía general á Jos acreedores á la extinguida casi de D. Esteban Droizlhet y compañía para el domingo 29 de Setiembre'próximo á lis hueve…</t>
  </si>
  <si>
    <t>Gua, Josefa</t>
  </si>
  <si>
    <t>Josefa Gua</t>
  </si>
  <si>
    <t>…á la salud ni á la duración del pelo tenía las calidades de poderlo teñir con mas perfección que todqs los específicos in ventados hasta el dia: por lo cuál se dió á la expresada Doña Josefa Gua darrama la* correspondiente licencia para poder vender la mencionada agua. A. Á A 1 . J . . i V . ^ r</t>
  </si>
  <si>
    <t>Guardia, Rafael Josef de</t>
  </si>
  <si>
    <t>Rafael Josef de Guardia</t>
  </si>
  <si>
    <t>…res primeros de á 5 5 pesos cada uno se han adjudica do á los candidatos D. Juan Saez, D. Benito Rodríguez de Bel vis y D Josef Atanasio Torres ; y los tres segundos de 35 pesos á D. Rafael Josef de Guardia, D. Josef Lorenzo Suarez y D. Vicente Garda; y deseosa la Real junta de condecorar el mérito de D. Ruperto Sacristán, D. Josef Zoilo Ro mán, D. Manuel Godos y Mendoza, D. Vicente de la Fuente y D. Fran cisco Sola, que han manifestado particular instrucción y…</t>
  </si>
  <si>
    <t>Güenduiain, Bernardo María de</t>
  </si>
  <si>
    <t>Bernardo María de Güenduiain</t>
  </si>
  <si>
    <t>…D. Diego María Badil los, del supremo consejo del Almirantazgo, D. Diego Luis de Salido, brigadier de los Reales egérciros, y comandante del parque de Artillería de esta corte, y D. Bernardo María de Güenduiain, capitán de Reales guardias Walonas ; ae los cuales el primero dijo: \ ,, Señor: La villa de Linares, reino de Jaén, representada por la diputatacion que ha nombrado con este solo objeto, tiene el alto honor ce tributar el homenage mas respetuoso y sincero de…</t>
  </si>
  <si>
    <t>Guer, Antonio</t>
  </si>
  <si>
    <t>Antonio Guer</t>
  </si>
  <si>
    <t>…ústica y 8 en pasta. Se hallará en la librería de Rodríguez, calle de las Carretas; y en Cádiz en la de Hortal y compañía. Estampa nueva de nuestra Señora del Carmen, dibujada por D. Antonio Guer rero, y grabada en medio pliego de marca mayor por D. Esléban Boix. Se hallará í 6 rs. en el almacén de estampas de la calle Mayor, frente á la casa del conde de Oñate: hay paues de diferentes tamaños y estampitas para relicarios, y registros de todos los san…</t>
  </si>
  <si>
    <t>Guerra, Antonio Rafael</t>
  </si>
  <si>
    <t>Antonio Rafael Guerra</t>
  </si>
  <si>
    <t>596</t>
  </si>
  <si>
    <t>…nio* El día ¿8 dfcl mes próximo pasado tuvo la honra dé ser presentado á 5. M. con o diputado del cabildo de caballeros jurados del nobilísimo ayun tamiento de U ciudad de Córdoba D. Antonio Rafael Guerra, individuo del mismo cabiido , y comhario de guerra honorario, el cual cumplimentó) á S. M. por su luí uro enlace con k Serma. Sra. Infanta de Portugal Doña MaI:abf,l en los términos siguientes: ,,Señor : El cabildo de caballeros jurados del" nobilísimo ayunt…</t>
  </si>
  <si>
    <t>Guerra, Manuel</t>
  </si>
  <si>
    <t>Manuel Guerra</t>
  </si>
  <si>
    <t>…a Real mano de S. M., y de felicitarle á nombre de la villa de Ledesma y pueblos de su partido por »u augusto enlace, D. Francisco Cándido de Paz, alcalde de la Real Casa y Corte; D. Manuel Guerra, secretario honorario de S. M., y archivero de la •ecretaría de la cámara de Gracia y Justicia y del Estado de Castilla,y Don</t>
  </si>
  <si>
    <t>Guerra, Ministro del Despacho de</t>
  </si>
  <si>
    <t>Ministro del Despacho de Guerra</t>
  </si>
  <si>
    <t>1326</t>
  </si>
  <si>
    <t>…o de S. M. en Palacio á 18 de Noviembre de 1816. =Al canciller de la orden del Toison. Circular del Ministerio de Hacienda de Indias. Con fecha de 10 del corriente me ha pasado el Sr. Ministro del Despacho de Guerra el oficio siguiente: j „ Cumpliendo la Comisión de Reemplazos de Ultramar con lo que se la previno de Real orden en 10 de Junio de este año para que manifestase los medios que en su concepto se podrán adoptar, á fin de reunir las crecidas sumas que se necesit…</t>
  </si>
  <si>
    <t>Guerra, Pedro Cévallos</t>
  </si>
  <si>
    <t>Pedro Cévallos Guerra</t>
  </si>
  <si>
    <t>…s, hija tercera del mismo Sr. Príncipe Re gente. Convenidos por ambas partes por medio de los respectivos ministros comisionados al efecto, que fueron por parte de S. M ¿1 Exctno. Sr. D. Pedro Cévallos Guerra, consejero de Estado, pri mer secretario de Estado del Despacho, y por la de S. A. R. el Príncipe Regente de Portugal el Sr. D. Josef Luis de Souza, mi nistro plenipotenciario cerca de S. M., lo comunicó S. M. á los con cejos por medio de un decreto, con fech…</t>
  </si>
  <si>
    <t>Guerra, Pedro Cevallos y</t>
  </si>
  <si>
    <t>Pedro Cevallos y Guerra</t>
  </si>
  <si>
    <t>…de Colomera, consejero de Estado, caballero gran cruz de la Real y distinguida orden española de Carlos iii, y de la de S. Hermenegildo, y Capitán general de los Reales egércitos; D. Pedro Cevallos y Guerra, consejero de Estado, y primer se cretario de Estado del Despacho universal, é interino del de Gra cia y Ju^tidi, caballero gran cruz de la Real y distinguida or den española de Car os jii, de las de S. Fernando y del Mérito y S. Genaro de las,,Dos Siciiias;…</t>
  </si>
  <si>
    <t>Guerra, Silverio</t>
  </si>
  <si>
    <t>Silverio Guerra</t>
  </si>
  <si>
    <t>…de Burgos de medicina, de edad de 16 á 27 años, se servirá avisarlo á su hermana Doña Francisca Solanich, que reside en Zaragoza, calle del Coso, casa de los Gigantes. Si existen D. Silverio Guerra, cura que era de la Hínojosa del Valle en Mayo de 1800, y Juan de Alava Fernandez, vecino que era en dicho año de Ortigosa, provincia de Soria, ó en su defecto sus herederos, comparecerán ante el cura actual de Móstoles, provincia de Madrid, quien tiene asunt…</t>
  </si>
  <si>
    <t>Guerre, Josef</t>
  </si>
  <si>
    <t>Josef Guerre</t>
  </si>
  <si>
    <t>491</t>
  </si>
  <si>
    <t>491 litase la lancha con un canon de á 8, del cargo del capitán D. Josef Guerre ro, dándole de mi buque algunos marineros, y las pocas municiones que me permitían mis escaseces, y á las seis y media di la vela con Pedraza y Guer rero , avisándole al Sr. comandante general el brigadier D. Juan Bautista Par do, quien aprobó mi determinació…</t>
  </si>
  <si>
    <t>Guerrero, Antonio</t>
  </si>
  <si>
    <t>Antonio Guerrero</t>
  </si>
  <si>
    <t>…ánchez, calle de Ato cha , frente á la plazuela del Angel, y en el’de Cpeáta.,-gradas de S. Felipe el Realé Estampa nueva de S. Luis Qonzaga, de la compañía de Jesús, dibujada ppr Don Antonio Guerrero, y grabada en, cuartilla de marca mayor por D. Luis híoseret. Se vende con otras muchas de igual tamaño eñ el almacén de estampas de la calle Mar yor, frente á la casa del conde de Oñate, á 3 rs. cada una en negro y á ió ilumi nadas. c SUPLEMENTO</t>
  </si>
  <si>
    <t>…á 6 rs. En el almacén de estampas.de la calle Mayor, frente á la casa del conde de Ofía te, se hallará la nueva estampa de S.Francisco Xavier, apóstol de las Indias, dibuja da por D. Antonio Guerrero, y grabada en cuartilla de marca mayor por D. Luis Noséret, á 3 rs. cada una, corno también otras muchas de igual tamaño. : 1 i EN IA IMPRENTA REAL.</t>
  </si>
  <si>
    <t>…e Oñate, se venden las estampas nuevas de Sta. Teresa de Jesús y de S. Cayetano Thiene, fundador y patriarca de los clérigos regulares, en cuartilla de marca mayor, dibuja das por D. Antonio Guerrero, y grabadas por D. Juan Carafa, y otras muchas de igual tamaño, á 3 rs. cada una. Nota. En la noticia del nuevo método de enseñar la música á los ciegos de nacimiento de uno y otro sexo, que se publicó en la gaceta del 23 del pasado, entiéndase que D. Mariano…</t>
  </si>
  <si>
    <t>…de la calle Mayor, frente á la casa del conde de Olía te, se vende la estampa nueva de Sta. Ana, acompañada de la Santísima Virgen María, en cuartilla de marca mayor, dibujada por D. Antonio Guerrero, y grabada por D. Luis Noseret; otras varías de igual tamaño á 3 rs. cada una, países y marina de diferentes tamaños de los mas acreditados profesores. . EN LA IMPRENTA REAL.</t>
  </si>
  <si>
    <t>…os profesores: á 6 rs. cada una. rz Dos vistas del prado de Madrid, dibujadas y grabadas por D. Isidoro Velazquez: á 30 rs.rrSeis estampas de la artillería vo an te, dibujadas por D. Antonio Guerrero y D. Asensio Julia, y grabadas por Don Tomas Enguídanos, D. Rafael Estere y otros: á 1 a rs. cada una.rzLa plegaria de amor, dibujada y grabada por D. Blas Ametller: á 16 rs.r=El amor maligno, por el original de Aníbal Caracci, dibujada por D. Josef Camarón, y grabada por Don R…</t>
  </si>
  <si>
    <t>…o pueda comprender por sí solo. Se .vende en la librería de Dávila, calle* de las Carretas, á 14 rs. Estampa nueva de S. Nicolás de Barí en cuartilla de marca ma3'or# dibujada por D. Antonio Guerrero , y grabada por D. Luis Noseret, que forma colección con las ya publicadas, todas ellas á 3 rs. en negro y á 10 iluminadas. = Retrato del SL P. Pió vh en cuartilla regular, grabado á puntos por D. Juan Bruneti, á « reales en negro y á 6 iluminado. Se hallarán…</t>
  </si>
  <si>
    <t>Guerrero, Josef</t>
  </si>
  <si>
    <t>Josef Guerrero</t>
  </si>
  <si>
    <t>…alguna, continué mi marcha hasta el punto de desembarco á dos leguas de la* población, verificándolo felizmente á las dos de-Ja mañana. Ordené al comandante de las fuerzas sutiles D. Josef Guerrero ocupase á toda costa la boca del Nechí, y la sostuviere en tan to yo seguía; 4 temía r el pueblo. El camino, que es único., no permitía mas for mación quet una hilera continuada, interrumpida por la multitud de troncos y barrizales; se distribuyó completa rac…</t>
  </si>
  <si>
    <t>…oche, en donde desembarqué, é hice un tan vivo fuego al enemigo, que le fueron quemados 10 buques mayores y menores; y al mismo tiempo de mi salida el alférez de milicias graduado D. Josef Guerrero marchó con una partida de 40 hom bres á la ciudad, de la que se apoderó por mas de tres horas, después de ha ber batido á 600 insurgentes, y matado mas de 80, sin que por su parte ha ya tenido mas pérdida que la de siete soldados, retirándose últimamente al c…</t>
  </si>
  <si>
    <t>…o y distan te deV* mas de dos leguas, determiné quitarle la caza para incorporarme. Xos patrones de los buques, marineros y guarniciones todos han llenado su tdeber, en particular D. Josef Guerrero que se vio el mas expuesto. Nuestra 'pérdida ha sido-mi segundo herido , no de gravedad-; en la lancha de Guerrero dos marineros; en el falucho uno; y en la de Pedraza otro, todos de gravedad, y nuestros buques y velas acribillados de metralla ; pero el enemi…</t>
  </si>
  <si>
    <t>Guevara, Francisco Beltran de</t>
  </si>
  <si>
    <t>Francisco Beltran de Guevara</t>
  </si>
  <si>
    <t>…. Don Antonio de Luque 20. D. Bartolomé Repiso 60. Josef Lucena 4. D. Juan de Fio res 60. El gremio de especieros 760 rs. y 10 inrs. El mariscal de camoo D. To mas Zerain i^oo rs. D. Francisco Beltran de Guevara 160. D. Rafael Crespo ico. D. josef Herrera 120. D. Juan Carrillo y Aguayo 70. D. Miguel Mu ñoz 320. D. Rafael Juanicotena 1$. D. Andrés de León 100. D. Antonio Ru iz 60. D. Angel del Riego 100. Geraido de la Fuente ^o. D. Juan de Pa nlagua 60. El colegio de…</t>
  </si>
  <si>
    <t>Gui</t>
  </si>
  <si>
    <t>…estas terminantes disposiciones , y á la som bra de los permisos concedidos en el ano próximo pasado y el corriente á D. Vicente Reltran de Lis, á la Compañía del Guadalquivir y á D. Gui llermo Glass, de Sevilla , se-han hecho y están haciendo de continuo por</t>
  </si>
  <si>
    <t>Guillaume</t>
  </si>
  <si>
    <t>…osto. Escriben de Metz que el famoso Simen de Brieg acaba de ser entregado por los prusianos á las autoridades francesas, y que ya se ha empezado á formarle causa, como también al general Guillaume y á sus cómplices. Simón y Guiilaume fueron los principales autores y gefes de la conspiración trama da por los confederados cuando el segundo bloqueo de aquella plaza, con el objeto de robar y asesinar á los vecinos mas ricos y honrados, á quienes los asciin…</t>
  </si>
  <si>
    <t>Guilleminot</t>
  </si>
  <si>
    <t>…el Príncipe de Waterloo para Leiden, con el fin de visitar la universidad, y ver lo mas apreciabíe de aquella ciudad y de sus inme diaciones* ALEMANIA. I Francfort 24 de Abril. El conde Guilleminot, general francés, y los comisarios prusianos están ú punto ya de concluir el tratado sobre el arreglo de los límites que ha de tener la Francia por Ja parte del Sarre. En seguida este general debe trasla da rse á la parte de'Landau ,en donde ya se le espera p…</t>
  </si>
  <si>
    <t>Guillermo, Josef</t>
  </si>
  <si>
    <t>Josef Guillermo</t>
  </si>
  <si>
    <t>…ia de Dv Pedro Alvares^, á D. Salvador Giménez Padilla, cano? nigo de la santa iglesia catedral de Málaga. El Réy nuestro Señor en atención á los singulares méritos y servicios de D. Josef Guillermo de la Torre, secretario de cámara habilitado de la comi sión nombrada por S. M. para la sustanciación y determinación de causas de Estado, se ha servido concederle los honores de su secretario con el sueldo que obtiene en la misma comisión. En virtud de provi…</t>
  </si>
  <si>
    <t>Guitón</t>
  </si>
  <si>
    <t>3&gt;S cansar en una mala cama. A las n de la noche le despertaron, y le condugeron á otra pieza, en donde estaban reunidos ocho militares, á saber : el ge neral Hullin, el coronel Guitón y los oficiales mayores Barancourt, Ravier, Barrois, Rabb, Autancourt y Molin: estos formaron á toda pri-.sa un pro ceso criminal, que concluyeron á las cuatro de la mañana, y á las cuatro y media ya estaba consumado el atroz asesinato de aquel Príncipe. ESPA…</t>
  </si>
  <si>
    <t>Guiue, Josef</t>
  </si>
  <si>
    <t>Josef Guiue</t>
  </si>
  <si>
    <t>…a JorJá; en Sevilla con D. E»iéban Martí nez, coi red't de número; en Valencia con D. Domingo Casan il , encargado del arregi.- del Real aid.ivo, calle de Juristas, y en Cádiz con D. Josef Guiue ino Pa.a icini. Se halla vacante el partido de cirujano de la villa de Aranzueque, provincia de Guadalajara, distante de Madrid nueve leguas, pueblo de carrera para Sacedon y otros: su dotación 60 fanegas de trigo, casa de balde, y varias asistencias fuera de…</t>
  </si>
  <si>
    <t>Guizi, Martin Antonio</t>
  </si>
  <si>
    <t>Martin Antonio Guizi</t>
  </si>
  <si>
    <t>…rederos ausentes de Don Juan Francisco Solano, que parece son los hijos de D. Bartolomé Solano, los here deros de D. Alanuel de Solano y Doña Paula Solano, que se halla casada con Don Martin Antonio Guizi, para que en el preciso término de 20 días, contados desde esta publicación, se presenten en el juzgado de dicho señor y escribanía citada por medio de procuradores y con poder bastante y la debida direccu*.n de letrado á usar del traslado que les está confer…</t>
  </si>
  <si>
    <t>Gutiérrez, Alejandro</t>
  </si>
  <si>
    <t>Alejandro Gutiérrez</t>
  </si>
  <si>
    <t>32</t>
  </si>
  <si>
    <t>…as v derechos de dichas posesiones. Por providencia del Sr. D. León de la Cámara Cano, del consejo de S M., te niente corregidor de esta villa, refrendada del escribano del número D. Alejandro Gutiérrez, su fecha 2 del corriente, se manda citar y emplazar a todos los acreedo res á los concursos formados por D. Josef Gerónimo Ruiz , boticario que fue en esta corte, y D. Julián Valentín Ruiz, sú hijo, radicados en dicha escribanía, pa ra que en el dia 17 del m…</t>
  </si>
  <si>
    <t>Gutiérrez, Bernardtno</t>
  </si>
  <si>
    <t>Bernardtno Gutiérrez</t>
  </si>
  <si>
    <t>…ducir sus acciones; apercibidos que no comparecien do pasado dicho término se providenciará lo conveniente, y les parará el perjuicio que haya lugar. Se desea saber el paradero de D. Bernardtno Gutiérrez, organista mayor que fue de la catedral de Burgos, el cual durante esta gloriosa insurrección, movido por el zelo de la patria y religión, sentó plaz^i en el regimiento provincial de dicha ciu dad para maestro de música, y fue prisionero en el ataque de Vitor…</t>
  </si>
  <si>
    <t>Gutiérrez, Camilo</t>
  </si>
  <si>
    <t>Camilo Gutiérrez</t>
  </si>
  <si>
    <t>…u toridades napolitanas para que se verifique la egecucion del convenio. AUSTRIA. Viena 2j de Agosto. S. M. el Emperador acaba de nombrar comendador de la orden de San Leopoldo al caballero D. Camilo Gutiérrez de los Ríos , encargado de Ne gocios que ha sido hasta ahora de S. M. el Rey de España cerca de nuestra corte. Este ministro,que ha manifestado constantemente los sentitnLntos mas puros de lealtad y patriotismo, disfruta aquí de la mayor consideración. El Rey…</t>
  </si>
  <si>
    <t>Gutiérrez, Eugenio María</t>
  </si>
  <si>
    <t>Eugenio María Gutiérrez</t>
  </si>
  <si>
    <t>…sta negociación. ESPAÑA. Madrid i.° de Mayo. El 25 de Abril tuvieron el honor de cumplimentar á S. M. y besar su Real mano como comisionados de la M. N. y M. L. ciudad de Sigüenza D. Eugenio María Gutiérrez, coronel de infantería, D. Josef María Gonzá lez, diputado en el ilustre ayuntamiento, y D. Genaro Blanco; pronuncian do el primero el discurso siguiente : „Señor: Vuestra fiel ciudad de Sigiienza, que no ha cedido á. ninguna del reino en lealtad á vuestra Re…</t>
  </si>
  <si>
    <t>Gutiérrez, Fernando</t>
  </si>
  <si>
    <t>Fernando Gutiérrez</t>
  </si>
  <si>
    <t>…abruna, abad de Besalú; D. Santiago Diez Rodríguez, rector del lugar de Matiago en el obispado de Ciudad-Rodrigo ; D. Fermin Gil de Linares, fiscal de la audiencia de Extremadura; D. Fernando Gutiérrez, vecino de Campeche; D. Josef Moreno Martínez , contador de la tesorería gen. ral ;;D. Pedro Vázquez Balles teros, ministro de la Audiencia de Aragón ; D. Josef Ruiz de Copegni, vocal que fue de la junta de Burgos; D. Ventura Tagle Soasaga, racionero de la ca…</t>
  </si>
  <si>
    <t>Gutiérrez, Ildefonso</t>
  </si>
  <si>
    <t>Ildefonso Gutiérrez</t>
  </si>
  <si>
    <t>…Veracruz, con un parte que recibió del comandante del cantón de Thcotalpan D. Juan Bautista Topete, avi sándole de haber mandado una división de 114 hombres al mando del te niente D. Ildefonso Gutiérrez, para perseguir al cabecilla Francisco de Pau la , que con su gavilla ocupaba el punto de Boca de Costal, entre Alv.irado y Veracruz , única reunión de rebeldes que había en aquel inrermedio. Gu tiérrez empleó tres dias en la expedición ; y á pesar de sus esf…</t>
  </si>
  <si>
    <t>Guyor</t>
  </si>
  <si>
    <t>226</t>
  </si>
  <si>
    <t>…iese. PAISES-B A JOS-UNID OS. Groninga 22 de Enero. E! instituto de sordo- mudos establecido en esta ciudad acaba de celebrar su jubileo de 2; años. En el de 1790 fue cuando M. H. D. Guyor, profe sor honorario actualmente de la academia de Groninga, y digno émulo del abate i’Epee, echó los primeros fundamentos de este hermoso edificio con el auxilio de algunos habitantes generosos. Aunque los principios fueron peque ños, la ‘olicítud y los desv…</t>
  </si>
  <si>
    <t>Guzman, Alonso Perez de</t>
  </si>
  <si>
    <t>Alonso Perez de Guzman</t>
  </si>
  <si>
    <t>…Silva, Alonso Cano, Bartolomé de Murólo, y Juan de Herrera. “Cua derno 13: D. Iñigo López de Mendoza, Juan Gines de Sepúlte 'a, hrarwisr.o de Salinas, F¡. Bcniio Gerónimo Fe je o, D. Alonso Perez de Guzman , y Rodrigo D iaz de Vivar. Se vende cada cuaderno cen un epítome de la vida de los sugcfoi retratados á 50 rs., y cada estampa suelta á 8. ( Se ccntinu.ira.) No hábiéndose verificado el remate señalado para el dia 1 a del corriente mes de la dehesa titulada…</t>
  </si>
  <si>
    <t>Guzman, Félix Perez de</t>
  </si>
  <si>
    <t>Félix Perez de Guzman</t>
  </si>
  <si>
    <t>…la-^ trava, su gobernador el coronel D. Francisco Fernandez de Sierra, caballe ro de las Reales órdenes de caballería de Calatrava y de la militar de San Hermenegildo; el teniente coronel D. Félix Perez de Guzman, secretario mi litar y político de la capitanía general de Castilla la Nueva, y el de igual clase D. Mariano Perez de Guzman, destinado á la comisión de gefes y ofi ciales que existe en esta corte á las órdenes.del ministro de la Guerra; de los cuales el prim…</t>
  </si>
  <si>
    <t>Guzman, Francisco</t>
  </si>
  <si>
    <t>Francisco Guzman</t>
  </si>
  <si>
    <t>…do hubo egercicios públicos de historia natural farmacéutica, en los que D. Josef Ma ría Hernández , D. Manuel Saldiña, D. Pedro Navas, D. Antonio de la Barrera, O Pedro Mezquia y D. Francisco Guzman, discípulos de este Real colegio de Farmacia de S. Fernando, manifestaron su grande aplicación</t>
  </si>
  <si>
    <t>Guzman, Mariano Perez de</t>
  </si>
  <si>
    <t>Mariano Perez de Guzman</t>
  </si>
  <si>
    <t>…y de la militar de San Hermenegildo; el teniente coronel D. Félix Perez de Guzman, secretario mi litar y político de la capitanía general de Castilla la Nueva, y el de igual clase D. Mariano Perez de Guzman, destinado á la comisión de gefes y ofi ciales que existe en esta corte á las órdenes.del ministro de la Guerra; de los cuales el primero arengó á S.M. en los términos siguientes: „Señor: X* diputación de la ciudad de Almagro, cabeza del partido cam po de Cal…</t>
  </si>
  <si>
    <t>Guzman, Mencía de</t>
  </si>
  <si>
    <t>Mencía de Guzman</t>
  </si>
  <si>
    <t>…amente en dicha convocatoria á los acreedores que se hallan graduados en décimotercio, décimocuarto y decimoquinto lugar, que lo son: la testamentaría de la condesa de Villaverde, Doña Mencía de Guzman, D. Mi guel de Abaurre, el concurso de S. Agustín de la villa de Carabajales, el convento de S. Agustín calzados de la ciudad de Valladolid, D. Francisco Dávila , Doria Isa bel Formento, D. Juan Antonio de la Rumbe, el convento de S. Quirce , órclcn de S. Ber…</t>
  </si>
  <si>
    <t>G’mborinc, Miguel</t>
  </si>
  <si>
    <t>Miguel G’mborinc</t>
  </si>
  <si>
    <t>…pas ta. be hallará en la librería de Oiea, calle de la Montera. En ia misma librería se halla el Observatorio rústico del mismo autor. Retrato del Ruy D. Fernando vii, grabado p^r D. Miguel G’mborinc: po drá servir para colocarse en el frontispicio de la colección de los decreto*, de S. M* Se hallará en la librería de Escribano, calle de Jas Carreras, y en ia de Campo, «tille de Alcalá. En el almacén de estampas de la calle Mayor, frvnte á la casa del con…</t>
  </si>
  <si>
    <t>Ha-</t>
  </si>
  <si>
    <t>…ntera militar de Transilvania 17 4©. Total: 27.956© habitantes, y 12.046,410 millas cuadradas. ALEMANIA. laudan j de Maro. Esta ciudad está ocupada por los bavaros mandados por el general Ha-</t>
  </si>
  <si>
    <t>Habert, Ludovicó</t>
  </si>
  <si>
    <t>Ludovicó Habert</t>
  </si>
  <si>
    <t>…plaza dirigirán sus memoriales al ayuntamiento de la misma villa, francos de porte, hasta el dia 15 del próximo mes de Enero. Compendium theologíae ad usum examinandorum, auctore D. Ludovicó Habert: un tomo en 8.°z= Compendium theoiogiae dogmaticae et moralis, ad usum examinandoruav, auctore R. P. Toma ex Charines: dos tomos en 8.°~ Compendio de teología moral del P. Lárraga: dos tomos en 8.°«M.Traduc¿ion del latin al castellano con, varias, adiciones y…</t>
  </si>
  <si>
    <t>Hacemos, Soberano de Nassau</t>
  </si>
  <si>
    <t>Soberano de Nassau Hacemos</t>
  </si>
  <si>
    <t>…dado de Kaízenclu— bogen en nombre de S. A. S. el duque de Nassau, con cuyo .motivo se pu blicó un manifiesto de S. A. que entre otras cosas dice: „GuiiIermo por la gracia de Dios duque Soberano de Nassau Hacemos saber que á consecuencia del tratado concluido en 31.de Mayo del año pa sado entre S. M. el Rey de Prusia y nuestros antecesores en, la regencia, y de las negociaciones ulteriores que le siguieron, hemos, nombrado comisarios para tomar en nuestro nombre poses…</t>
  </si>
  <si>
    <t>Hacienda, Secretario del Despacho de</t>
  </si>
  <si>
    <t>Secretario del Despacho de Hacienda</t>
  </si>
  <si>
    <t>…(Sr. Duque dei Infamado, Presidente de él, con fechá i 1 de'Neviefribre del ano próximo pasado vía Real; prden siguiente :&gt; „ Exorno. Sr.: Con fecha de 7 del corriente me dice el Sr. Secretario del Despacho de Hacienda ló que sigue:</t>
  </si>
  <si>
    <t>…acia y Justicia» ha comuni cado al Consejo con fecha 2 de este mes, por medio del limo. Sr. Decano, la Real orden que sigue: „llmo. Sr.: Con fecha de 12 de Julio último me dice el Sr. Secretario del Despacho de Hacienda lo siguiente: „Para cumplir debidamente el obje to que el Rey se ha propuesto en el importante asunto del arreglo de arance les del Reino, se ha servido mandar que la Jama nombrada á este efecto pi da a los Intendentes , Consulados y demas corporaciones ó sug…</t>
  </si>
  <si>
    <t>…de orden de S. M. para su inteligencia y cumplimien to. Dios guarde á V. muchos años. Madrid 11 de Diciembre de 1816. ' Circulares de la Dirección general de Rentas. 1.a El Excmo. Sr. Secretario del Despacho de Hacienda con fecha 20 de! corriente nos ha comunicado la Real orden que sigue: ,,E! Sr. Secretario del Despacho de ia Guerra con fecha 30 de Octubre próximo me dice lo siguiente: ,,Excmo. Sr.: Al Capitán general de Castilla la Vieja digo con esta fecha lo siguiente: H…</t>
  </si>
  <si>
    <t>Halle</t>
  </si>
  <si>
    <t>…. Los señores conde Lacepede, Ri chard , Pinel, el caballero Geolfroy-Saint Hilaire, Larrei 1 le y Dumeril. Undécima sección. Medicina y Cirugía. Los señores Chevalier, Portad, el caballero Halle, el caballero Peiletan, el barón Percy, el barón Corvisar, y Deschamps. El caballero Delambre será secretario perpetuo para las ciencias matemá ticas, y el caballero Cuvier para las ciencias tísicas. La academia de las Nobles Artes conservará la organización…</t>
  </si>
  <si>
    <t>Hallin</t>
  </si>
  <si>
    <t>…alla en el dia en Aquisgran. Mr. Mcrlin de Douai ha Conse guido licencia para permanecer en la hacienda de Grand-Bigard, X tres leguas de aqui, por hallarse gravemente enfermo. El general Hallin , que se hallaba aqui con un nombre supuesto, ha lo-</t>
  </si>
  <si>
    <t>Han, Secretario del Despacho de</t>
  </si>
  <si>
    <t>Secretario del Despacho de Han</t>
  </si>
  <si>
    <t>…ia y satisfacción. Dios guarde á V. S. muchos años. = Palacio 2% de de Febrero-de *816.^Ma nuel López Araujo. Ci rcular de la Tesorería general. Con fecha 15 del actual me dice el Sr. Secretario del Despacho de Han cienda lo siguiente: „E1 Sr. Secretario del Despacho de Estado me dice con fecha 14 del cor-* ríeme lo que sigue: „ Excmo. Sr.: El Rey nuestro Señor, animado del ma$ vivo deseo de. cumplir religiosamente las obligaciones que se Impuso .por el artículo i.° adi…</t>
  </si>
  <si>
    <t>Haro, Antonio Evaristo de</t>
  </si>
  <si>
    <t>Antonio Evaristo de Haro</t>
  </si>
  <si>
    <t>…ervera del Rio Pisuerga á D. Josef Joaquín Yagiie: para la de Mairena de Alcor á D. Miguel Gordo: para la de Villadiego á D. Ca simiro de la Piedra y Urrutia.: para la de Morata á D. Antonio Evaristo de Haro: para la de Granadilla á D. Feliciano Centeno: para la de Villagarcía á D. Josef Martínez Sarabia: para la de Arroyo del Puerco á D. Pedro Alzorriz Morgado : para la de Monteagudo á D. Francisco Fernandez Molina: para la de Mombeltran á D. Benito Gabriel de A…</t>
  </si>
  <si>
    <t>Haro, Pascual de</t>
  </si>
  <si>
    <t>Pascual de Haro</t>
  </si>
  <si>
    <t>…gar y S. Saturnino, á D. Juan Orduña y Argel: para la de Zafra a D JosefPonce de León y Navarrete: para la de la Mora en Castilla á D. Félix Fernandez Avilés; para la de Posadas á D. Pascual de Haro: para la dt Peñaliel á D. Josef Branchat: para la de Alama de Murcia á D. J jan de Dios Ruiz y Ruiz: para la de Fernan-Caballero, Fuente del Fre 1 o y Malagon á D. Josef Francisco Florez Viilamil: para la de la debela d ’* ¡ro blados del Castañar á D. Francis…</t>
  </si>
  <si>
    <t>Harra, Cayetano</t>
  </si>
  <si>
    <t>Cayetano Harra</t>
  </si>
  <si>
    <t>…33* *9374* * 996110, 308592, 317537* 3356?7» 343°5 2 f 343°75 » encabezados asimismo al citado Adanero, y endosados últimamente seis de ellos á D. Mariano de Urbieta: otros seis á D. Cayetano Harra, y el otro á D. Tomas de Urrutia: y habiéndose comunicado traslado á dichos sugetos y demas que se consideren con derecho á dichos vales de la demanda puesta por el monte pió, se les cita, llama y emplaza por el presente, á fin de que dentro del preciso térmi…</t>
  </si>
  <si>
    <t>Hcíd</t>
  </si>
  <si>
    <t>…y, fue condenado á muerte el 27 de es te mes por el consejo de guerra de Strasburgo. Las tropas suizas que están en Besa nznu se han repartido en dos batallo nes , mandados por ti capitán Hcíd gger y por el teniente coronel Riaz. El primero de estos batallones ocupa el fuerte Grition. Se esperan en la misma ciudad muchas partidas de reclutas suizos. Las cartas de Amsterdam de x 1 del corriente anuncian que se hallan en aqueila ciudad mas de 300 emi…</t>
  </si>
  <si>
    <t>He, Nicolás</t>
  </si>
  <si>
    <t>Nicolás He</t>
  </si>
  <si>
    <t>…feliz reinado, parece por todos títulos acreedora á un lugar muy distinguido la que en la ocasión de visitar S. M. la universidad de Alcalá pronunció su catedrático de elocuencia D. Nicolás He redero y Mayoral, de la que se publican extractados los pasages siguientes, á falta de suficiente espacio para darla á conocer íntegramente. ,,Vuestros admirables decretos en favor de la literatura han hecho, Se ñor, en mi ánimo una impresión tan fuerte, que…</t>
  </si>
  <si>
    <t>Hechilla, Juan</t>
  </si>
  <si>
    <t>Juan Hechilla</t>
  </si>
  <si>
    <t>…Gerónimo Gó mez uno: D. Fernando Pareja uno: D. Martin Ginoves 10 rs.: D. Santiago Gallego un par de zapatos: D. Manuel Alonso uno: D. Antonio Chalanzon uno:D. Santiago Treve uno: D. Juan Hechilla uno: D. Ricardo Muñoz uno: D. Marcos Unzue uno: D. Manuel García ur.o: D. Juan Ocon uno: D. Manuel Cono uno: D. Fernando Carrillo uno: D. Josef Cantalapiedr» uno: D. Tomas Medina uno: D. Josef Salinas uno: D. Fernando Acuña uno: D. Nicolás Suarcz dos: D. Jose…</t>
  </si>
  <si>
    <t>Henrique</t>
  </si>
  <si>
    <t>…a de cuantas se han hecho hasta ahora: 3 tomos en 4.0 niarquilla. c—.Demostración histórica del verdadero valor de todas las monedas que corrían en Castilla durante el reinado del Sr. D. Henrique iv, y de su corres pondencia con las del Sr. D. Cirios iv; con un apéndice de instrumentos que jus tifican el valor de las mismas, y noticia de los precios de los granos, carnes y pes cados,Jornales de labradores y artistas en aquel tiempo y su equivalencia á…</t>
  </si>
  <si>
    <t>…nfantas de aquel reino. V. M. sabe que fueron de aquella Real familia Doña Urraca , muger de Don Fernando n; Santa Teresa, de D. Alfonso ix, ambos Reyes de León; Do ña Mafalda, de D. Henrique i; Doña Constanza, de D. Fernando iv; Do ña María, de D. Alfonso xi; Doña Beatriz, de D. Juan i; Doña Isabel, de D. J uan ii; Doña Juana, de D. Henrique iv; Doña Isabel, del Emperador D. Carlos v, primero entre los Reyes de este nombre; Doña María, de Don Fel…</t>
  </si>
  <si>
    <t>Henriquez, Mariano Muñoz Gómez</t>
  </si>
  <si>
    <t>Mariano Muñoz Gómez Henriquez</t>
  </si>
  <si>
    <t>…ara el de Setenil á D. Josef París y Romero, y reponer en el de Dueñas á D. Pedro Diez Canseco: para la vara de alcalde mayor de Roa á D. Do mingo Fuentenebro : para la de Potes á D. Mariano Muñoz Gómez Henriquez: para la de Cervera del Rio Pisuerga á D. Josef Joaquín Yagiie: para la de Mairena de Alcor á D. Miguel Gordo: para la de Villadiego á D. Ca simiro de la Piedra y Urrutia.: para la de Morata á D. Antonio Evaristo de Haro: para la de Granadilla á D. Feliciano…</t>
  </si>
  <si>
    <t>Henry</t>
  </si>
  <si>
    <t>…speraban sacar grandes utilidades de los aguardientes de granos del Norte. Escriben de Burdeos cjue el- 24 del mes pasado, á las 10 de la mañana , el buque francés nombrado César, capitán Henry, cargado por cuenta de los Sres. Balguerie, Sarget y compañía, después de haber levado el ancla para bajar el rio, y dirigirse á la India oriental, baró casi enfrente del sitio d &gt;nde ■estaba anclado, siendo la causa el casco de un,navio que hace muchos años…</t>
  </si>
  <si>
    <t>Her</t>
  </si>
  <si>
    <t>…alcalde mayor en la noche del dia 5 á ver á la joven referida; y después de un juicioso examen del motivo de-su extravío de la familia Real, tiempo que habia estaba separada de su Sr. Her mano, y otras cosas, fue menester poco para desengañarse y desengañarla de su error, y con dulzura y eficacia la persuadió á que reflexionase bien lo que decía ; pues si en la afirmativa seria singular el placer y honor de restirtuírla al seno de la familia R…</t>
  </si>
  <si>
    <t>Herboso, Josef Ortiz de</t>
  </si>
  <si>
    <t>Josef Ortiz de Herboso</t>
  </si>
  <si>
    <t>…ra persona que supiese el paradero ó existencia de los señores Escuza, hermanos y compañía., del comercio que fueron de esta villa y corte de Madrid, se servirá avisarlo en ella á D. Josef Ortiz de Herboso, procurador de los Reales conse jos y agente general de los Cinco gremios mayores de ella, y en Bilbao á D. Anto nio de Aldape y Albíz, vecino y de su comercio. Diario del alma en presencia de su Dios*, le dedica al Ret nuestro Señor Don Fernando vri el Rmo.…</t>
  </si>
  <si>
    <t>Heredia, Antonio de Córdoba y</t>
  </si>
  <si>
    <t>Antonio de Córdoba y Heredia</t>
  </si>
  <si>
    <t>…e vive en esta corte, calle de la Ruda, nú mero 5, cuarto principal, quien lo entregará todo. En 5 de Octubre próximo pasado falleció en esta corte á los 84 años de edad el Excmo. Sr. D. Antonio de Córdoba y Heredia, consejero de Estado, teniente general de los Reales egércitos,caballero de la distinguida orden de S. Juan &lt;de Jerusalen, gentilhombre de cámara de S. M. &amp;c. Comenzó su car rera militar en i.° de Agosto de 1745 en clase de cadete del regimiento de caballería…</t>
  </si>
  <si>
    <t>Heredia, Juan Crisóstomo López Fernandez de</t>
  </si>
  <si>
    <t>Juan Crisóstomo López Fernandez de Heredia</t>
  </si>
  <si>
    <t>…el Estable de Juan Botella ó Dembotell, en el término despoblado del lugar de Almacellas, sobre cuya perte nencia se halld pendiente pleito en'dicho supremo consejo á instancia de D. Juan Crisóstomo López Fernandez de Heredia, Dona María Azlor y Villavicencio, ve cinos de Zaragoza, condes que fueron de Buretaoy, por los tutores y curadores de los hijos y herederos de estos, á fin de que en el término de 30 dias perentorios comparezcan en dicho pleito por la escribanía de cámara de…</t>
  </si>
  <si>
    <t>Heredia, Ramón Rull y</t>
  </si>
  <si>
    <t>Ramón Rull y Heredia</t>
  </si>
  <si>
    <t>…teresantes que comunicar les sobre cierto incidente que les acaeció en el citado año. D. Ambrosio Ortega y Ruiz, residente en esta corte, tiene que comunicar asuntos importantes á D. Ramón Rull y Heredia, administrador que fue del Exce lentísimo Sr. Duque de Berwick en el marquesado de la Mota de Toro, y no sa biendo cual es su destino le suplica tenga á bien anunciárselo por el correo. Definiciones y elementos de todas las ciencias: obra útil para la educaci…</t>
  </si>
  <si>
    <t>Heredia, Rosa</t>
  </si>
  <si>
    <t>Rosa Heredia</t>
  </si>
  <si>
    <t>…ones á una de las huérfanas de los militares ó patriotas que hubieren muerto en defensa de la justa causa de la nación, ha cabido en suerte del primer extracto de la de este dia á Doña Rosa Heredia , hija del patriota D. Josef, muerto en ac ción de guerra. La extracción siguiente $e egecutará el dia 18 de Noviembre. ARTICULO DE OFICIO. El Rey nuestro Señor se ha servido nombrar en el territorio de las Qr{:) Siendo ya muy crecido el número de las felicit…</t>
  </si>
  <si>
    <t>Hergen, Cristiano</t>
  </si>
  <si>
    <t>Cristiano Hergen</t>
  </si>
  <si>
    <t>…s muestras de amor y reconocimiento á la Real Persona; lo que admitido por S. M. ha mandado se publique en la gaceta. •— ' .1 i—— 1 — i ^ ......................... I ■I————■«——m 1 D. Cristiano Hergen, profesor del Real estudio de mineralogía estable cido en esta corte, empezará sus lecciones publicas por disposición de la Jun ta de Protección del museo de ciencias naturales el día 18 del corriente mes á las 11 de la mañana, y las continuará todos los mart…</t>
  </si>
  <si>
    <t>Hermano</t>
  </si>
  <si>
    <t>…em ne función religiosa en la iglesia parroquial de S Bartolomé el Reai en festi vidad de los dias de nuestro legítimo y amado Monarca, y por la feliz unión y enlace de S. M. y su Sr. Hermano el Serrao. Sr. Infante D. Carlos Mana con las excelsas Infantas de Portugal. El dicho ayuntamiento compuesto de los regidores D. Pablo López, el capitán D. Dionisio Amelo, D. Máximo de Avila y D. Rafael Bautista Ca ntara , y los diputados D Manuel Ahugetas, D…</t>
  </si>
  <si>
    <t>Hermcsilta, Juan Martínez de</t>
  </si>
  <si>
    <t>Juan Martínez de Hermcsilta</t>
  </si>
  <si>
    <t>…al junta de comercio y agricultura con 640 rs.: la Sra. marqúésa deVilIo-l res con 320 rs.: la Sra. baronesa de Amella con 60 rs. para un premio en la enseñanza de la compañía: el Sr. D. Juan Martínez de Hermcsilta con i 2ors.; para las Escuelas Pías: los Sres. D. Tomas Naúdin y D. Joaquín Ferraz y Cornel con ico rs. cada uno con destino á lasescuelas.de los arrabales ; y el Sr. D. Manuel Ortells con 60 rs. para un premio. : &gt; , Habiendo ocupado los premiados el lugar d…</t>
  </si>
  <si>
    <t>Hermosino, Benito</t>
  </si>
  <si>
    <t>Benito Hermosino</t>
  </si>
  <si>
    <t>…a uno: el tesorero del cabildo dos: D. Pascual Suarez uno: D. Lidro Benitoa uno: D. Ramón Arquello dos : D. Pedro Gastaniaga uno: D. Juan Bros dos: D. Manuel Chicarro ocho reales: D. Benito Hermosino dos pares de zapatos: D. Ignacio Lorenzana dos. D. Manuel Mercadillo uno: D. Ma nuel Rodríguez uno: D. Manuel Yolis dos: D. Bernardino 1 erremos uno: D. Valentín Bustamante dos: D. Joaquín Suarez uno: D Juan de Dios dos: D. Bernardo Bustamante uno: D. Donato…</t>
  </si>
  <si>
    <t>Hernández, Andrés García</t>
  </si>
  <si>
    <t>Andrés García Hernández</t>
  </si>
  <si>
    <t>…Igual gracia de título de Castilla con la denominación de marques de la Reunión de Nueva-España al teniente general D. Francisco Xavier Venegas. Honores de la Cámara de Castilla á D. Andrés García Hernández, arce diano de Vivero en la catedral de Mondoñedo; D. Justo Ibar Navarro, consejero honorario con sueldo del Consejo Real; D. Amonio María Izquier do, conventual de justicia en la orden de S. Juan, y Secretario de Cámara de S. A. R. el Sermo. Sr. Infante D. C…</t>
  </si>
  <si>
    <t>Hernández, Antonio</t>
  </si>
  <si>
    <t>Antonio Hernández</t>
  </si>
  <si>
    <t>…ntemplen con derecho* á’Jos bícncr quedados por él fallecimiento ábintestato del soldada que fue de Reales Guardias Españolas, y ordenanza perpe tua de la tesorería mayor de S. M. D. Antonio Hernández, para que dentro del preciso término de 20 dias, que por segundo se les concede, acudan a dicho juzga do privilegiado y escribanía del .mismo al cargo de IX Román Lorenzo Calvo, que lo es de Cámara de dicho Consejo supremo de Guerra, por medio de procurador d…</t>
  </si>
  <si>
    <t>…onas que se juzguen con derecho á los bienes quedados por él fallecimiento abintestato del soldado que fue de Reales Guardias Españolas, y ordenanza de la tesorería mayor de S. M. D. Antonio Hernández, para que dentro del preciso tér mino de 10 dias, que por tercero y ultimo se les concede, acudan á dicho juzgado privilegiado y escribanía del mismo al cargo de D. Román Lorenzo Calvo, que lo es de Cámara de dicho Supremo Consejo, por medio de procurador, co…</t>
  </si>
  <si>
    <t>Hernández, Antonio Castejon y</t>
  </si>
  <si>
    <t>Antonio Castejon y Hernández</t>
  </si>
  <si>
    <t>…e presentarse á besar la Rea! mano de S. M., y de felicitarle con el plausible motivo de su efectuado ma trimonio con la Reina nuestra Señora Doña María Isabel de Braganza el Lie. D. Antonio Castejon y Hernández, regidor perpetuo de L. M. N. y L. ciudad de Plasencia, alcalde mayor de la villa de Navalcarnero , y el se ñor D. Josef de Arineridariz, brigadier de los Reales egércitos, exento del Real cuerpo de Guardias de la Persona del Bey, y caballero de la Real y mil…</t>
  </si>
  <si>
    <t>Hernández, Casimiro</t>
  </si>
  <si>
    <t>Casimiro Hernández</t>
  </si>
  <si>
    <t>…mayor dé Guadalest y su valle á D. Lorenzo Lorca y Perez: para la de la Puebla de Vaibona á D. Pedro Amonio Portillo y Clemente: para la de Estadilla, en la ba ronía de Castro, á D. Casimiro Hernández: para la de Betera á D. Francis co Albero y A Ibero: para la de Vi llama re liante á D. Gerónimo Pedros: pa ra la de Pedrcguer á D. josef Cata i á y Cruañes; y para Ja de Bcnmjó ¿ D. Joaquín Llacer y Cortes. Continuación de las estampas que se venden en la Re…</t>
  </si>
  <si>
    <t>Hernández, Cayetano</t>
  </si>
  <si>
    <t>Cayetano Hernández</t>
  </si>
  <si>
    <t>…l egtrcicio. Al día siguiente se presentaron en el mismo lugar 37 discípulos de la cla se de e'crlbir y leer; y luego que en nombre de sus compañeros pidió la atención del publico D. Cayetano Hernández, pronunció D. Cirilo Mentón un discurro sobre la necesidad de educar á los niños en los principios de la religión católica ; después de lo cual leyeron en los lugares que los concur rentes les señalaron de varios libros castellanos, explicaron la doctrina cri…</t>
  </si>
  <si>
    <t>Hernández, Joaquín</t>
  </si>
  <si>
    <t>Joaquín Hernández</t>
  </si>
  <si>
    <t>…Galceran, D Josef Sada, D. Ignacio Palacios, D. Tomas Diago, y los citados D Josef Perez y D. Juan Pablo Rodríguez. En trigonometría plana D. Manuel Ban dujo, O. Cándido Pulleiro, D. Joaquín Hernández, D. Eusebio Arróspide, D. Ramón González ,D. Domingo Balay y D. Vicente M itis.En trigonome tría esférica D. Francisco Galceran, D. Lino Pacheco, D. Marcelino Deus, y los citados Hernández, Arróspide, Bandujo , Pulleiro, González y Balay, feu cosmografía dich…</t>
  </si>
  <si>
    <t>…eran, D. Josef Sada, D. Ignacio Palacios , D. Tomas Díago, y los citados D. Josef Perez y Don Juan Pablo Rodríguez. En trigonometría plana D. Manuel Bandujo, Don Cándido Pulleiro, D. Joaquín Hernández, D. Eusebio Arróspide, D. Ra món González, D. Domingo Valay y D. Vicente Matis. En trigonometría esférica D. Francisco Gaiceran, D. Lino Pacheco, D. Marcelino Deus, y los citados Hernández, Arróspide, Bandujo, Pulleiro, González y Va lay. En cosmografía dicho…</t>
  </si>
  <si>
    <t>Hernández, Manuel</t>
  </si>
  <si>
    <t>Manuel Hernández</t>
  </si>
  <si>
    <t>…de Se villa; D. Josef María Pau y Cánovas, vecino de Huesca; D. Ramón Anto nio Pico,.contador de la provincia de la Mancha; D. Josef de Alburruza, coronel de los Reales egérciros; D. Manuel Hernández , comisario ordenador, y regidor de la ciudad de S. Juan de Puerto-Rico; barón de Ortiz, digni dad de la catedral de Barcelona ; D. Melchor de Rocabruna, abad de Besalú; D. Santiago Diez Rodríguez, rector del lugar de Matiago en el obispado de Ciudad-Rodrigo…</t>
  </si>
  <si>
    <t>Hernández, Sebastian</t>
  </si>
  <si>
    <t>Sebastian Hernández</t>
  </si>
  <si>
    <t>…co Villegas 2. D Josef Pavat 23. El R. P. general de Gerónimos 46 La co munidad del Carmen calzado 40. La de padres Preinostratenses 80. D. Ra món Moreda 23. D. Félix Arguello 40. D. Sebastian Hernández 70. D Jo sef Broche ro 8. D. Josef Uaabal 69. D. Francisco Crespo 20. Agustín Bar tolomé 13. D. Eustbio Arrabal 20. Fernando Gómez 20. D. Vicente Telio 4. D. Manuel Cisneros 23. D. Valentín.Ximenez 20. D. Carlos Milre40. D. Esteban Gómez 20. D» Felipe Eneri y…</t>
  </si>
  <si>
    <t>Hernández, Tiburcio</t>
  </si>
  <si>
    <t>Tiburcio Hernández</t>
  </si>
  <si>
    <t>…admiración que la sociedad no encontrase un nues tro que reuniese tedas estas caí dades á la verdad harto raras para estar jun tas en una mi- ma pepona ; mas al fin las encontró. D. Tiburcio Hernández, á pesar de vivir agoviado bajo de las mas molestes fatigas del foro, y de te ner una vivacidad tremada , ha sacrificado su talento , su descanso, su ilus tración y su genio á beneficio de ios sordo* mudos. Ei es ei restaurador en</t>
  </si>
  <si>
    <t>Hernández, Vicente</t>
  </si>
  <si>
    <t>Vicente Hernández</t>
  </si>
  <si>
    <t>…io de sus pobres, y también paños ordinarios, y estameñas finas para su venta; lo que se hace saber al público, á fin de que los que quieran comprar dichos artículos, se dirijan á D. Vicente Hernández, su mayordomo, apoderado y factor principal; cuyo despacho tiene en su habitación de la misma casa, y los precios son arregla dos ai coste de las primeras materias. Asimismo se vende: la colección de los Stos. Padres Toledanos, que costeó el Etnmo. cardenal d…</t>
  </si>
  <si>
    <t>Hernu, Antonio de</t>
  </si>
  <si>
    <t>Antonio de Hernu</t>
  </si>
  <si>
    <t>…de Monroro, compuesta de su alcalde mayor el Lie. Don Josef Macedo y de D. Antonio Piedrahita , regidor decano de su ayuntamien to ; y otra de la villa de ia Rambla, que componían D. Antonio de Hernu da' y D. Josef de Porras; todos los cuales tuvieron la honra de manifestar á S. M. y A„ la satisfacción que animaba á aquellos habitantes al ver ya en el territorio español á las augustas Esposas de su Soberano y del Sermo. Señor Infante D. Carlos, por cuya f…</t>
  </si>
  <si>
    <t>Herra, Andrés Perez de</t>
  </si>
  <si>
    <t>Andrés Perez de Herra</t>
  </si>
  <si>
    <t>76</t>
  </si>
  <si>
    <t>…Kehl por via de represalia; sin embargo se dice que ia corte de Badén se ha dirigido á la de Viena, y que este asunto no tendrá malas consecuencias. ESPAÑA. Barcelona 13 de Enero. D. Andrés Perez de Herra:stiPerez del Pulgar, Viedina , Aróstegui, Ferri'ndez ce Córdoba, Sandoval, Gadea y Bazan; gran cruz de la Real y militar Orden d - Van Hermenegildo ; caballero de la del Lis de Francia;1 condecorado coa las indgñius de Ciudad-Rodrigo, Tarancon , Tama mes , y…</t>
  </si>
  <si>
    <t>Herrarte, Andrés</t>
  </si>
  <si>
    <t>Andrés Herrarte</t>
  </si>
  <si>
    <t>…rio de Estado la Real orden siguiente: „ El Rey nuestro Señor, entera do de lo expuesto por la sociedad patriótica de esa ciudad, con motivo de presentarle un trillo inventado por D. Andrés Herrarte, se ha servido con ceder á este privilegio exclusivo por 10 años para construir su máquina á 20 leguas en contorno de Valladolid, y resolver que se diga en su Real nom bre á ese cuerpo patriótico lo satisfecho que se halla S. M. de sus desvelos en favor de la…</t>
  </si>
  <si>
    <t>…industriosas, ha tenido la mas dulce satisfacción de exa minar con la mayor prolijidad sobre las mismas eras, y á la vista de varios labradores, un trillo económico inventado por D. Andrés Herrarte, maestro armero de dicha ciudad, con tan superiores ventajas á los conocidos y usa dos hasta ahora en la península por su sólida y sencilla construcción, y por la mas que triplicada celeridad en las labores , con notable mejora en la lim pieza del grano y bon…</t>
  </si>
  <si>
    <t>Herrasri, Antonio Perez</t>
  </si>
  <si>
    <t>Antonio Perez Herrasri</t>
  </si>
  <si>
    <t>…expresado cuer po á entregar á disposición del comandante general 200 fanegas de trigo,por v}a de donativo, para el «ustento de la tropa. Las 100 se entregaron en me tálico por ti Sr. D. Antonio Perez Herrasri, teniente de hermano mayor del St rmo. Sr. Infante D. Carlos, quien depositó en tesorería por razón de su importe 1 ti 9 rs. , y las otras ico las completaron en grano los caballeros maestrantes. La casa de la maestranza se adornó ademas con lujo y elegan cia…</t>
  </si>
  <si>
    <t>Herrasti, Andrés Perez de</t>
  </si>
  <si>
    <t>Andrés Perez de Herrasti</t>
  </si>
  <si>
    <t>i6a ESPAÑA. Barcelona 27 de Enero. D. Andrés Perez de Herrasti, Perez del Pulgar,, Vledma , Arnstegui, Fer nandez, de Córdoba, Sandoval, Gadea y Bazan; gran cruzad^ la Real y. militar Orden de San Hermenegildo 1 caballera de la deí bis de Francia;, condecorado con lay insignias d;~Ciudad-Rodrjgp, Tarancon, Tamarnes , y,…</t>
  </si>
  <si>
    <t>Herrera, Andrés Antonio</t>
  </si>
  <si>
    <t>Andrés Antonio Herrera</t>
  </si>
  <si>
    <t>…200. D. Rafael Zamorano 200. D. Juan Zamorano 300. D. Alfonso Zamorano 300. D. Luis de Herrera 320. D. Juan López 200. D. Mateo del Prado 200. D. Sebastian de Castro Jura do 200. D. Andrés Antonio Herrera 300. D. Alfonso Jurado 100. D. Fran cisco Molina 100. D. Lorenzo Molino 100. D. Agustín Perez de la Las tra 100. Doña María Josefa Jurado 100. D. Sebastian de Castro López 300. Doña Ana de Castro López 100. Juan de Murez iod. Doña María Josefa Zamorano 200. D…</t>
  </si>
  <si>
    <t>Herrera, Bernardo Perez de</t>
  </si>
  <si>
    <t>Bernardo Perez de Herrera</t>
  </si>
  <si>
    <t>…esar en consecuencia de su disolución. Por sentencia de la Real chancillena de Valladolíd de 22 de Mayo de 1807 está reservado el derecho á los hijos , nietos y biznietos del Lie. D. Bernardo Perez de Herrera, por el que puedan tener al crédito de 47977 rs. y 32 mrs., co res pondiente á Doña Beatriz Freile, contra el estado del marquesado de Froinista, y á los réditos vencidos y mandados pagar por la sentencia, cuya cantidad unida á la antecedente asciende á 38489…</t>
  </si>
  <si>
    <t>Herrera, Francisco</t>
  </si>
  <si>
    <t>Francisco Herrera</t>
  </si>
  <si>
    <t>1377</t>
  </si>
  <si>
    <t>…a gaceta de 10 del corriente. Se cita á los acreedores y demas que tengan derecho á los bienes y testamenta ría de Doña María de la Encarnación Nestares y Chapín, muger que fue de Don Francisco Herrera, para que concurran á una junta que en el dia 28 de este mes, y hora de las 9, se ha de celebrar en la posada del Sn P. León de la Cámara Cano,</t>
  </si>
  <si>
    <t>Herrera, Josef</t>
  </si>
  <si>
    <t>Josef Herrera</t>
  </si>
  <si>
    <t>…s quemó la casa de vigía y de guardia, recogiendo antes el plano de señales, banderas y gallardetes, á cuya eminencia subió, y se apoderó de ella con un corto número de tropas, el sargento Josef Herrera , obligan do á los rebeldes i huir precipitadamente, por lo que le recomendaba ; habien do verificado lo mismo en sus puertos, auxiliado por lanchas coa diez curia ras y apresado seis, sin que haya tenido la menor desgracia en estas opera ciones, que por habe…</t>
  </si>
  <si>
    <t>Herrera, Josef María</t>
  </si>
  <si>
    <t>Josef María Herrera</t>
  </si>
  <si>
    <t>…la vara de alcalde mayor de Algarinejo á D. Jo* f V-n-nz de T jada: para la de Crecente á D. Anselmo del Campo: para la de Oáa a \j. Anto nio Rojo y Gandía: para la de Trigueros á D. Josef María Herrera: para la de Villarubia de los Ojos á D. Salvador Gramaje: para la Je Ayamot te á D. Juan de Padilla y Ortiz: para la vara segunda de teniente de asúrente de la ciudad de Sevilla á D Francisco Belloc y Navarro: para la de Yillamañan á D. Gerónimo Ti jerina: pa…</t>
  </si>
  <si>
    <t>Herrera, Juan Blas</t>
  </si>
  <si>
    <t>Juan Blas Herrera</t>
  </si>
  <si>
    <t>…dor general, 60. Bartolomé Garijo, regidor segundo, 100. D. Sebastian Ra fael Camacho, diputado primero, 150. D. Alfonso López, diputado segun do, 50. D. Bartolomé de Castro 400. D. Juan Blas Herrera, escribano de ayuntamiento, 100. D. Juan Luis Jurado 300. D. Martin de Castro 300. D. Josef de Prado 500. D. Andrés Jurado 200. D. Rafael Zamorano 200. D. Juan Zamorano 300. D. Alfonso Zamorano 300. D. Luis de Herrera 320. D. Juan López 200. D. Mateo del Prad…</t>
  </si>
  <si>
    <t>Herrera, Luis de</t>
  </si>
  <si>
    <t>Luis de Herrera</t>
  </si>
  <si>
    <t>…amiento, 100. D. Juan Luis Jurado 300. D. Martin de Castro 300. D. Josef de Prado 500. D. Andrés Jurado 200. D. Rafael Zamorano 200. D. Juan Zamorano 300. D. Alfonso Zamorano 300. D. Luis de Herrera 320. D. Juan López 200. D. Mateo del Prado 200. D. Sebastian de Castro Jura do 200. D. Andrés Antonio Herrera 300. D. Alfonso Jurado 100. D. Fran cisco Molina 100. D. Lorenzo Molino 100. D. Agustín Perez de la Las tra 100. Doña María Josefa Jurado 100. D. Seb…</t>
  </si>
  <si>
    <t>Herrera, Manuel</t>
  </si>
  <si>
    <t>Manuel Herrera</t>
  </si>
  <si>
    <t>…xcusó con que siendo los limos. Sres arzobispo y obispos europeos, eran contrarios á la causa que defendía, no se contaba con ellos, y la necesidad le hizo nombrar primero al Lie. D. Manuel Herrera, des pués al ex-canónígo Velasco, y luego al ex canónigo Sanmartín , para que en el distrito de su mando entendiesen en todo lo concerniente á la jurisdic ción eclesiástica. El limo. Sr. arzobispo electo de esta santa iglesia metropolitana, con sos asistentes…</t>
  </si>
  <si>
    <t>…ciudad, y cuando ¡a ocuparon huyo de ella: desde entonces no se ha sibido de su paradero. El que tener noticia de su existencia ó fallecimien o se serxirá comunicarlo en Ma drid á D. Manuel Herrera, calle de la Lruz, ntím. 7, frerte á la de la Victoria. Se desea saber el paradero de! coronel retirado D. Antonio Vázquez de AMana , quien caso de hallarse en esta corte se servirá avistarse con D. Pedro García Teresa, que vive calle de Alcalá, núm. 2, cuart…</t>
  </si>
  <si>
    <t>Herrera, Pedro</t>
  </si>
  <si>
    <t>Pedro Herrera</t>
  </si>
  <si>
    <t>…ral ,2411 rs. y 26 mrs. D. Antonio de Ramos y Ximenez 200 rs. D. Francisco Rafael González 60. Catalina Prados 6. D. Juan Cantarero 60. D. Joaquín Obrero 400. D. Diego Bernia 100. D. Pedro Herrera 200. D. Antonio Velasco ioo. D. Manuel Estaquero 120. D. Ra fael Salinero, presbítero, 60. Doña Rosalía de Negrete 20. El colegio de San Roque 500. El convento de S. Pablo, religiosos dominicos , 8800. La Exce lentísima Sra. marquesa de Benamejí 16®. El conve…</t>
  </si>
  <si>
    <t>Herrera, Segundo Díaz</t>
  </si>
  <si>
    <t>Segundo Díaz Herrera</t>
  </si>
  <si>
    <t>…D. Juan de Arcos , D. Antonio Sotelo , D. Manuel Zaragoza , D. Felipe Roldan , Don Antonio Urzais y D. Juan Mesías: el de alféreces de fragata á los guardias marinas D. Juan Mozo, D. Segundo Díaz Herrera, D. Victoriano López Llanos, D. Josef Salcedo, D. Francisco Osorio , D. Manuel Ibarra, D. Ma nuel Ortiz Canelas y D. Francisco S* Pedro: el de teniente de fragSta gra duado en su clase de contra-maestre á D Sebastian Garrido:el de ayudante de contra- maestre…</t>
  </si>
  <si>
    <t>Herrero, Fernando</t>
  </si>
  <si>
    <t>Fernando Herrero</t>
  </si>
  <si>
    <t>io8i Tercera clase. D. Antonio Saenz , D. Fernando Herrero , D. Vicente Te jada, D. Miguel de Goicochea, D. Andrés Ubago y D. Lucio Roldan. Torca 20 de Setiembre. El ilustre ayuntamiento de esta ciudad, no pudiendo desentenderse de la dolorosa decadencia á que se veian reducidos por las pasadas circunstancias sus est…</t>
  </si>
  <si>
    <t>Herrgen, IX Cristiano</t>
  </si>
  <si>
    <t>IX Cristiano Herrgen</t>
  </si>
  <si>
    <t>…;i su patria. No habiéndose podido verificar la apertura de la cátedra de Mineralogía, que se anunció en la gaceta del 13 del mes próximo pasado, por haber ocur rido la muerte del profesor IX Cristiano Herrgen ; S. M. ha dispuesto, á con sulta de la junta de Protección de Ciencias naturales, que el vice-profesor D. Donato García empiece sus lecciones el dia 20 del corriente á las i r de la mañana, y las continuará todos los martes, jueves, y sábados de cada se mana…</t>
  </si>
  <si>
    <t>Hevia, Juan Rabanal y</t>
  </si>
  <si>
    <t>Juan Rabanal y Hevia</t>
  </si>
  <si>
    <t>…rcía Barba: para la de Motril á D. Josef Manzano Márquez: para la de Iznajar á D, Josef Manuel Sánchez del Aguila: para la de Alarcon á D. Alonso Ramón Rubio: para la de Alaejos á D. Juan Rabanal y Hevia: para la de Torrelobaton á D. Eugenio Hernández Borbon: para la de Siruela á D. Pedro Cano: para la de Teba á D. Juan Alonso de Prado: para la de la Coruña á D. Manuel Fernandez .Duran: para la de Miranda del Castañar á D, Francisco Cornsgo: para la de Fuente…</t>
  </si>
  <si>
    <t>Hidalgo, Josef</t>
  </si>
  <si>
    <t>Josef Hidalgo</t>
  </si>
  <si>
    <t>…: Madrid imprenta de Ibarra 1813. El 3.0 Lecciones políticas para el uso de la juventud española por el Dr. D: Manuel Cepero, Cura del Sagrario de Sevilla, impreso en la misma por D. Josef Hidalgo, año de 1813. El 4.® [Catecismo político español constitucional que á imitación del de Doctrina cristiana compuesto por el Sr. Reínoso presenta al publico E. D. D. E. A. , en Málaga en la oficina de D. Luis Carreras, año de 1814. Y el 5° Catecis* mo cristiano…</t>
  </si>
  <si>
    <t>Hidalgo, Marcelo García</t>
  </si>
  <si>
    <t>Marcelo García Hidalgo</t>
  </si>
  <si>
    <t>…ián y vicario del convento de lá Salceda. Los alca lde? y procurador de la villa de Portal rubio. El párroco, alcaldes y procurador síndico y escribano de la villa de Pe ra le ja. D. Marcelo García Hidalgo y D. Marcelino Sanz, comisionados de la Oliva de Aragón. El ayuntamiento y clero de la villa de Valdeconcha. Un comisionado por el ayuntamiento y el cura párroco de la villa de Romaneos. La justicia y comisionados de la villa del Olivar. Madrid 2 de Agosto. Las divisiones de Gra…</t>
  </si>
  <si>
    <t>Hidalgo, Matías</t>
  </si>
  <si>
    <t>Matías Hidalgo</t>
  </si>
  <si>
    <t>…do de estos en matrices de cobre, de donde pueda surtirse el obrador de fundiciones de dicho Real establecimiento, á los "jóvenes pensionados D. Mariano Díaz, D. Antonio Macazaga, D. Matías Hidalgo y D. Lorenzo Barrio, á consecuencia de lo estipulado por dicho D. Josef en la condición tercera de su contrata, fecha 30 de Marzo de i8if, y precedido el informe que por escrito hace en esté acto, asistiendo al mismo los Sres. administrador y contador, como también los regentes…</t>
  </si>
  <si>
    <t>Hidalgo, Silvestre</t>
  </si>
  <si>
    <t>Silvestre Hidalgo</t>
  </si>
  <si>
    <t>…Re/u a , avudantc que era en dicho tiempo del director del esmino que cons truía de S.mtander á la R ioj 1 D F rinci seo Xa vier Barra. El que lo supiere se ser virá anunciarlo al coronel D. Silvestre Hidalgo, residente en la ciudad de Valladolid, quien tiene que comur uaile asuntos interesantes á su persona. EN LA IMPRENTA REAI.</t>
  </si>
  <si>
    <t>Higuera, Ramón Antonio de</t>
  </si>
  <si>
    <t>Ramón Antonio de Higuera</t>
  </si>
  <si>
    <t>…io, especialmente por las de justicia, hacienda y guerra de rigurosa observancia: su au tor D. Manuel Silvestre Martínez: séptima impresión: 8 tomos en 4.0 y cinco de adiciones de D. Ramón Antonio de Higuera. Se hallarán juntos ó separados en la libre ría de Villareal, calle de las Carretas, y en Santiago en la de Rey Romero. Vía crucis explanado é ilustrado con los breves y declaraciones de los sumos Pontífices Clemente xii y Benedicto xrv, y de la sagrada congr…</t>
  </si>
  <si>
    <t>Hijar, Duque de</t>
  </si>
  <si>
    <t>Duque de Hijar</t>
  </si>
  <si>
    <t>…ntan der á su padre; y no habiéndose vuelto á tener noticia de él, se suplica á quien sepa su paradero avise í su padre Domingo Menendez, dependiente de Ja casa del Ex celentísimo Sr. Duque de Hijar en esta corte. Investigación de la naturaleza, y causas de las riquezas de las naciones: escrita en ingles por el Dr. Adam Smith , y traducida al castellano por el Lie. D. Josef Alonso Ortiz, con varias notas é ilustraciones relativas á España: segunda edició…</t>
  </si>
  <si>
    <t>Hilaire, Geolfroy-Saint</t>
  </si>
  <si>
    <t>Geolfroy-Saint Hilaire</t>
  </si>
  <si>
    <t>…ovena sección. Economía rural. Los señores Tessicr, Thouin , Huzard, Silvestre, Bosc y Ivart. Décima sección. Anatomía y Zoología. Los señores conde Lacepede, Ri chard , Pinel, el caballero Geolfroy-Saint Hilaire, Larrei 1 le y Dumeril. Undécima sección. Medicina y Cirugía. Los señores Chevalier, Portad, el caballero Halle, el caballero Peiletan, el barón Percy, el barón Corvisar, y Deschamps. El caballero Delambre será secretario perpetuo para las ciencias matemá tic…</t>
  </si>
  <si>
    <t>Hill</t>
  </si>
  <si>
    <t>…ntemente, lo cual le parece ridículo, y aun descortes. Quedan en Francia tres brigadas de caballería á las órdenes del lord Combermere, y nueve brigadas de infantería mandadas por lord Hill. La berlina de campaña de Bonaparte, los caballos y otros efectos fueron llevados ayer, por orden del secretario de Estado, ai museo de Mr. Bullock. Estos objetos fueron cogidos por el mariscal Bíucher después de la bataila de Waterloo. Se han colocado en el…</t>
  </si>
  <si>
    <t>…y degollado su tripulación cerca de Narravina. Se dice en las concurrencias políticas que entrarán en el ministerio e! marques de Wellesley y el duque de Wellington, en cuyo caso lord Hill mandará en gefé el egército aliado de Erancia. FRANCIA. Beauvais 8 de Julio, Acaban de ocurrir aqui dos hechos que .prueban hasta qué punto extra vian á los hombres el vicio y la pasión. Noticioso Estéban Mellet, vecino de una aldea de estas inmediaciones, qu…</t>
  </si>
  <si>
    <t>…iembre. En capítulo extraordinario de la orden de los Guelfbs, celebrado el día 14 de este mes,se recibieron de caballeros varios sugetos, entre otros los ge nerales Don, Murray y lord Hill. El ministro Decker, que presidió el capí tulo, dio en seguida un gran banquete. Se preparan muchas fiestas para celebrar la vuelta del duque de Cambridge. PRUSIA. Berlín 26 de Noviembre, Han circulado en estos dias varias noticias infundadas en orden á una p…</t>
  </si>
  <si>
    <t>Himeno, Joaquín de Almazan y</t>
  </si>
  <si>
    <t>Joaquín de Almazan y Himeno</t>
  </si>
  <si>
    <t>…u rema-te en la audiencia del Sr. D. Joaquín Almazan, del Consejo de S. M., teniente de corregidor de esta vi lla, á las 12 de la mañana de dicho dia. En virtud de providencia del Sr. D. Joaquín de Almazan y Himeno, dei Con sejo de S. M., teniente corregidor de esta villa, refrendada del escribano del nú mero de ella D. Pascual Seco, se han vuelto á mandar sacar á pública subasta por término de 15 dias, contados desde 9 del presente, tres tierras extramuros de la puerta…</t>
  </si>
  <si>
    <t>Hoalde, Guillermo</t>
  </si>
  <si>
    <t>Guillermo Hoalde</t>
  </si>
  <si>
    <t>…o de V. M. y excelsa dinastía de ios Borbones.” El día ir de Junio último tuvieron el honor de cumplimentar á S. M., y besar su Real mano en nombre del cabildo catedral de Cuenca ,D. Guillermo Hoalde, chantre, D. Ramón de Eyaralar, arcediano de Moya, D. Joscf Santibañez, canónigo, y D. Pablo Lorenzo Carrasco, doctoral de la misma iglesia ; y el primero dijo: „Señor: Él cabildo catedral de Cuenca, constante en los sentimientos de lealtad y amor á vuestra R…</t>
  </si>
  <si>
    <t>Hoiland</t>
  </si>
  <si>
    <t>68; GRAN BRETAÑA. Londres ir de Junio. Tloy se ha leído por segunda vez en la cámara de los pares el proyecto de ley sobre los ex’nn^-rus, acerca de cuyo asunto preguntó lord Hoiland si esta ley era aplicable á los anglo-americanos nacidos antes de la paz de 1783, y s* había una oficina donde ademas de registrarse los nombres de los extrangeros echados de e^te pais, se especificasen los motivos ó las sospechas de su expulsión. Lord Sinnut…</t>
  </si>
  <si>
    <t>HonUñon, Francisco de</t>
  </si>
  <si>
    <t>Francisco de HonUñon</t>
  </si>
  <si>
    <t>…osta de Santander, cuya dotación anual es la de 300 ducados , pagados en tres tercios de tu caudal de propios. Los pretendientes que aspiren á obtenerla dirigirán sus memoriales á D. Francisco de HonUñon y los He ros, síndico procurador general de aquella villa. Se desea saber el paradero de Ignacio de San Martin, vecino de la villa de Mam» brilla, partido de Arar.da de Duero, que se fugó de ella hace 34 años algo demen te, y se supo se dirigió á Soria y raya…</t>
  </si>
  <si>
    <t>Horcasitas, IX Francisco Xavier</t>
  </si>
  <si>
    <t>IX Francisco Xavier Horcasitas</t>
  </si>
  <si>
    <t>…e. Y de ia de S. M. lo comunico á V. para su inteli gencia y cumplimiento en la parte que le corresponda. Dios guarde á V. muchos años. Madrid 17 de Junio de 1816. 3.a Al teniente general IX Francisco Xavier Horcasitas digo con esta fe cha lo siguiente: ,, Habiendo tenido á bien el Rfy nuestro Señor conceder por su Real or den de 30 de Mayo último una cruz de distinción á las valientes tropas qoe se hallaron en las acciones de Bubierca , Aran juez y AJrronacid, cuyas ins ta…</t>
  </si>
  <si>
    <t>Hordas, J'osef Francisco de</t>
  </si>
  <si>
    <t>J'osef Francisco de Hordas</t>
  </si>
  <si>
    <t>1120 á los niños mas aventajados y sobresalientes, acordó hacer una demostración ú todos los demas, y que en su nombre pasasen dos diputados á 1as casas de D. J'osef Francisco de Hordas, maestro de primeras letras, y de D. Dámaso Nieto, catedrático de latinidad, á darles gracias por el buen método, zelo y •exactitud con que cada uno desempeña su magisterio, presentándoles al mis mo tiempo un agasajo en señal de gratitud. Madrid u de Octubre.…</t>
  </si>
  <si>
    <t>Hore, Alejandro</t>
  </si>
  <si>
    <t>Alejandro Hore</t>
  </si>
  <si>
    <t>…, pues de adentro ya nadie puede salir: es de presumir que si no han venido á llevarse también este buque de debajo de las baterías , sea porque sepan que en él debe embarcarse el general D. Alejandro Hore, que estaba aqui prisio nero, y ha sido vendido por 16® pesos. No ha salido el buque, y se me quedaba lo que no puedo dejar de de cir, ya que aun tengo tiempo, aunque sé lo sensible que le será á vmd. Des de el sitio han muerto mas dé 1800 personas entre homb…</t>
  </si>
  <si>
    <t>Hore, Alejandro de</t>
  </si>
  <si>
    <t>Alejandro de Hore</t>
  </si>
  <si>
    <t>…tar que el infame Sanarusia, que murió en la relacionada acción, fue el tirano que dió muerte á los 14 ino centes é inermes oficiales déla división del mando del mariscal de campo D. Alejandro de Hore, que fueron hechos prisioneros en la corbeta mercan te Neptuno. En la carta número 130 da cuenta de la acción del 26 de Octubre ocur rida en el Caño del Estero , en la que según. se detalla en el parte del co mandante de la vanguardia D. Francisco Tomas Moral…</t>
  </si>
  <si>
    <t>Howalsky</t>
  </si>
  <si>
    <t>…A. ]Sfeitsfscherkask (capital de los cosacos del Don) T4 de Julio. El 12 de este mes llegó aquí el gran Duque Nicolás, y salieron á recibir le el teniente general Karpowitsch y el caballero Howalsky, vice-hetmán y teniente general, acompañado de otros 12 generales y de un gran número de oficiales superiores de las tropas del Don. El gran Duque montó á caballo, y entró á 'la cabeza de esta numerosa comitiva’en la ciudad, donde le feli citaron las personas…</t>
  </si>
  <si>
    <t>Howe</t>
  </si>
  <si>
    <t>…n aquel establecimiento. Se está erigiendo en la iglesia de S. Pablo de Londres el monumento que decretó el parlamento á la memoria de Coliinwood, que se colocará al la do del del almirante Howe. Idem 18. El duque de Kent fue ayer á Versalles en un coche de la casa Real, y esta mañana, acompañado del embajador de Inglaterra. ha ido al palacio de las Tuílerías á despedirse de la duquesa de Angulema, de su esposo y de su padre el Conde de Artois. Despu…</t>
  </si>
  <si>
    <t>Htvia, Juan Miguel de</t>
  </si>
  <si>
    <t>Juan Miguel de Htvia</t>
  </si>
  <si>
    <t>…a y Palacios 2?coS rs. que tenia en créditos contra la Real Hacienda: Doña M^ua Ordeñes Acuña , vecina de Villaviciosa ,en el principado de Astúrias, por si y ñ nom bre de su hijo D. Juan Miguel de Htvia , 33136 rs. y 9 \: is. en retidos de suministros hechos ¿1 egército: el comisario de guerra D. Femar d &gt; Cosvm-J, vecino de Valencia , 10*39 rs* sueldos vencidos como oficial de la direc ción de víveres de Cartagena: D Pedro Miguel Lujan, relator que roe de l…</t>
  </si>
  <si>
    <t>Hueso, Josefa</t>
  </si>
  <si>
    <t>Josefa Hueso</t>
  </si>
  <si>
    <t>…ones á una de las huérfanas de los militares 6 patriotas que hubieren muerto en defensa de la justa causa de la nación, ha cabido en suerte del primer extracto de la de este dia á Doña Josefa Hueso, hija del coronel y comandante de artillería D. Francisco, muerto en el campo del honor. La extracción siguiente se egecutari el dia 25 de Junio. ARTICULO DE OFICIO. Cirudar del Ministerio de Hacienda. Siendo muy ruinosa para las fábricas nacionales la introd…</t>
  </si>
  <si>
    <t>Huete, Diego de</t>
  </si>
  <si>
    <t>Diego de Huete</t>
  </si>
  <si>
    <t>…de un Real juro que se le están debiendo, y sin perjuicio de la liquidación que debe formarse en la contaduría general de distribución de Real hacienda, importa 49117 en créditos: D. Diego de Huete 44: el Excmo. Sr. marques -de V¡Hadarías 10®: la congregación de clérigos menores 1692 : D.Josef Oga yar iqo: D. Salvador Ortega 80: los herederos de D. Pablo Portillo y 14mrs. : D. Juan Antonio Pitaluga ofrece, y tiene aceptado S. M., 2 5 50 rs. •que alcanza…</t>
  </si>
  <si>
    <t>HUÍ</t>
  </si>
  <si>
    <t>…á 7 de Diciembre de 181 5 Las tropas inglesas que han de permanecer en "Francia á las órdenes del Duque de Wellington serán mandadas inmediatamente, la infantería por el teniente general HUÍ, y la caballería por lord Combernere. La gaceta de Colonia estima en- cinco millones de francos los gastos qíie ocasionará el finalizar las obras de las fortalezas de Maguncia, y al mismo tiempo anuncia que se construirá á orillas del Rhin otra plaza fuerte,…</t>
  </si>
  <si>
    <t>Huidcbro, Rafael García</t>
  </si>
  <si>
    <t>Rafael García Huidcbro</t>
  </si>
  <si>
    <t>…Dios guarde á V* muchos años. Madrid 11 de Ju nio de 1816. El Rey se ha servido nombrar para el arcedianato de la santa iglesia de Santiago de Chile, vacante por fallecimiento de D. Rafael García Huidcbro, al Dr. D Mariano Ruiz de Navamuel, que io era de la catedral de la Paz. Continúan los donativos hechos al Rey nuestro Señor, que se ha servido aceptar y mandando se publiquen en la gaceta. Los vecinos de la villa de Medina de las Torres, provincia de Extrema…</t>
  </si>
  <si>
    <t>HuJse</t>
  </si>
  <si>
    <t>…ferrerías representadas por las de Vulcano; 12. varios animales en que iban montados graciosos cupidos &amp;c. GRAN BRETAÑA. Londres 2$ de Octubre. El Príncipe Regente, acompañado del general HuJse, salid ayer de esta capital con objeto de pasar algunos dias en Hampton. Lord Harrowby llegó de Calais á Douvres el miércoles último. El mis mo día sir Henrique Weliesley partió para Calais. Anunciamos con satisfacción que en el correo de hoy no h.m venido no…</t>
  </si>
  <si>
    <t>Hurra, Cayetano</t>
  </si>
  <si>
    <t>Cayetano Hurra</t>
  </si>
  <si>
    <t>…92333, 293742, 296120, 308592, 317537* 335607, 34305,2 y 343075, encabezados asimismo al citado Adanero, endosados últimamente seis de ellos á D. Mariano de lírbieta, otros seis á D. Cayetano Hurra, y el otro á D. Tomas de Urrutia: y habiéndose vuelto á mandar citar y emplazar á estos interesados y demas que se consideren con derecho á dichos vales, para qué ysen del traslado de 3a demanda puesta per el monte pió, se Ies cita, llama y em plaza por el pr…</t>
  </si>
  <si>
    <t>Hurtado, Joaquín Díaz</t>
  </si>
  <si>
    <t>Joaquín Díaz Hurtado</t>
  </si>
  <si>
    <t>1130 DEPARTAMENTO DE FERRO!, Para la graduación de tenientes de Fragata d los que lo están de alféreces de Navio D. Diego Gil, D. Joaquín Díaz Hurtado, que lo es en propiedad; Don Santiago Novo, D. Josef Sánchez, D. Josef Antonio Suarez, D. Cayetano Inzuela y D. Jacobo Auli. Para la graduación de alféreces de Navio d los que lo son en propiedad de Fragata D. Antonio Torneo y D. Manuel Guin de Torres. Para l…</t>
  </si>
  <si>
    <t>Hutchiuson</t>
  </si>
  <si>
    <t>…ormes sobre muchos reinos que sera preciso atravesar. Hoy avisan de París haber sido arrestados y conducidos á la prisión sir Roberto Wilson, el capitán Hutchinson y Mr. Bruce. El capitán Hutchiuson es oficial de guardias, y Mr. Bruce es hijo mayor del banquero Crawfort-Bruce. Habiéndose pasado la noticia de su arresto á nuestro em bajador sir C. Stuart, se dirigió este al gobierno francés, quien le informó que dichos oficiales estaban acusados de haber…</t>
  </si>
  <si>
    <t>I, A. R.</t>
  </si>
  <si>
    <t>A. R. I</t>
  </si>
  <si>
    <t>…de todas las prebendas de dicha iglesia colegia! para su elección. Recuerdos á ía vida mortal desde la cuna al sepulcro, en 15 edades, adaptadas á sus láminas en metro poético por D. A. R. I.: cuarta edición. Un tomo en 8. a 9 rs. en rústica y j 1 en pasta. Se hallará en la librería de la viuda de Quiroga, ca lle de las (Jarretas. EN LA IMPRENTA REAL.</t>
  </si>
  <si>
    <t>I, Francisco</t>
  </si>
  <si>
    <t>Francisco I</t>
  </si>
  <si>
    <t>…rrataiá; en Málaga en la de Car reras; en Palma de Mallorca en la de Carbonell; en Pamplona en la de Longts; en Bi:biO en la de la viuda de Ibarguengoitia, y en Granada en casa de D. Francisco I)al man , profesor de matemáticas. En este número , correspondiente al mes de Abril próximo pasado, se trata de¡ medio de extinguir la yerba Tora, tan perjudicial al cultivo de aleonas plantes: de la utilidad del cultivo del alpiste: se indica un medio de dest…</t>
  </si>
  <si>
    <t>I, Infante</t>
  </si>
  <si>
    <t>Infante I</t>
  </si>
  <si>
    <t>…stablecerá el estado brillante y opulento de uno de los puntos m^s interesantes de la monarquía.” El mismo comisionado pasó en seguida á felicitar cori igual motivo al Se renísimo Sr. Infante I&gt;. Carlos. D. Lorenzo Xfmenez, brigadier de los Reales egércitos, capitán de Rea les Guardias Españolas, y D. Josef Aznarez, fiscal del juzgado privilegiado de las tropas dé Casa Real, se presentaron en la tarde del 19 del pasado en audiencia de S. M. á felici…</t>
  </si>
  <si>
    <t>I, Juan y</t>
  </si>
  <si>
    <t>Juan y I</t>
  </si>
  <si>
    <t>…clase. Propu^tas» las materias del examen, se le dio principio recitando los alumnos D. Benito de Gracia, D. Bernardo Kstevez,D. Alfonso Berastegui, D. Jost-f y D.Juan Diez Prado, D. Juan y I&gt;. Gerónimo Ortega , D. J osefde la Fuente, Don Francisco Carreras y í&gt;. Josef Seoane las tabulas de Inarte y de Samaniego con exactitud, explicando la moralidad , y haciendo diversas reflexiones sobre Jos mismos alumnos ; en diálogo retiñeron varios pasages d…</t>
  </si>
  <si>
    <t>I, Rey D</t>
  </si>
  <si>
    <t>Rey D I</t>
  </si>
  <si>
    <t>…Señor: El presidente y capítulo de vuestra Real casa de S. Isidoro de León ,de aquel antiguo monumenro de la piedad y devoción de vuestros au gustos progenitores , fundado por el Sr. Rey D I‘ernando el i , enriquecido por el Emperador D. Alonso, y restablecido por el feliz regreso de V. M. al trono, me encarga, como individuo que soy de aquel cuerpo, haga pre sente á L. R. P. de V. M. como lo hago con el mas profundo respeto : que en el glorioso…</t>
  </si>
  <si>
    <t>Iafante</t>
  </si>
  <si>
    <t>…sechada por 73 votos contra 69, resultando contra los católicos una mayoría de 4 votos. - ESPAÑA. Saceden 11 de Julio* El Rey nuestro Señor, acompañado de su augusto Tío el Sermo. Sr. Iafante D. Antonio, salió del Real palacio de Madrid a las cuatro y media de la madrugada de este dia; y habiéndose detenido á comer en Aranzueque en la casa de D. Manuel Pardo, llegó á las siete de la tarde con toda felicidad á esta villa de Sacedon, donde continúan S. M. y A.…</t>
  </si>
  <si>
    <t>Ibabe, Pedro Josef de</t>
  </si>
  <si>
    <t>Pedro Josef de Ibabe</t>
  </si>
  <si>
    <t>…pago á acreedores, acuda ante el Sr. Don And res Qller, del Consejo de S. M., alcalde de casa y corte, por la escribanía de provincia de D. Juan Antonio Díaz Noriega, que despacha D. Pedro Josef de Ibabe, lo haga hasta el dia 17 de Diciembre próximo venidero, en el que se ha de celebrar su remate á las 12 en punto de la mañana en la audiencia de S. S. y cita da escribanía. Pablo y Virginia, por Jacobo Bernardino Henrique de Saint Pierre: nueva edi ción, adorn…</t>
  </si>
  <si>
    <t>Ibarra, Alfonso de</t>
  </si>
  <si>
    <t>Alfonso de Ibarra</t>
  </si>
  <si>
    <t>…a de todos los que en alguna manera puedan ser interesados en lo que por ella se ordena: que asi es mi voluntad se egecute. Dada en Palacio á 28 de Junio de 1816 = YO EL REY.=r Yo D. Alfonso de Ibarra, Secretario del Rey nuestro Señor, lo hice escribir por su mandado =El Almirante Duque de Vera zúa. == Don Víctor Rascón. = D. Josef Martines de Bustos ^D. Sancho de Llamas, ss D. Amonio AlcaU Gali&amp;no. En atención á los dilatados y buenos servicios d.' D Jose…</t>
  </si>
  <si>
    <t>Ibarra, Josef de</t>
  </si>
  <si>
    <t>Josef de Ibarra</t>
  </si>
  <si>
    <t>…su mayor aumento. Tendreislo entendido, y comunicareis las ordenes á quien corresponda para su puntual cumplimiento. == Rubricado de la Real mano. = Palacio 16 de Enero de i8i6.=A D. Josef de Ibarra.” 2.° ,,Debiendo de ingresar en mi Tesorería general y subalternas los pro ductos de la renta del Papel sellado como sucedía antes del mes de Febrero, según tengo mandado por decreto de este dia , quiero que dichos productos no se substraigan para objeto ning…</t>
  </si>
  <si>
    <t>Ibarra, Manuel</t>
  </si>
  <si>
    <t>Manuel Ibarra</t>
  </si>
  <si>
    <t>…zais y D. Juan Mesías: el de alféreces de fragata á los guardias marinas D. Juan Mozo, D. Segundo Díaz Herrera, D. Victoriano López Llanos, D. Josef Salcedo, D. Francisco Osorio , D. Manuel Ibarra, D. Ma nuel Ortiz Canelas y D. Francisco S* Pedro: el de teniente de fragSta gra duado en su clase de contra-maestre á D Sebastian Garrido:el de ayudante de contra- maestre de construcción á D. Manuel Abaida , capataz de carpin teros de Ribera: el de oficial…</t>
  </si>
  <si>
    <t>Ibérnon, Aquilino</t>
  </si>
  <si>
    <t>Aquilino Ibérnon</t>
  </si>
  <si>
    <t>…s cuartos D. Tomas Subiela y D. Francisco Sanz Andino Lavaggi; graduación de cuartos á los quintos D. Isidoro Carreras y D. Josef Pajares, y graduación de quintos á los meritorios D. Aquilino Ibérnon y Don Josef María Martinez. POR LA SECRETARIA DE MAYORDOMIA MAYOR. Llaves de Gentileshombre s de camara con ejercicio Al Excmo. Sr. conde de Fuentes , D. Genaro de Perellós y Palafox, conde de Revillagigedo, marques de Albaida, conde de Casaflores, y marques de Barbará. Gentileshombres…</t>
  </si>
  <si>
    <t>Iborra, Francisco</t>
  </si>
  <si>
    <t>Francisco Iborra</t>
  </si>
  <si>
    <t>…de los señores que asistían á 3a función el punto que se le habia señalado-} no quedaron atrás sus compa ñeros y condiscípulos, los cuales demostráronlas proposiciones'que siguen: D. Francisco Iborra: la agricultura no puede prosperar sin el fomento de'la industria. D. Francisco Casacuberta: el Gobierno debe concurrir á la producción protegiendo, no prescribiendo. D. Miguel Albert: es indispensable en España la construcción de cami nos y canales para fome…</t>
  </si>
  <si>
    <t>Icabaleerá, Francisco</t>
  </si>
  <si>
    <t>Francisco Icabaleerá</t>
  </si>
  <si>
    <t>…interino del hospicio; D. Severo Andriani, maestrescuela de la catedral de Huesca, y director de la casa de misericordia; á los oficiales de la secretada del Despacho de Hacienda D. Francisco Icabaleerá, D. Josef Goicoechea, D. Justo Josef Banqueri, D. Luis López Ballesteros y D. Manuel Corte*; D. Josef María de Aguirre, teniente goberna dor subdelegado de Rentas de Cantabria; D. Antonio Reguera., regidor de la Coruña; D. Mariano Moxo, maestrante de Ronda, y…</t>
  </si>
  <si>
    <t>Icue, M</t>
  </si>
  <si>
    <t>M Icue</t>
  </si>
  <si>
    <t>blico que el Ex’cmo. Sr. Cíipúan general del reino ha recibido hoy por conducto del coronel D. M Icue 1 de ia Torre , comandante reneral del egircito oriental de Magdalena, la plausible noticia otidal de haber ocupado con las tropas reales de ru mando el din ^ de! cor Lnte la capital dd reino, de donde fi:s avanzadas arrojaron c h:;í-ron huir a larga distanci…</t>
  </si>
  <si>
    <t>ÍDres.ic, Juan Gunboa y</t>
  </si>
  <si>
    <t>Juan Gunboa y ÍDres.ic</t>
  </si>
  <si>
    <t>794 D. Josef Mariano Beristain, D. Joan Sarria, D. Juan Gunboa y ÍDres.ic. D. Andrés Fernandez M.drid, deán, chantre, maestreescuelas y tesore ro de la misma santa iglesia, en vista de la causa instruida á este rebe de por la jurisdicción anida, la notoriedad y enormidad de sus crímenes, que lian * mente confesaba, y por los curies…</t>
  </si>
  <si>
    <t>If.rnaxDO</t>
  </si>
  <si>
    <t>…do discursos sediciosos. ESPAÑA. Sevilla 14 de Junio. • El Real cuerpo de maestranza de caballería de e&lt;ta ciudad, en celebridad del dia de su augusto Hermano mayor el Rey nuestro Señor D. If.rnaxDO vil , egecutó en la tarde del dia 3o del pasado en su plaza de toros una función á caballo propia de su instituro En la noche del mismo I&gt;. tranqu eo María de Ecquivel, teniente de S. M., adornó mapriftcameme su ca*a e hi zo servir un abundante refresco, al q…</t>
  </si>
  <si>
    <t>Ig</t>
  </si>
  <si>
    <t>…deo Soler y Cases, alcblde decano de la sala de corte, y ministro honorario del supremo consejo de Castilla, Don Francisco Fu lgbsio, teniente segundo de Reales guardias Waionas,y D. Ig nacio Bufalá, guardia de la Persona del Rey ; el primero de los cuales dijo: ,,Señor : La dudad^de Lérida tíos comisiona para felicitar á V. M. por la venida de la Reina nuestra Señora y su augusto enlace, y manífdstaT lós votos que dirije al ¡cielo para que…</t>
  </si>
  <si>
    <t>Iglesias, Josef</t>
  </si>
  <si>
    <t>Josef Iglesias</t>
  </si>
  <si>
    <t>…eda , dibujada y grabada por D. Blas Ametller: á 12 rs.~E1 origen de la pintura, de original de autor desconocido, dibujado y grabado por D. Josef Navia: á 8 rs. ( Se continuará.) D. Josef Iglesias, natural de Málaga, hijo de D. Manuel y de Doña Felipa de Rojas, se ausentó de dicha ciudad de edad de 20 años, pudiendo tener en el dia 56 a 60; se sabe viajó á varias partes de América en clase de marinero, y que úl timamente »e estableció en el puerto de C…</t>
  </si>
  <si>
    <t>Iglesias, Sebastian de</t>
  </si>
  <si>
    <t>Sebastian de Iglesias</t>
  </si>
  <si>
    <t>…teo de Eezaera y Zúíriga y el conde de Sarrtibañez , el asesor , abogados y promotor D. Vicente Amonio de la Grandara, D. Francisco Alfonso Rodríguez, D. Sebastian-de la*- Peñas y D. Sebastian de Iglesias el alguacil mayar D. Tomas Aibarran , el escribano D~ Pedro J3Iazquez. Tova l, el visitador D. Gerónimo Salgado, el escribana D. Francisco Yangiie j3ecerril&gt; los alcaldes que fueron del Espinar D. Juan</t>
  </si>
  <si>
    <t>Igna</t>
  </si>
  <si>
    <t>…úa en el abordage de la goleta, que las bar cas tomaron con tanta bizarría en la noche del 24 de Octubre. Los reco miendo á la protección de V. E., asi como al teniente de fragata D. Igna cio Chacón, que abordó aquella noche al propio tiempo mandando el pri mer bote de la Diana , y se distinguió por su gallardía. ,,Es imposible que en un sitio tan dilatado se consiguiesen las remesas or denadas de víveres para un egército y armada correspondie…</t>
  </si>
  <si>
    <t>…el G bLrr.o de Cartagena de Indias jo de Mayo de 1816. = Gabriel de Torres. Fernando Pernett. = Es copia. =r Peniett. E! Rey nuestro Señor en atención ¿ los méritos y servicios de D. Igna cio de Canibell, ex-director general de Rentas, y vocal de la junta conser vadora de la navegación del Guadalquivir, se ha servido confirmar los hono res del Consejo supremo de Hacienda, que obtuvo de (a Junta central. Desde el dia 23 del corriente mes de Ago…</t>
  </si>
  <si>
    <t>Ignacio</t>
  </si>
  <si>
    <t>…an Antonio Anunzarri, del primero, y D. Francisco Villavaso, del segundo.* el recomendable capi tán de egército D. Juan Ortuño, ayudante de órdenes mío; el teniente de partidarios D. Ignacio de la Riva; el subteniente de cazadores D. Josef María Valdés, y el de igual clase del segundo escuadrón D. Casimiro Peralta, se han hecho acreedores á las gracias que V. E. tenga á bien dispensarles. Me haría muy culpable sí dejase de recomendar á V. E. la i…</t>
  </si>
  <si>
    <t>Ihfante</t>
  </si>
  <si>
    <t>…y le hiciesen Tos honores.- ;■ ■ ' '■ -. El 24'del corriente, á la una de la tarde ; se preséntná S; M la&gt; diputación de; la Grandeza, precedida, de su Aiice- preddehterelr Sermo. Sr. Ihfante Don Antonio , quien hizo'árS. Mitoiin* discurso felicitándole,por,su rnuevo «enlace,: y en seguida la^ diputación’ besó la mano á S. Mi., que .correspondió á estas sumisas y sinceras demostraciones, de la primera clase deLE&amp;ado con &gt;la bon-*' dad que le es característica…</t>
  </si>
  <si>
    <t>Iilfzondo, Antonio</t>
  </si>
  <si>
    <t>Antonio Iilfzondo</t>
  </si>
  <si>
    <t>herí Jos en el regimiento del Rey el subteniente D. Antonio Iilfzondo y el teniente D. Minué! Listeri, y en las milicias de Valencia el capitán Don Eugenio Olavarria: de tropa han muerto 34 individuos, 78 heridos, y dos contuso5:. „ No puedo menos de recomendar á V. S., para que se digne hacerlo con el Excmo. Sr. general en gef…</t>
  </si>
  <si>
    <t>Iitymaurice, Eduardo B.</t>
  </si>
  <si>
    <t>Eduardo B. Iitymaurice</t>
  </si>
  <si>
    <t>…o á I&gt;. Tomas de Urrutia, y el cuarto á D. Josef Gallinaus: dos de á 300 pesos, el mismo encabezamiento y creación, con los números 80982 y 84537, y endosados últimamente el uno á D. Eduardo B. Iitymaurice, y el otro al mismo D. Eduardo: 13 de 150 pesos, creación asimismo de Enero de 1808, señalados con los números 241844, 262123, 264173, *83416, 291249, 29*333* *9374* * 996110, 308592, 317537* 3356?7» 343°5 2 f 343°75 » encabezados asimismo al citado Adanero,…</t>
  </si>
  <si>
    <t>IJriz, Francisco Xavier de</t>
  </si>
  <si>
    <t>Francisco Xavier de IJriz</t>
  </si>
  <si>
    <t>…rvar los niños Expósitos , y hacerlos útiles á la sociedad , y asi bien á los de tálamo legí timo abandonados por la miseria ó defección de sus padres, dispuesto todo por el limo. Sr. D. Francisco Xavier de IJriz, Obispo de Pamplona, á fin de que examinándolo con su acostumbrada detención, consultase á S. M. con la prontitud que pide el interes de la humanidad. Visto por el Consejo , con lo expuesto por los Señores Fiscales, ha acor dado se manifieste á todos los Prel…</t>
  </si>
  <si>
    <t>Ilaedo, Lorenzo Gómez de</t>
  </si>
  <si>
    <t>Lorenzo Gómez de Ilaedo</t>
  </si>
  <si>
    <t>…e Fedro vertidas en poesía castellana-, y acomodadas á criticar los vicios que se no tan en ei dia, y con una égloga en alabanza del grande prelado de-esta san ta ioJesia el limo. Sr. D. Lorenzo Gómez de Ilaedo. Segorve celebrará este' cija ¡lena de-entusiasmo al ver la utilidad inesperada que después de unos, tiempos tan aciagos S2ca tan prontamente de su seminario conciliar, funda ción de uno de sus mas santos e buitres prelados. Vi? o 22 de Jitlij. El ayuntamient…</t>
  </si>
  <si>
    <t>Ildefonso</t>
  </si>
  <si>
    <t>…al, prior síndico general por ambos estados, y D. Pablo Aviles, su secretario, con otros concurrentes distinguidos que asistieron al acto, presentó los discípu los D. Luis Mateos, D. Ildefonso y D. Ramón de Rovina, D. Segundo y D. Manuel Herrero para ser examinados: se dio principio por una elegante oración, que pronunció dicho Mateos, sobre las causas que impiden el ade lantamiento que los maestros desean en la pública educación: en seguida res pondieron todos alterna…</t>
  </si>
  <si>
    <t>Ilenriquez, Custodio</t>
  </si>
  <si>
    <t>Custodio Ilenriquez</t>
  </si>
  <si>
    <t>…admitirán las posturas que se hiciesen ; siendo arregladas, á lo anteriormente prevenido, g deberán egeegrarse por la escribanía principal de Guerra de esta próvíncfá del caroo de D. Custodio Ilenriquez, sita en la misma calle y casa. =Jóséf de Arteaga. Colección de los Reales decretos, cédulas y resoluciones generales, cuya obser vancia y cumplimiento se reencarga en algunos de los artículo» en que están subdi— vididus los 16 capítulos de que consta la inst…</t>
  </si>
  <si>
    <t>Illera, Francisco</t>
  </si>
  <si>
    <t>Francisco Illera</t>
  </si>
  <si>
    <t>El capellán mayor dé S. Segundo 30. D. Martin Uria 20. D. Ju?to Sarrandeg ;i 24. El capellán mayor de Sta. Ana 12. D. Francisco Illera so. Don Ildefonso Castejon 24. D. l omas Landias 20. D. Vicente Evaristo Blasco 20. D. Gaspar Arribas 24. D. Damian González de Salazar 160. El beneficiado de S. Vicente 4^0. Pedro Seguir 6. D. Joaquín Zagonero 20. D. Francisco Villegas 2. D Josef Pavat 23. E…</t>
  </si>
  <si>
    <t>Imana, Ventura de</t>
  </si>
  <si>
    <t>Ventura de Imana</t>
  </si>
  <si>
    <t>…a ciudad de Guayaquil, en el Perú, solicita saber si viven en España Doña Catalina Ximenez y Doña Rosa Vizcaína, para comunicarles un asunto que les interesa, de que las instruirá D. Ventura de Imana, vecino y del comercio de Cádiz, que vive calle del Husillo alto, casa núm. 56. Cualquiera persona que supiese el paradero ó existencia de los señores Escuza, hermanos y compañía., del comercio que fueron de esta villa y corte de Madrid, se servirá avisarlo e…</t>
  </si>
  <si>
    <t>…do justas y arregladas, y manifestarán los referidos títulos. Se desea saber el paradero del capitán de egército D. Juan de Panigo, para co municarle un asunto que le interesa por D. Ventura de Imana, vecino y del comer cio de Cádiz, calle del Huólio alto, núm. 56. Real decreto é instrucción general de rentas Reales, aprobada por S.M. en 16 de Abril último, y mandada observar desde 1.® de Julio próximo en su Real decreto de i.° del presente mas, según se…</t>
  </si>
  <si>
    <t>Imaña, Ventura de</t>
  </si>
  <si>
    <t>Ventura de Imaña</t>
  </si>
  <si>
    <t>…o de la comandancia general de Rentas de la ciudad de Badajoz. Se desea saber el paradero del capitán de egército D. Juan de Panigo para comurica: c un asunto que le int 1 *sa por D. Ventura de Imaña, vecino y del co mercio de Cádiz, calle del Husillo alto, níim 56. Se desea saber el paradero iL D. Arturo Linch, que parece existió en las ciu dades de Sevilla y SanKicar de Barraméda por los años de 1740, ó á cualquiera de sus herederos, con cbj ?o de ciert…</t>
  </si>
  <si>
    <t>Imaz, Tosef de</t>
  </si>
  <si>
    <t>Tosef de Imaz</t>
  </si>
  <si>
    <t>…s aranceles. Comunicólo á V. E. de Real orden para su noticia y demas efectos que convengan: en la inteli gencia que los individuos nombrados por S. M. para formar dicha Junta son D. Tosef de Imaz, Director general de Rentas» D. Juan López de Peñalver, D. Francisco Durango y Ortuzir, D. Manuel Benito Carranza, Vista de la Aduana de C:í iiz , y D. Vicente Iturriria» Vista de la de la Corana.” Lo que traslado á V. S. 1. de Real orden para que disponga el…</t>
  </si>
  <si>
    <t>Imaza, Joaquín A</t>
  </si>
  <si>
    <t>Joaquín A Imaza</t>
  </si>
  <si>
    <t>…á cuyas plazas optarán sin necesidad de nuevo Real decreto, conforme á las ordenanzas de la facultad, y sobre el fondo de esta gozarán el sueldo de 51® rs de vn. anuales. Ante el Sr. D. Joaquín A Imaza n, del consejo de S. M., teniente corregidor de esta heroica vida, y escribanía del número que egerce D. Antonio Villa y Fernan dez, se ha puesto demanda reclamando la propiedad de ip vales Reales, cuyas creaciones, números y valor se expresarán , de la que s…</t>
  </si>
  <si>
    <t>In</t>
  </si>
  <si>
    <t>…contraiga el matrimonio ajustado con ja ,Serma. Sra. Infanta de Portugal Doña María Isabel Francisca ; y habien do merecido con la autorización de S. M. igual distinción al Sermo. Sr. In fante D. Carlos para que contraiga el suyo respectivo con laSerma. Sra. In fanta Doña María Francisca de Asís, remitiendo á S. E. los correspon dientes poderes, para que á su tenor desempeñe tan elevado carácter, autoT rizándole igualmente para el recibimient…</t>
  </si>
  <si>
    <t>…ha condecorado con la mas distinguida comisión para que felicitemos á V. M. con el mas respetuoso y sincero amor por su concertado matrimonio y el de su augusto Hermano el Sermo. Sr. In fante D. Cárlos María Isidro con las Sermas Srás. Infantas Doña María Isa bel Francisca y Doña María Francisca de Asís, hijas de los excelsos Príncipes del Brasil. „E:ta ciudad, Señor, estimulada de su lealtad y decidido zelo á vuestra Real Persona, fue la pr…</t>
  </si>
  <si>
    <t>…udad de Jaén; y este concepto que no duda merecer de V. M. es y será siempre el premio mas cumplido de su lealtad.” En seguida, habiéndose dirigido al cuarto de S. A. R. el Sermo. Sr. In fante D. Carlos, dijo el mismo: ,, Sermo. Sr.: Si Jaén mira con razón como un acontecimiento fausto y glorioso el enlace del augusto Hermano de V. A. R. el Rey nuestro Señor con la casa Real de Portugal, porque en él se estrechan mas y mas los vín culos que u…</t>
  </si>
  <si>
    <t>…s. Las primicias de esta honorífica disposición las goza la universidad de Alcalá relia ha sido la primera que prévia la ReaL benevolencia aclamó por su gran protector al Serir.o. Sr. In fante de España D. Antonio de Borbon; y S. A. tiene á bien añadir á sus Reales dictados este nuevo título y el de doctor complutense, cuyas insig nias viste á la par con el vellocino de oro." Real lotería moderna. En el sorteo de la Real lotería moderna celeb…</t>
  </si>
  <si>
    <t>…de sus sacrificios tendrán la indecible satisfacción de contarse á par de los mas fieles y dignos vasallos de V. M.” Asimismo tuvo el honor de felicitar con igual motivo al Sermo. Sr. In fante D Carlos; y le dirigió el dheurso siguiente: ,,Sermo Sr.: La divina Providencia que quiso que V. A. R. participase de las aflicciones de S. M. acompañ índole en su duro cautiverio, ha dispues to también que sea participante de su felicidad en el tiempo…</t>
  </si>
  <si>
    <t>…ueblos y vasallos al grado de prosperidad de que son susceptibles en inmortal gloria de su amado Rey Fernando vii. Los mismos comisionados tuvieron la honra de felicitar al Serme. Sr. In ferné D. Carlos al siguiente dia en los términos siguientes: ,,Sermo. Sr.: Los fieles habitantes de Viilarobiedo se ofrecen á L. P. de V. A. Sérma., y os saludan, celebrando con respetuosos parabienes el pre cioso advenimiento de la muy digna Esposa de V. A.…</t>
  </si>
  <si>
    <t>…cuerdo de los muchos y cordiales obsequios que había prestado á S. M. di cho pueblo á su tránsito para esta corte. Igual diligencia de atención y respeto practicaron con eí Serme. Sr. In fante D. Carlos por el mismo objeto, y S. A. se dignó dar las muestras mas verdaderas de su Real complacencia por los homenages de un pueblo tan.-re comendable* ARTICULO D E O F í C I O* Circular del Consejo Real. ' ’ ‘ . 1 Enterado el Rey de que muchos de lo…</t>
  </si>
  <si>
    <t>…onó la base mas solida de felicidad ; pe ro hoy que advierten y admiran su dichoso y deseado enlace con Doña Ma ría Isabel, hija de los ilustres Reyes de Portugal, y el del Sermo. Sr. In fante D. Carlos con Doña María Francisca de Asís, se glorían al consi derar satisfechos ya sus votos, y llenos completamente sus deseos. ¡ Quiéra el cielo que el cetro español se perpetúe en los sucesores de los Barbones y Braganzas, para que triunfe en esta…</t>
  </si>
  <si>
    <t>…todos los individuos de este cuerpo habían padecido ti abajos y persecuciones por ser fieles á su legítimo Soberano. Los mismos comisionados felicitaren con igual motivo al Sermo. Sr. In fante D. Cárlos, haciendo presente que era inexplicable el jíibilo de todos los individuos de la Hermandad al ver que su Gefe y Señor había contraído tan acertado enlace con la Serma. Sra. Infanta Doña María Francisca de Asís. Asimismo felicitaron dichos comi…</t>
  </si>
  <si>
    <t>…la mas ciega sumisión y respeto, que en todos tiempos han sido para sus Reyes la divisa de los pueblos castellanos.” Los mismos comisionados felicitaron con igual motivo al Sermo. Sr. In fante D. Cirios, manifestando el respeto y acendrado amor que profesan á S. A. los habitantes de aquella ciu dad. En el dia 18 del corriente felicitó en nombre de la Real Academia espa ñola á SS. MM. y A A. con el plausible motivo de su venturoso y deseado en…</t>
  </si>
  <si>
    <t>…sus mas fervorosas oraciones-en desetúrpeño de sus deberes, de su obe diencia y del amor que á V,. -M. profesa/’ • * Los mismos comisionados felicitaron con igual motivo al Sermo. Sr. In fante EL Gatlós,- manifestando cuanto se ha complacido el cabildo por su feliz enlace con la Serma. Sra. Infanta Dona María Francisca de Asís, j El mismo dia 9 tuvo la honra de felicitar á S. M. por su augusto enlace^ á nombre de la villa de Alcaudete, D. Alo…</t>
  </si>
  <si>
    <t>…ues V. M. admitir los sinceros votos de este su pueblo, hijos de su acendrada lealtad y amor hácia su Real Persona.” Los mismos comisionados felicitaron con igual motivo al Sermo. Sr. In fante D. Carlos. En el dia ii del corriente el colector general de Espolios y Vacantes D. Tomas Aparicio Santin, D. Gabriel de Hevia y Noriega, del supremo Consejo de la Inquisición, y D. Vicente Ruiz de Albillos, juez en el tribunal</t>
  </si>
  <si>
    <t>…na de V. M., y de sus verdaderos deseos de que es te enlace reproduzca la época feliz de los Fernandos é Isabeles.” Inmediatamente tuvieron la honra de felicitar á S. A. el Sermo. Sr. In fante D. Carlos con el mismo objeto, y de merecer á S. M. y A. pruebas las mas recomendables de su consideración á aquella ciudad. El dia 18 del pasado tuvieron la honra de felicitar a! Rey nuestro Señor y al Sermo. Sr. Infante D. Carlos por sus efectuados ma…</t>
  </si>
  <si>
    <t>…fieles.” S. M. lo oyó con particular complacencia; y dando pruebas de gratitud, recibió la exposición benignamente. Los mismos comisionados felicitaron con igual motivo al Sermo. Sr. In ferné D. Carlos. ARTICULO DE OFICIO. Circular de la Dirección general de Rentas,, Por el Ministerio de Hacienda con fecha 16 del actual se nos ha comu*nicado la Real orden siguiente: El Sr. Secretario de Estado del Despacho de Hacienda de Indias con fe cha de…</t>
  </si>
  <si>
    <t>…y nuestro Señor Capítulo general de la Real distinguida orden española de Carlos m en la iglesia de S. Francisco el Grande, á la que pa'-ó en gran ceremonia en compañía del Sermo. Sr. In fante D. Carlos desde la pieza que le estaba destinada para vestirse el man to , é hicieron su profesión , y recibieron el collar de mano de S. M. en Ja forma establecida los -Excmos. Sres. marques de Campo-Sagrado , D. Josef Luis de Souza , marques de Vilíaf…</t>
  </si>
  <si>
    <t>…tener cumplido efecto , no cesará de dirigir al Omnipotente, autor de toda felicidad, las mas fervientes oraciones.” Los mismos comisionados felicitaron con igual motivo al Sermo. Sr. In fante D. Cárlos. ARTICULO DE OFICIO. Circulares de la Dirección general de Rentas. 1.a Para que esta Dirección pueda obrar con el conocimiento debido en mu chas de las operaciones de la Renta de Salinas, es indispensable que V*. pa se á nuestras manos á la ma…</t>
  </si>
  <si>
    <t>Inés</t>
  </si>
  <si>
    <t>…hermana del Sr. Rey S. Lernando. La Sra. Infanta Do ña María, hija dei Sr. Rey S. Fernando, vace incorrupta en este Real pan teón. Hay otros sepulcros en que deícansan la condesa Doña Inés, de la</t>
  </si>
  <si>
    <t>Infa</t>
  </si>
  <si>
    <t>…ifestar su lealtad , sa amor, y la confianza que debe inspirar en V. M. su conducta. Satisfechos sus moradores de eilo, honrados con la presencia de las Reales Personas de V. M. y Sr. Infa nte, ofrecen en su obsequio sus personas, sus propiedades y cuanto disfrutan." Fn el Real colegio de farmacia de S. Fernando de esta corte se celebra ron egcrcicios literario-» en los dias i, 8, 16 y 19 de Junio último por los alumnos del mismo D. Benito Gine…</t>
  </si>
  <si>
    <t>…darles, cuyas virtudes serín el ornato de su sexo, y harán la felicidad de V. M. y de toda la Monarquía.” Los mismos comisionados felicltaroncon igual motivo á SS. A A. el Serrno. Sr. Infa nte D. Carlos y á su augusta Esposa. El mismo dia 8 tuvo igual honor la diputación de la provincia de Gui púzcoa compuesta de los Excmos. Sres. duque de Granada , vizconde de Zolina, y los Sres. D. Juan Ignacio de Ayestarán y D. Ramón María de Moya, quienes m…</t>
  </si>
  <si>
    <t>Infame</t>
  </si>
  <si>
    <t>…do el Rey nuestro Seño1* conce »ier el uso de la escarapela roja á los individuos de la Sra. y Real Hermandad Vieja de Toledo, de la cual es Protector y Alcalde perpetuo el Sermo. Sr. Infame D. Carlos María. Por última disposición y voluntad expresa antes de su fallecimiento ce dió en favor del Real erario el comisario ordenador juMiado de Marina Don Bernardo Alcalá la suma que alcanzase á la Real Hacienda pe r todos sus sueldos vencidos y no satisfechos; y resu…</t>
  </si>
  <si>
    <t>…los Eremos. Se ñores marques de Astorga y duque de Frías, como veinkicuarros del exce lentísimo ayuntamiento de Sevilla, comisionados especiales de este, ce te lici tar á S. M. y Sr. Infame D. Carlos por el teliz matrimonio con la* Srns. In fantas de Portugal, arengándoles y leyéndoles ia representación adjunta: ,,Señor: Sevilla por su ayuntamiento no puede menos de ofrecer á los Reales pies de V. M.,con un profundo rendimiento,el testimonio de su mas ace…</t>
  </si>
  <si>
    <t>…ital, en donde hizo su eutrada á las seis y media de la misma tarde, por medio de su brillante guar nición que estaba tendida de«de fuera de las puertas hasta palacio. S. A. R. el Sr. Infame D. Cários salió al encuentro de S. M. , y teda la población de Madrid, esparcida por tan larga cartera , se apresuraba á gozar de la ansiada presencia de tan amable Soberano, maniatando su regocijo y acendrada fi delidad con tan vivas y repetidas aclamaciones, que part…</t>
  </si>
  <si>
    <t>Infamé</t>
  </si>
  <si>
    <t>…petuarán las felicidades á todos los pueblos de los dilatados do minios de V. M. en ambos hemisferios,” En seguida pasó la misma diputación á felicitar con igual motivo al Sermo. "Sr. Infamé D. Carlos y á su augusta Esposa. La diputación del ayuntamiento y provincia dk Orense, compuesta de D. Luis Lopes Ballesteros, secretario de $. M. con egerdcio de decretos, y</t>
  </si>
  <si>
    <t>Infan</t>
  </si>
  <si>
    <t>…nuevas inscripciones en las calles llamadas antes la Mayor y de Ballesteros; la primera se denomina ya con el precioso título de calle Real de S. Fernando, y la segunda del Sermo. Sr. Infan te D. Carlos; habiendo colocado por su propia mano, ayudado de las de más autoridades y las .primeras personas dei pueblo, una lápida en cada una de ellas, que constantemente recuerde este rasgo de amor e' infatigable zelo en obsequio de V. M. de p rte de un…</t>
  </si>
  <si>
    <t>…suceso, que mira como presagio ven turoso oara la monarquía española ; y nosotros, acordes con tales sentimien tos , hemos recibido con aprecio la comisión de felicitar á V. M. y Sr. Infan te D. Carlos, y besar sus Reales manos á nombre de Mancha Real por un motivo tan lisonjero.” En seguida besaron la mano, y S. M. tuvo la bondad de hacer varias pre guntas relativas al pueblo por quien se había arengado. ARTICULO DE OFICIO. Circular del Minist…</t>
  </si>
  <si>
    <t>…ulzura que le caracterizan lo muy gratos que le eran los sentimientos de los habitantes de la ciudad de Fuenterabía. Kn seguida se dirigieron dichos diputados al coarto del Sermo. Sr. Infan te D. Cario*, á quien felicitaron con el misino motivo diciendo: „ Sermo. Sr.: La muy noble, muy leal, muy valerosa y muy siempre fiel ciudad de Fuenterabía, reconociendo las. distinguidas virtudes de V. A.R., toos encarga le felicitemos por su enlace con la…</t>
  </si>
  <si>
    <t>…leona y con placer ; lo que nos produce la satisfacción de conocer que hasta ahora sien tan bien y aprovechan i S. M. N o menos favorable aparece el uso de la misma agua al Sermo. Sr. Infan te D. Antonio, á quien del mismo modo aprovecha y sienta muy bien hasta el dia. El lunes h .bo en este pueblo corrida de toros de muerte, á que asis tieron S. M y A. en la casa de D. Joaquín Paez Jaramillo, en que se hallan alojidos el Exorno. Sr. D. Pedro Ce…</t>
  </si>
  <si>
    <t>…de S. Sebistian, manifestando que nunca había dudado de ellos, y que tenia bien presente el elogio que le nabia he cho de la ciuda 1 y de su vecindario su augusto Hermano el Serme Sr. Infan te D. Cirios, cuando la honró con su presencia en el año de i 808, y dis pensó á los diputados el honor de besar su Real mano. En seguida pasaron á felicitar al Sermo. Sr. Infante D. Carlos María,ge nera Limo de los egércitos de S. M ♦ por su concertado matri…</t>
  </si>
  <si>
    <t>…or.” S. M. contestó con su bondad característica que las aceptaba , y añadió: „que Tarragona se había portado bien.” Al dia siguiente felicitaron los mismos comisionados al Sermo. Sr. Infan te D. Carlos con igual motivo en estos términos: ,,Sermo. Sr.: La ciudad de Tarragona, que tanto ha manifestado su he roísmo con lo que ha hecho y padecido en defensa de la santa religión y del trono de la augusta casa española de Borbon, nos ha comisionado p…</t>
  </si>
  <si>
    <t>…al de milicias 62: idem 200 fanegas de trigo al precio que corría de 108 rs. 21600: el dia de S. Cárlos del año anterior, con el plausible motivo dé los dias dé S. Á. R. el Sermo. Sr. Infan te D. Cárlos, Hermano mayor de este Real cuerpo, se dieron dotes de 100 -ducados para socorrer cuatro doncellas huérfanas, importantes 4400 rs. : el -ilustre colegio de abogados 3620: el cuerpo de relatores 1800: el de escriba nos de cámara 2100: el de porter…</t>
  </si>
  <si>
    <t>…amor y lealtad que le consagraron sus pueblos, y reiteran á los pies de V. M. la ciudad dé Ecija y sus comisionados.” En seguida tuvieron la honra de felicitar á S. A R. el Sérmo. Sr. Infan te D. Cárlos- con el mismo- objeto, y de merecer á S. M. y A. las mas be nignas pruebas de aprecio á aquella ciudad.. ARTICULO1 DE’ OFTCro. Cintilar del Ministerio-de Guerra o. En vista de Io&gt; que: ha expuesta &amp; S. M. su Consejo- Supremo de la Guer-</t>
  </si>
  <si>
    <t>Infantado, Duque del</t>
  </si>
  <si>
    <t>Duque del Infantado</t>
  </si>
  <si>
    <t>…ecesidad de su fomento. De Real orden lo comunico á V. para su cumplimiento en la parte que le toca. Dios guarde á V. muchos años. Palacio 30 de Diciem bre de 18 í 4s. Habiendo el Sr. Duque del Infantado informado y recomendado al Rey los buenos servicios y singulares méritos que ha contraído en Londres Don Francisco Serralde á favor de la causa del Rey y de la patria, ya en el des empeño de la comisión que llevó á aquella corte, como en la desgraciada suerte…</t>
  </si>
  <si>
    <t>…osteriormente y con fechas 24 y 31. de Marzo del año último comuni có al Consejo el Excmo. Sr. D. Pedro Cevallos, primer Secretario de Esta do y del Despacho, por medio del Excmo. Sr. Duque del Infantado, dos Reales órdenes , por las cuales se sirvió S. M. mandar se encargase de nuevo el cumplimiento de las citadas disposiciones; y publicadas en el Consejo, en su vista, y de lo expuesto por el Sr. Fiscal, ha acordado se expida circular á las Chancillerías y A…</t>
  </si>
  <si>
    <t>…iales tiene las mejores proporciones para egecutar este proyecto» _ ^ ESPAÑA. Cádiz 26de Octubre. El Excmo. Ayuntamiento' de esta ciudad ha recibido el oficio siguiente del Excmo. Sr. Duque del Infantado. „Excmo. Sr.. El Rey, Dios le guardé, se ha servido dirigirme con fecha de 30 de Setiembre próximo el Real decreto siguiente: „ Bien persuadido de los heroicos servicios que en la última pasada guerra ha hecho Ja ciudad de Cádiz á favor de mi Corana á expensa…</t>
  </si>
  <si>
    <t>Infante</t>
  </si>
  <si>
    <t>astronómicos y físicos, y elevarla al grado de ciencia físico-matemática, leída en el Real Jardín botánico de esta corte á presencia del Sermo. Sr. Infante D. Carlos el ¿ia 18 de Octubre d; 1815 por D. Jcsef Mariano Vallejo, individuo de la Real sociedad económica matritense y de otros establecimientos científicos. Esta diserta ción, que mereció ¡a aprobación del lucido y numeroso concurso que asistió á su lectura, que es…</t>
  </si>
  <si>
    <t>…gidores de su depara tamento , en que les encarga todas las medidas necesarias para procurar el arresto de estos individuos. ESPAÑA. • 1 Madrid ij de Enero. Señalado por el Sermo. Sr. Infante D. Carlos María el lunes 81 de! cor riente para tomar posesión, como ge fe principal de la Real Academia de San Fernando, conforme al Real decreto de 24 de Noviembre último (*), se ha bían reunido todos los individuos de aquel Real cuerpo á las cinco de la tar de en su casa…</t>
  </si>
  <si>
    <t>…dad del estado. = ■ : ' A continuación leyó el mismo secretario otro discurso del Sr. vice-protecíor., en que felicitando á la Academia por lá dicha de tener á su frente ai Sermo. Sr. Infante D. Cárlos María, y recorriendo las honras que este Real cuerpo ha debido á los Reyes predecesores, ía utilidad de las bellas artes, su influjo en las costumbres y civilización, la importancia del dibujo para ade lantar nuestras fabricas, y la necesidad de propagar su estudio…</t>
  </si>
  <si>
    <t>…s táculos que se oponen á la corrección de los abusos, pidió al Rey. que se dig nase declarar Protector de la facultad de Cirugía y de su Real junta superior gubernativa al Sermo. Sr. Infante D. Antonio su augusto Tio, y S. M se ha dignado condescender con esta súplica por su Real resolución de 2,x de Ene ro último. La Cirugía española , que se ha merecido un distinguido lugar en tre las demas ciencias por los imponderables servicios que hace á la humani dad…</t>
  </si>
  <si>
    <t>…la vista de su Soberano, las esperanzas mas lisonjeras de su pronto restableci miento. Con efecto, á propuesta de la Real junra de Nobles de Madrid, ba jo los auspicios del Sermo. Sr. Infante D. Cirios, nombró S. M. por juez protector un magistrado supremo de su consejo y cámara, y á propuesta de este, apoyada por la Real cámara, se dignó S. M. conceder por diez anos 30© reales anuales sobre las rentas de la abadía de Alcali la Real (vacante), quedando de e…</t>
  </si>
  <si>
    <t>…el Consejo con aquella dulzura y unción que. forman su carácter; y S. M. correspon diéndole con su natural amabilidad rle «estrechó, entre sus brazos; hizo lo mis mo con el Sermo; Sr. Infante !&gt;.. Amonio , y en seguida dio á besar su Real tmano á los demas individuos del Consejo ^ofreciendo en iodo, este acto un espectáculo el mas tiérno, sin dejar de ser el mas circunspectory augusto. Concluida esta ceremonia volvió el Consejo con el mismo óraen…</t>
  </si>
  <si>
    <t>…uan, Príncipe Regente de Portugal, para verificar su matrimonio con su hija segunda la Serma. Sra. Infanta DoSa María Isabel , é igualmente el de su augusto Hermano el Serení simo Sr. Infante D. Cárlos María con la Serma. Sra. Infanta Do ña María Francisca de Asís, hija tercera del mismo Sr. Príncipe Re gente. Convenidos por ambas partes por medio de los respectivos ministros comisionados al efecto, que fueron por parte de S. M ¿1 Exctno. Sr. D. Pedro Cévallos Gu…</t>
  </si>
  <si>
    <t>…rio público de los reinos, leyó en alta voz la escritura de los contratos matrimohiales del Rey nuestro Señor;vy acabada su lectura , lo;hÍ-? zo igualmente de la de los del Sermo. Sr. Infante D. Cárlos María, alumbrándole un ayoda del Real guardamuebles de S. M. con uno dé los candeleros que habiá sobré esta' mesa. Estaba prevenida otra mesa y y poniéndola delante del Rey, nuestro Señor D. Luis Beldrof, aposentador honorario de palacio, con un ayuda del Real guar…</t>
  </si>
  <si>
    <t>…ongan lo conveniente á su puntual cumpli miento. Madrid 7 de febrero de ioió.w Luego que la diputación general ^ los reinos recibió eí aviso de S. M. de su enlace, y el del Sermo. Sr. Infante D. Cárlos , pidió licencia para ir en cuerpo con tan plausible motivo á felicitar á S. M., y habiéndola obtenido, tuvo la honra de haber sido admitida el dia 17 de Febrero, y su decano hi zo un breve discurso á S. M., y en seguida besó la Real mano la diputación, corre…</t>
  </si>
  <si>
    <t>…AA. se dignaron subir al pequeño observatorio que tiene dispuesto el establecimiento para observar los fenómenos mas prin cipales del cielo en las ocasiones que ocurren. El Sermo. Sr. Infante D. Amonio, como Almirante general de España, hallándose bien penetrado de la utilidad de este establecimiento, manifestó á S. M. la importancia de que se conservara y fomentase, dispensándole su soberana protección , tanto porque en medio de las agitaciones pasadas jal…</t>
  </si>
  <si>
    <t>…de Llano y Don Domingo Ramírez de Arellano. con el plausible motivo de su concertado matrimonio con la Serma. Sra. Infanta Doña María Isabel Francisca, y en seguida lo hicieron al Sr. Infante D. Carlos por su ajustado casamiento con la Serma*Sra.Infanta Doña María Francisca de Asís ; y asi S. M. como S. A. quedaron muy complacidos de esta demostración de amor y de respeto. El dia 25 del corriente tuvieron la honra de presentarse á S. M. y A. á nombre de la…</t>
  </si>
  <si>
    <t>…de la lealtad y amor que me profesa mi fiel ciudad de Guadix, y la presente me es tan grata, como el órgano de que se va te para felicitarme.” En seguida pasó al cuarto del Senno. Sr. Infante D. Carlos María Isi dro con igual objeto; y habiendo tenido el honor de besar la mano á S, A. pronunció el discurso siguiente: ,,Sermo. Sr.: Como representante de la leal ciudad de Guadix, una de las que ilustran esta monarquía por su antiquísimo origen, por su fidelidad y por s…</t>
  </si>
  <si>
    <t>…uoso y sincero de su fidelidad y amor á vuestra Real Persona y Familia, Felicitando á V. M. por su matrimonio contratado con la Serma. Sra. Infanta Doña María Isabel, y del Sermo. Sr. Infante D. Cárlos coala Serma. Sra. Infanta Doña Maríia.Francisca. -</t>
  </si>
  <si>
    <t>…de distinguirme entre sus oriundos, confiriéndome el honroso encargo de felicitar á v. M. con el plausible motivo de su concertado matrimonio y el de su augusto Hermano el Sermo. Sr. Infante D. Carlos María Isidro con las Sermas. Sras Infantas Doña María Isabel Francisca y Doña María Francisca de Asís, hijas de los excelsos Principes del Brasil, encargo tanto mas lisonjero y apreciadle para mí cuanto reconociendo en aquella porción de leales vasallos de V. M.* según la…</t>
  </si>
  <si>
    <t>…entes de vuestros mas leales vasallos que B. L. R. P. de V. C. R. P. Moratalla y Marzo 12 de 1816.” El mismo comisionado tuvo la honra de felicitar con igual motivo al Se renísimo Sr. Infante D. Carlos en nombre del propio batallón, que en su exposición respetuosa dirigida á S. A. se expresaba del modo siguiente: ,„Sermo. Sr.: El cuerpo de oficiales del batallón de Patriotas de la villa de Moratalla, agraciado por S. M. , con el rendimiento de su mas leal e…</t>
  </si>
  <si>
    <t>…mas. Pero no pudiendo observarse estas reglas en las primeras elecciones que se hagan para poblar los colegios, y queriendo el Rey nuestro Señor dar á su caro y augusto Hermano el Señor Infante Don Carlos María, como pro tector que es de dichos colegios , una prueba del amor y confianza que le merece; ha resuelto que por esta primera vez nombre los sugetos que han de obtener las becas, y elija los que han de servir los cargos de rectores y con siliarios , precediend…</t>
  </si>
  <si>
    <t>…iago y el marques de Jarareal, cpn el plausible motivo de su concertado matrimonio con la Serení sima Sra.,Infanta Doña María Isabel Francisca, y en seguida lo hicie ron al Sermo. Sr. Infante D. Carlos por su ajustado casamiento con la Sentía. Sra. Infama Doña María Francisca de Asís; y asi S M. como S. A. quedaron muy complacidos de esta demostración de amor y de respeto. ARTICULO DE OFICIO. Artículo comunicado por la primera secretaría de Estado. Por cart…</t>
  </si>
  <si>
    <t>4H Madrid 22 de Abril. El 14 de este mes se presentaron á S. M. y Sr. Infante D. Carlos D. Die go María Vadiíios, ministro del Consejo supremo de Almirantazgo, D. Ra fael de Morales, capitán de fragata de la Real Armada, D. Josef y D, Juen Cortés, capitán y primer teniente de Reales guardias Walonas; arengan do el primero en estos términos: „Señor*. Po…</t>
  </si>
  <si>
    <t>…ra futura Esposa la Serina. Sra. Infan ta de Portugal, de cuyo enlace augusto espera la nación toda su prospe ridad/’ Después pasó la comisión á hacer igual felicitación al Sermo. Sr. Infante D. Cá ríos , y lo verificó en los términos siguientes: ,,Sermo. Sr.: La ciudad de Murcia y esta diputación de su ayuntamiento á su nombre saluda reverente á V. A.: manifiesta el dulce placer que la ha cabido en el plausible anuncio de vuestro tratado enlace con laS…</t>
  </si>
  <si>
    <t>…mas señores por el esmero con que se conducen en fa vor de su patria. Madrid jo de Mayo. El dia 5 del corriente tuvieron el honor de besar la mano y cumplimen tar á S. M. y Sermo. Sr. Infante D. Cirios por sus tratados casamientos, á nombre de la ciudad y provincia de Palencia, el conde de Castroponce, el marques de Castrofuerte y D. Josef Ramírez, regidores perpetuos de dicha ciudad; y el primero dirigió á S. M. el discurso siguiente: „ Señor: La ciudad de…</t>
  </si>
  <si>
    <t>497</t>
  </si>
  <si>
    <t>…las demas carreras que tienen por instituto el gobernar y defender á los hombres, pidió á S. M. se dignase declarar Pro tector de la Medicina y del cuerpo que lá dirige al Serano. Señor Infante Don Carlos, su augusto Hermano. El Rey nuestro Señor, con fecha de 20 de Febrero último, se ha "Servido acceder á la indicada súplica. Esta satisfacción recq&amp;rda á la ciencia de curar los felices tiempos en que teniendo á su frente, como entre las naciones de la antigüe…</t>
  </si>
  <si>
    <t>…„ Dios guarde la Católica Real Persona de V. M. como lo apetece an siosa la fiel y leal villa de Benaojan y sus vecinos.’* En seguida felicitó dicho comisionado á S. A. el Sermo. Sr. Infante Don Carlos en los términos siguientes: „Sermo. Sr.: Como representante de la invencible, noble y leal villa de Benaojan y sus vecinos , en el reino de Granada, partido de la ciudad de Ronda, que en todos tiempos han dado las mas convincentes pruebas de su fidelidad, amo…</t>
  </si>
  <si>
    <t>…rnador militar y político de Lérida el mariscal de campo D. Francisco Fulgosio, y nos encarga lo manifestemos asi á V. M.” En seguida pasó la comisión al cuarto de S. A. el Sermo. Sr. Infante Don Carlos, y dijo: „Señor: Tenemos el honor de felicitar á V. A. en nombre de la ciudad de Lérida por su concertado enlace con la Serma. Sra. Infanta Doña María</t>
  </si>
  <si>
    <t>…ai. ESPAÑA. Linares 20 de Mayo. El Exemo. Sr.,Puqaedel Infantado, presidente de Castilla, autorizado cor plenos poderes, y elegido por S. M. el Sr. D. Fernando vii y por el Sermo. Sr. Infante D. Carlos, su augusto Hermano, para contraer en su nombre los matrimonios ajustados con las Sermas. Sras. Infantas de Portugal Dona Ma-</t>
  </si>
  <si>
    <t>…expresiones con que me han felicitado los comisiona dos de la ciudad de Segovia, confirmándome cus leales sentimientos. En seguida pasaron dichos comisionados al cuarto del Serme Sr. Infante D. Cárlos, á quien cumplimentaron con igual motivo, contestando S. A. haber agradecido mucha la felicitación de la ciudad de Segovia. Las bombas de vapor se han extendido tanto en Inglaterra que puede ase gurarse qu? no hi'y operacioo alguna es las artes á que no se ap…</t>
  </si>
  <si>
    <t>…n , dirige á este fin sos votos y sacrificios al Rey eterno de la gloria por quien reinan los de la- tierra, y de cuyo trono procede todo- bien/’ En seguida pasaron al cuarto dr-1 Sr. Infante D. Carlos, á quien et mis mo señor canónigo dirigió el discurso siguiente: „Sermo. Sr.: El cabildo de ¡a catedral de Jaén hace la justicia que es de bida á las distinguidas virtudes de V. A. , reconoce en su persona uno de los ma*&gt; ñrme* apoyo* del trono del Rey su aug…</t>
  </si>
  <si>
    <t>631</t>
  </si>
  <si>
    <t>…gnó manifestar en su semblante y en predones cuan gratos le son los nobles sentimientos de los fieles habitantes de Chile. En seguida pasaron diehos diputados al cuarto del Sermo. Sr. Infante D. Carlos, á ouien felicitaron con el mismo motivo diciendo: ,, La mas agradable incertidumbre ha detenido , Señor , hasta ahora á los diputados de Chile en rendir á V. A. los debidos parabienes por su glorioso establecimiento con ía Scrma. Sra. Infhnta de1 Portugal Ma…</t>
  </si>
  <si>
    <t>…en la iglesia parroquial de S Bartolomé el Reai en festi vidad de los dias de nuestro legítimo y amado Monarca, y por la feliz unión y enlace de S. M. y su Sr. Hermano el Serrao. Sr. Infante D. Carlos Mana con las excelsas Infantas de Portugal. El dicho ayuntamiento compuesto de los regidores D. Pablo López, el capitán D. Dionisio Amelo, D. Máximo de Avila y D. Rafael Bautista Ca ntara , y los diputados D Manuel Ahugetas, D. Vicente Cárdenas, D. Joscí Rodriguez…</t>
  </si>
  <si>
    <t>…timonio de Jo grato que es á la ciudad a quien representa la celebridad y obsequios debidos a su augusto Soberano. Ajad' id 14 de Junio. Ayer en celebridad de los ¡días del Sermo. Sr. Infante D. Antonio, Tío del Rey nuestro Señor’, se vistió la corre de gala sin uniforme, y concur rieron á cumplimentar á S. A. R. los embajadores y ministros extrangeros, los grandes-de España, los diputados de los reinos, los títulos, los aninbtros de ios consejos, los genera…</t>
  </si>
  <si>
    <t>…. Princijss cst vinas m.ixima nos se saos." S. M. se dignó contestar su agradecimiento, y que asi se manifestase á la ciudad. Pasaron después con igual motivo al cuarto del Sermo. Sr. Infante Don Carlos ; y el mismo Sr. comisionado dijo: „ Sermo. Sr.: La rnuy ilustre y siempre fiel ciudad de Alicante nos ha distinguido con el honroso encargo de felicitar á V. A. por los esponsales contrarios con la Serma. Sra. Princesa de Portugal Doña María Francisca. ,,Dig…</t>
  </si>
  <si>
    <t>…, im plorando al Todopoderofo dispense á V. M. un feliz, abundante, dilatado y pacífico reinado para beneficio de sus amados vasallos/’ En seguida pasó á la habitación del Serrno. Sr. Infante D. Carlos, á quien arengó en los términos siguientes: „ Señor : En representación de la muy noble y leal ciudad de CiudadReal , capital de la provincia de la Mancha, de la qne soy comisionado por su ilustre ayuntamiento y vecindario, felicito á V. A. por el enlace con…</t>
  </si>
  <si>
    <t>…estar con el mayor agrado, sino también in formarse particularmente de las ruinas de la villa por las tropas francesas, y con deseos de su alivio. En seguida pasaron al cuarto del Sr. Infante D. Cirios, y el mismo Don Josef Martínez de Bustos dijo: ,, Sermo. Sr.: La antigua villa de Almazan viene en nosotros á los pies de V. A. llena de gozo por el enlace de V. A. con la Serma. Sra. Infanta de Portugal Doña Marta. Francisca de Asís: el cielo aumente con la…</t>
  </si>
  <si>
    <t>…insinuación mas sin cera de su acreditado alecto, triburando á V. M. por este débil conducto mil enhorabuenas por el acertado , feliz y satisfactorio enlace que V. M. y el Sermo. Sr. Infante D. Carlos tienen tratado con las excelsas Sermas. Sras. Infantas Doña María. Isabel Francisca y Doña María Francisca db Asís, hija' de la augusta casa de Portugal, de tan esclarecida estirpe, virtuo sa y católica rama: Señor, aquellos heles pueblos y la nación entera s…</t>
  </si>
  <si>
    <t>…e S. M.” S. M contesto con la mayor bondad: ,.S; !o que hizo la ciudad de la Coruña, y estoy muy satisfecho de su proceder.” En seguida nadando la diputad &gt;n al cuarto de S. A. el Sr. Infante Don Carlos dij o el misino comisionado: „Sermo. Sr.: El ayuntamiento de h eludid de la Coruña nos hizo el ho nor de comisionamos oirá felicitar á V. A. por su contratado enlace con la Senna. Sra. Infanta D»ia Francisca nn Asís, y manifestarle la satisfacción que le cabe…</t>
  </si>
  <si>
    <t>…uyo puerto, co mo el mas famoso de la Europa toda, clama por una especial soberana pro tección , nos comisiona para que como hijos suyos y á su nombre felicitemos á V. M. y Sermo. Sr. Infante D. Carlos María por los concertados casa mientos con las Sermas. Sras. Infantas de Portugal, bien ciertos aquellos fie les vasallos de que estos preciosos enlaces contribuirán á las mayores felici dades de vuestras Reales Personas, prosperidad de toda la monarquía y pro tecc…</t>
  </si>
  <si>
    <t>…tos al Omnipotente para que conceda á V. M. y á su augusta Pispo&gt;a las mayores felicidades, y una posteridad que sea siempre la gloria de España.” En seguida felicitaron al Sermo. Sr. Infante D. Carlos con igual motivo en los términos siguientes: „Sermo. Sr.: La ciudad Je Cazorla, que ha tenido la honra de felicitar al Rey nuestro Señor por su tratado casamienro, se presenta á V. A. con el mismo objeto ,celebrando que V. A., imitando el egemplo de su august…</t>
  </si>
  <si>
    <t>…dad futura, y el mas firme baluarte de la religión y de! estado.’’ S. M. manifestó su gratitud con la bondad y dulzura que le caracterizan. En seguida pasaron ai cuarto del Sermo. Sr. Infante D. Carlos; y el mis mo comisionado dij • : „ Sermo. Sr.: Ei cabildo efe la santa iglesia de Orihuela felicita a V. A. dándole mil enhorabuenas, persuadido de que los futuros enlaces del Rf.t</t>
  </si>
  <si>
    <t>…las dos ciudades de Barcelona y de Molina por sus res pectivos comisionados, y llevando la voz el mismo Excmo. Sr. marques de Viilei, tuvieron ia honra de felicitar i S. A. S. el Sr. Infante D. Carlos con el interesante motivo de su acordado casamiento con la Serma. Sra. Doña María Francisca, Infanta de Portugal. ARTICULO DE OFICIO. Con motivo del fallecimiento d« la Reina de Portugal ha resuelto el Rey nuestro Señor que desde el jueves 4 del corriente se…</t>
  </si>
  <si>
    <t>…ando lo conten to que e*taba de la lealtad, valor y bizarría de la tropa y sus vecinos , y no menos de las damas y demas mugeres de Gerona. hn seguida pasaron al cuarto del Sermo. Sr. Infante D. Carlos, y le fe licitó el iri.mo señor barón en los términos siguientes: ,, Sermo. Sr.: La ciudad de Gerona, que en el siempre memorable mes de Marzo de 1D4 cuenta U época de todas sus dichas y del triunfo de sus sa crificios por haber aozado de la vista y suspirada…</t>
  </si>
  <si>
    <t>…on benevolencia esta manifestación de los sentimien tos de ia expresad* villa, y expresar á la diputación cuan gratos le eran. En seguida se dirigió» la misma al cuarto del Sermo. Sr. Infante D. Car los, á quien cumplimentó en los términos siguientes:</t>
  </si>
  <si>
    <t>…M. por su contratado enlace con ia S^nna Sra. Infanta de Por tugal Doña María Isabel ei dia ^i de Mayo, no habiendo podido por va rias circunstancias presentarse á S. A. el Serme. Sr. Infante D. Carlos para felicitarle en aquel mismo dia con ¡cual motivo, lo verilearon el dia 12 de Junio próximo pasado; y ci Sr. de ÍCubianes dijo á S. A. R. lo siguiente: „Sermo. Sr.: La ciudad de Santiago tiene fundados motivos para persua dirse que los mismos que impulsaro…</t>
  </si>
  <si>
    <t>…de su Real bondad admi.ir los leales votos de esta vuestra ciudad , y permitir á sus diputados la honra de que besemos su Real mano.” Al dia siguiente pasaron al cuarto del Sermo. Sr. Infante D. Carlos, y dijo el mismo: „ Sermo. Sr.: La muy noble y muy leal ciudad de Plasencia, que mira con</t>
  </si>
  <si>
    <t>…fanegas de trigo,por v}a de donativo, para el «ustento de la tropa. Las 100 se entregaron en me tálico por ti Sr. D. Antonio Perez Herrasri, teniente de hermano mayor del St rmo. Sr. Infante D. Carlos, quien depositó en tesorería por razón de su importe 1 ti 9 rs. , y las otras ico las completaron en grano los caballeros maestrantes. La casa de la maestranza se adornó ademas con lujo y elegan cia, iluminándola el 29 y el 30 vistosamente con vasos de colore…</t>
  </si>
  <si>
    <t>…s animan á sus representantes." S. M. se dignó manifestar su agradecimiento, y les dió á besar su Real mano. En seguida pasaron dichos comisionados á felicitar con igual motivo al Sr. Infante D. Cirios , y dijeron á S. A. lo siguiente: „S.jrmo Sr.: En representación de la ciudad de Avila venimos á poner nos á L. P. de V. A. para felicitarle por su ajustado enlace con la Serenísi ma Sra. Doña Francisca db Asís, Infanta de Portugal: reciba V. A. los sencillos…</t>
  </si>
  <si>
    <t>…erve en el trono tantos años, que podáis disfrutar la satisfacción de ver á vuestro lado los hijos de vuestros nietos." Igualmente tuvieron la honra de felicitar á S. A. el Sermo. Sr. Infante D. Cárlos, dicicndole: „Sermo. Sr: El respeto y amor de que V. A. se hace tan digno obligai» al cabildo de Cuenca á tomar particular interes en vuestras satisfacciones. Las que le ofrece el enlace contratado con la Serma. Sra. Infanta de Portu gal Doña María Francisca…</t>
  </si>
  <si>
    <t>…. aj mitir este sencillo símbolo de su amor y patriotismou y el ciño colme de prosperidad vuestro reinado*” Posteriormente pasaron los mismos comisionados al cuarto del Serenísimo Sr. Infante D. Carlos, á quien el propia Sr. regidor dijo lo siguiente: ,,Sermo. Sr.: En nombre del ayuntamiento de la M. N. y L. ciudad de Vailadolid Jamos á V. A. S. el parabién por su concertado enlace con la Serma. Sra. Doña Francisca. l»k Asís, Infinta de Portugal: prodigue e…</t>
  </si>
  <si>
    <t>…a dotado á V. M. y á la Se ñora Infanta Doña María Isabel para la prosperidad de nuestra santa reli gión católica y de todos sus dominios.” Después pasaron á presentarse al Sermo. Sr. Infante D. Carlos, á quien felicitaron igualmente diciendo: „Sermo. Sr.: Como representantes de la M. N. y M. L. ciudad de Tu dela , cabeza de su merindad en el reino de Navarra, para felicitar á V. A. por su concertado enlace con la Sra. Infanta de Portugal Doña María Fran ci…</t>
  </si>
  <si>
    <t>…un público deseoso de informarse positivamente de su instituto y ocupaciones, Madrid 1 § de Julio. El dia 28 de Junio último tuvieron el honor de besar la mano á S. M. y al Sermo. Sr. Infante D. Cirios, y cumplimentarlos por sus futuros enla ces con las Sermas. Sras. Infantas de Portugal, los diputados de la ciudad de Badajoz, capital de Extremadura, los Excmos. Sres. D. Pedro Cevallos, primer secretario de Evtado y del Despacho, D. Manuel de Villena, pri m…</t>
  </si>
  <si>
    <t>…tarla , será para sus naturales el dia mas glorioso aquel en que les ileuue esta noticia , porque no aspiran á otra cova.’ En seguida pagaron los mismos comisionados ai cuarto del Sr. Infante D. Carlos a felicitarle con el propio motivo. Avi S. M. como S. A. lu$ reci bieron con aquel agravio que a todos sus vasallos, dándose por satisíechos des la conducta de Cáceres.</t>
  </si>
  <si>
    <t>…ta esposa, y con una numerosa sucesión para perpetuar sus virtudes, conserve el cielo su vida dilatados años.” La misma comisión con igual motivo pasó á cumplimentar al Serenísimo Sr. Infante D. Carlos, arengando á S. A. dicho ayudante mayor en los tér minos que siguen : „Serino. Sr.: La ciudad de Velez-Málaga se apresura á felicitar á V. A. por su futuro enlace con la Serma. Sra. Infanta de Portugal Doña María Francisca de Asís: sus naturales se congratula…</t>
  </si>
  <si>
    <t>…s su\ os ■&gt;» S. M. oyó con mucho agrado los leales sentimientos del principado , y oon la amabiiid d que tanto ie distingue lo manifestó, ¿ni. Después pasaron al cuarto del Sermo. Sr. Infante D. Cárlcs, á quien el' mismo Sr. marques dijo : „ Sermo. Sr : El principado de Asturias, que reconoce en la digna perrona de V. A. el primer apoyo del trono, tiene 1a honra de felicitarie por su contratado enlace con la Serma. Sra. Infanta de Portugal Doña María Franci…</t>
  </si>
  <si>
    <t>…El Rey nuestro Señor ha bebido el agua termal sin interrupción por espacio de 14 dias. Hoy ha tomado el noveno y último baño: todo le ha sentado muy bien, igualmente que al Sermo. Sr. Infante D. Antonio. El es tado actual de la salud de S. M. y A es el mas satisfactorio. Continuación de las felicitaciones hechas á S. M. D. Antonio de la Cuesta , cura párroco de Ontanillas. La diputación de la villa de Montalvillo. El cura párroco del lugar de Torronte. El ay…</t>
  </si>
  <si>
    <t>…numerosa comitiva corrió toda la línea, hasta el momento que se dignó lle gar S. M., á quien se recibió en el mismo orden, siguiéndole en carroza abierta su augusto Tio el Sermo. Sr. Infante D. Antonio. En el instarte S. A. el Sr. Generalísimo , acompañado de todos los gefes indicad &gt;s , salió i recibir á S. M., que revistó con atención las divisiones, pasando por rodas sus filas, y se mostró satisfecho de su equipo y rigurosa uniformidad. Estas después , f…</t>
  </si>
  <si>
    <t>…r, para su frir con gu^to tamas penas y trabajos, ¿cual será su placer y júbilo al verla verificada hoy , siendo honrado con la augusta presencia de V. M. y de su venerable lio el Sr. Infante D. Antonio? Un favor tan singular jamas se borrará de la memoria á los vecinos de Cu.nca; antes bien de dia en dia ex citara mas su gratitud , y avivara el amor y lealtad que siempre ha tributado V. M., y con que se ha distinguido entre todos los pueblos de la monarquía…</t>
  </si>
  <si>
    <t>…de educación, pensaba en vi ’tar el ;tmi narlo, pues prepuntó hacia qué parte de la ciudad se hallaba fundado; y con efecto, en aquella mbma tarde je presentó en él S. A el Sermo. Sr. Infante D. Antonio, y a corto rato S. M. lo verificó entre las mas vivas aclamacio nes. Ambos visitaron la biblioteca del colegio, capilla, refectorio, aulas, cuarto rectoral y algunos de colegiales, acompañados del obispo y grandes de su servidumbre, enterándole muy por menor…</t>
  </si>
  <si>
    <t>…cion Apostólica y Real de la Sta. Cruzada. Lln regidor comisionado de la villa de Utiel, ¿ nombre de aquel ayunta miento. Guada!ajara 6 de Agosto. El Rey nuestro Señor y el Sermo. Sr. Infante fc&gt;. Antonio salieron á la hora acostumbrada de la ciudad de Cuenca el sábado 3 del corriente mes para la de Huete, en donde permanecieron S. M. y A. hasta el lunes s » en que se trasladaron á Sacedon; y haciendo tránsito en dicha villa se han diri gido hoy á…</t>
  </si>
  <si>
    <t>…en de Huete lo siguiente: Esta antiquísima ciudad, que pocos dias antes habia recibido y hospe dado con los obsequios mas cordiales al Rey nuestro Señor y su augusto Tio el Sermo. Sr. Infante D. Antonio , tuvo por segunda vez en el día 3 del corriente y cerca de las 11 de su mañana la satisfacción de verlos entrar en ella entre una muchedumbre de gentes de todas clases, corporaciones, esta dos y diputaciones que esperaban á S. M. para cumplimenrarle. Su entr…</t>
  </si>
  <si>
    <t>…empre fiel, leal y obediente á V. VI. , vuelve X tener el honor de besar su Real mano con el mayor respeto por el plausible motivo de los concertados enlaces de V. M. y del Sermo. Sr. Infante D. Cirios, su augusto Hermano, con las Sentías. Sras. Infantas de Portugd Doña María Isabel y Doña María Francisca , muy driles á toda la iglesia y estado de esta monarquía, muy deseados de todos los buenos vasallos de V. M., y por cuyos felices efectos con las mas cop…</t>
  </si>
  <si>
    <t>…ano, acaba de dar las mayores pruebas del cordial afecto que le profesa en el recibimiento que hizo á nuestro católico Monarca el Sr. D. Fernando vii y á su augus to Tio el Sermo. Sr. Infante D. Antonio el dia 10 del corriente. A la ma drugada de este venturoso día calieron de. la ciudad tres comisionados de! ilus tre ayuntamiento ,con sus caballos ricamente enjaezados , y á poco mas de las ocho de la mañana tuvieron la satisfacción de recibir al Rey nuestro…</t>
  </si>
  <si>
    <t>…mero: ,,Señor: El tribunal de la santa, Real y vieja hermandad de la ciudad de Ciudad-Real , capital de la provincia de la Mancha, de que es alcalde y protector perpetuo el Sermo. Sr. Infante D. Carlos María, nos ha distingui do con la honrosa comisión de felicitar á V. M. por su nuevo contratad* matrimonio con la Serma. Sra. Infanta de Portugal Doña María Isabel. Es te tribunal, obra del Sto. Rey D. Fernando en el año de 1249 ^ai” sus sá pidos y de los demas adu…</t>
  </si>
  <si>
    <t>…os comisionados con su acostumbrado agrado, hacer memoria de su tránsito por Mataró, y dispensarles la honra de besar su Real mano. Lo mismo experimentaron de la bondad del Sermo. Sr. Infante D. Car los , á cuyo cuarto y presencia habiendo pasado en seguida con igual moti vo , dijo á S. A. el primero de los comisionados: „Sermo. Sr : Sea V. A. dichoso por muchos años unido á la Sra. Infanta Doña María Francisca de Asís, y sean VV. AA. y su posteridad los…</t>
  </si>
  <si>
    <t>…go de reinar, prolongue la posteridad de V. M. hasta los siglos mas remotos en ambos mundos. Asi, Señor, se lo suplica Trugillo al Todo poderoso.” En seguida pasaron al cuarto del Sr. Infante D. Carlos María; y dijo el mismo lo que sigue: „Sermo. Señor: La M. N. y M. L. ciudad de Trugillo, cuyo respeta ble nombre y religión han traspasado los mares por el valor de sus hi jos, tiene hoy el honor de postrarse á los pies de V. A. y felicitarle por el contratado enla…</t>
  </si>
  <si>
    <t>…istiera el regimiento, como se ha veri ficado, formando con las tropas de la guarnición. La mañana del 12 fue la destinada por S. M. para visitar, en compañía de su augusto Tio el Sr. Infante D. Antonio, la academia de Ingenieros , en la cual tuvieron el h mor de hacer la guardia á la Persona de S. M. , como lo habian tenido en la barraca preparada para el simulacro, los caballeros cade tes de Zapadores, cuya gracia han conseguido por Real orden de 6 del mis…</t>
  </si>
  <si>
    <t>…e Sr. Infan te D. Cirios, cuando la honró con su presencia en el año de i 808, y dis pensó á los diputados el honor de besar su Real mano. En seguida pasaron á felicitar al Sermo. Sr. Infante D. Carlos María,ge nera Limo de los egércitos de S. M ♦ por su concertado matrimonio con la Serma. Sra. Infanta Doña María Francisca ; al cual dirigió el mismo señor diputado el discurso que sigue: ,,Sermo. Sr.: La M. N. y M ciudad de S. Sebastian, que tenemos el honor de re…</t>
  </si>
  <si>
    <t>…. M* por su futuro matri monio en nombre de la Sta. y Reai hermandad vieja de Toledo el Dr. Don Alejandro Merino, abogado de los Reales Consejos, lugar- teme me alcalde del Sermo. Sr. Infante D. Cárlos María, que lo es perpetuo, dlgníimo Her mano mayor y protector de la misma, D. JosefGarcía de la Torre, alcal de de casa y corte, D. Agustín López Carretero, asesor de ios Ordenes mi litares , regidores perpetuos en asiento y banco de caballeros de la ciudad de Tol…</t>
  </si>
  <si>
    <t>toy sustanciando como sn alcalde, y se decidirán con arreglo á las leyes/’ Después panS la comisión á hacer i^ual felicitación al Serillo. Sr. Infante D. C.ir! os; y lo verificó en los términos siguientes: „Sermo. Sr : La Sta. y Real hermandad vieja de Toledo, que merece el honor de tener á V. A. por su Hermano mayor, Alcalde perpetuo y Protec tor, nos ha autorizado para que le congratulemos por su concertado mat…</t>
  </si>
  <si>
    <t>…su digna futura Esposa, el colmo de prosperidades que merecen por rantos títulos.” El dia 27 de Agosto próximo pasado tuvieron la honra de presentarse á felicitar á S. M. y Sermo. Sr. Infante D. Carlos por los concertados enlaces con las Sertnas. Sras. Infantas de Portugal una comisión de la villa de H: ena, compuesta de su alcalde mayor el Dr. D. Lorenzo Cazanx , Sr. D. An tonio Gómez Calderón, fiscal del Consejo supremo de Indias, y el marques de Casa Mad…</t>
  </si>
  <si>
    <t>…lmados de dulzura al Jado de una esposa pruden te oue renovará la memoria del reinado de los Reyes católicos, reinado de gloria para España. ° En seguida pasó al cuarto del Sermo. Sr. Infante D. Carlos, y precedi das las acostumbradas ceremonias , el mismo arengó en Ja forma que sigue: „Señor: Organos de los sentimientos de la ciudad de Baza con motiva del ajustado enlace de V. A., llegamos á sus pies á asegurarle el amc r y respeto de nuestros comitentes,…</t>
  </si>
  <si>
    <t>…A L. R. P. de V. M.= Por el abad y cabildo de la igh'iu de Id. za Antonio María Espejo, canó nigo magistral.^Silvestre Martínez, canónigo.” En seguida pasaron al cuarto d.l Sermo. Sr. Infante D. Carlos; y tuvie ron la honra de felicitarle en e'-tos términos : ,,Serrno. Sr. : hl abad y cabildo de la imigne iglesia colegial de Baza no ha pedido saber con indiferencia la imprrt..n:e y plausible noticia del con tratado enlace de V. A. con la Serma. Sra. Infanta…</t>
  </si>
  <si>
    <t>…as sus virtudes, las cuales, unidas á las que caracterizan á V. M. , completen ia dicha y felicidad de to dos sus fieles y leales vasallos” En seguida pasaron al cuarto del Sermo. Sr. Infante D. Cirios Ma ría; y dijo el mismo lo que sigue: „Sermo. Sr.: La divina Providencia, que hizo á V. A. R. partícipe de las aflicciones de S. M. durante su penoso y largo cautiverio , ha dhoue ^' le acompañe también en sus felicidades; y que al tiempo que se veiiñcan *us aug…</t>
  </si>
  <si>
    <t>…tos sentimientos , que le fueron muy agradables ; y contestó: „Que tenia muy «presente*- los obsequios que le hizo Reus.” El dia Mguiente á Ja inbma h&lt; ra se presentaron al Sermo.Sr. Infante Don Carlos; y el expre«ado decano dijo á S. A. R : „Sermo. Sr.: Reus, por el órgano del decano y dos comisionados de su ayuntamiento, tiene en este dia el alto honor de ti licitar á V. A. por el ajus tado enlace con la Serma. Sra. Infanta de Portugal Doña María Francisc…</t>
  </si>
  <si>
    <t>…á desear con impaciencia el momento de tan apetecible unión , como el princi pio de todas las felicidades que se prometen de ella.” En seguida pasaron al cuarto de S. A. el Sermo. Sr. Infante D. Cirios, á quien arengó el mismo en esta forma: ,,Sermo. Sr.: La villa de Arévalo y pueblos de su jurisdicción besan la mano de V. A., y le tributan la mas afectuosa enhorabuena por su concer de Asís.w tada unión con la Serma. Sra. Infanta de Portugalw» Doña Francisc…</t>
  </si>
  <si>
    <t>…. aceptarle como una prueba del amor que consagran á vuestra Real Persona.__ A L. R. P. de V. M. = Ger vasio de Quintas.” En seguida pasó el mismo comisionado al cuarto del Sermo. Sr. Infante D. Curio; ; v tuvo el honor de felicitarle en los termines siguientes: ,,Sermo. Sr. : La viña de Sta. Oía! a, que tetero el honor de representar como su procurador sindico, me distingue lisonjeramente comisionándome para le.ic.tar a V. A. por su contratado matrimonio…</t>
  </si>
  <si>
    <t>…que el hombre, como uno de los seres imitadores pueda , á presencia de¿tan digno egemplo, formar su felicidad en fomento del estado, honra de Dios y eterna memoria del amabilísimo Sr. Infante D. Carlos de Borbon.”</t>
  </si>
  <si>
    <t>…se con el mismo zelo reuniendo estos dos tan importantes objetos, que son los que hacen al hombre verdaderamente feliz. • Madrid 2$ de Setiembre. El Rey níiestro Señor y el Sermo. Sr. Infante D. Cárlos, acompañados de su augusto Tio el Sermo. Sr. Infante D. Antonio, salieron el 22 del cor riente por la tarde para Aranjuez con el objeto de recibir como particulares á sus augustas Esposas , y llegaron al Real sitio el mismo dia sin la me nor novedad en su imp…</t>
  </si>
  <si>
    <t>io49 En seguida dijo el mismo al Sermo. Sr. Infante D. Cárlos María lo que sigue : ^ ^ „ Sermo. Sr.: Si V. A R. fue partícipe con S. M. de las aflicciones con siguientes á su largo cautiverio, justo es también que no deje de serlo de sus felicidades: asi lo ha dispuesto la divino Providencia , que ha querido que al niismo tie…</t>
  </si>
  <si>
    <t>…a iglesia de Piasencia, y de las pruebas que de ello le había dado en el tiempo de su cautiverio.*’ El 2i la misma diputación tuvo la honra de felicitar con igual motivo al Sexmo. Sr. Infante D. Carlos* y el expresado deán dijo: „Sermo. Sr.: Cuando las principales ciudades é iglesias del reino se apre suran á porfia en enviar diputaciones que expresen respetuosamente al Rey nuestro Sr. y á V. A. la gran satisfacción que les cabe aí ver su unión coa dos Infa…</t>
  </si>
  <si>
    <t>…e en su trono hasta los mas remotos siglos descendencia de tan piado sos y augustos progenitores.”" ' En seguida! tuvo el honor de cumplimentar y besar la Real mano al Se renísimo Señor Infante D. Cárlos , manifestando á S. A. los mismos deseos de felicidad en su augusto matrimonie. . u i J.------------------------------------.1 ■ ■■ ;■ ' .■-------------- ------------------------ . ■ . ..................... ~ , ■ — ... \Re al. lotería, moderna. En el sorteo d…</t>
  </si>
  <si>
    <t>…e la Real audiencia de México, con el plausible motivo de su matrimonio y arribo á Cádiz de la Reina nuestra Señora Doña María. Isabel Francisca; y el dia 17 lo hicieron al Sermo. Sr. Infante D. Carlos María Isidro por el suyo con la Serma. Sra. Infanta Doña María Francisca de Asís; y asi S. M.</t>
  </si>
  <si>
    <t>…oe estos vecinos, en acción de gracias al Todopoderoso por los augustos des posorios del Rey nuestro Señor con la. Reina nuestra Señora Doña Isabf.l Marta Francisca, y del Sermo. Sr. Infante D. Carlos María Isidro con S. A. S. la Infanta Doña María Francisca de Asís. Efectivamente se cantó el le Deum en el expresado dia 22 , hubo misa solemne con su Ma gestad patente y sermón alusivo al asunto, que predicó el cura párroco de esta villa D. Julián Sanz Palanco. La asiste…</t>
  </si>
  <si>
    <t>…DE OFICIO. £1 día 28 del pasado á las siete de la mañana salió de Aran jaez con direc* cion á esta capital la Reina nuestra Señora, acompañada de su augusta Her mana y del Sermo. Sr. Infante D. Antonio , que se había quedado con este objeto en el Real Sitio. S. M. y A. fueron recibidas al entrar en la jurisdic ción de Madrid pof su corregidor interino, que dirigió á S. M. la siguiente arenga: Señora: El corregidor interino de la M. N. L. C. y II. villa de M…</t>
  </si>
  <si>
    <t>…cha. Llegado que hubieron la Reina nuestra Señora y*la Serma. Sra.Infanta al sitio en que esperaban sus augustos Esposos, se colocó S. M. al estribo derecho del coche, y el Sermo. Sr. Infante D. Carlos al izquierdo, y én es te orden continuaron el viage SS. MM. y A A. escoltados por los guardias de Corps, hasta llegar á la cabeza de la guarnición, que estaba fuera de la puerta de Atocha. Alii se presentó el capitán general á caballo con toda la plana mayor…</t>
  </si>
  <si>
    <t>IÓ90 Rey, mayordomos de semana, gefes y ayudas de Cámara y señoras de to cador. El Rey nuestro Señor y el Sermo. Sr. Infante D. Carlos se apearon anticipadamente para dar la mano en la escalera á sus augustas Esposas; y pasando por las salas de guardias, de columnas y de embajadores, las condu jeron á su cuarto, retirándose en seguida al suyo el Rey nuestro Señor, acompañado de los Sermos. S…</t>
  </si>
  <si>
    <t>…a Isabel Francisca de Braganza, hija de los muy altos y poderosos Señores Reyes de Portugal D. Juan Sexto y Doña Carlota Joaquina de Borbon , Infanta de España: de S. A. el Sermo. Sr. Infante D. Carlos María Isidro, y de la Serma. Sra. Infanta Doña María Francisca de Asís, her mana de la Reina nuestra Señora; D. Pedro Alvarez de Toledo, conde de Miranda , grande de España de primera clase, caballero gran cruz de la Real y distinguida orden española de Carlos m, y de la…</t>
  </si>
  <si>
    <t>…Personas de la Reina nuestra Señora y Sra. Infan ta ; y declaraban haber cumplido su encargo, y á mayor abundamiento le dan recibo en* forma. S. M. el Rey nuestro Señor y S. A. el Sr. Infante D. CárJos lo expresaron asi, y lo firmaron de sus Reales manos, hallándo se presentes como testigos D. Luis de Borbon, por la divina misericordia presbítero cardenal de la santa romana Iglesia, del título de Sta. María de Scala, arzobispo de Toledo, primado de las Espa…</t>
  </si>
  <si>
    <t>…laces matrimonialesyá nombre de la M. N. y M.L. ciudad de Chinchilla,. el Excmo. Sr. marques de Monsalud, teniente general de los Reales-egércitos, y primer caballerizo del Sermo. Sr. Infante D. Car los, el Sr. D.. Francisco María Riesco, canónigo de la santa iglesia de Sala manca, é inquisidor del tribunal de corte; y habiendo manifestado á S. M. los testimonios mas auténticos del acendrado amor y fidelidad de aquel pue blo á la augusta Persona* de S. M…</t>
  </si>
  <si>
    <t>…nte discurso: ,,Serma. Sra.: El particular júbilo de que se hallan poseídos los corazones de todos los fieles españoles por ver ya realizado el feliz enlace de V. A. con el Sermo. Sr. Infante D. Carlos María Isidro me conduce hoy ante V. A. para felicitarla en nombre de la ciudad de Guadix, á quien en este acto re presento. Sus leales habitantes no se mirarían satisfechos al tributar á V. A, esta prueba de su respeto y de su amor, si para dar de ello testimonio no hubie…</t>
  </si>
  <si>
    <t>…ta de este modo: En su fondo se vela el retrato del Rey nues tro Señor D. Fernando vii bajo de dosel, con la silla que debía ocupar S. M. vuelta. A su derecha se hallaba el Sermo. Sr. Infante D. Antonio , vice-presidente ; frente al dosel estaba colocada la mesa traviesa, á cuyos la dos por derecha e izquierda estaban situados los Excmos. Sres. vocales de la diputación, y en dos filas de bancos paralelas lo estaban indistintamente los demas Excmos. Sres. gra…</t>
  </si>
  <si>
    <t>…itos ha dispuesto se junten á tan santas y respetables prendas la del poder, para bien de la monarquía y felicidad de sus vasallos.’' Los mismos comisionados felicitaron al Sermo. Sr. Infante D. Carlos en los términos siguientes: ,,Sermo. Sr.: Si fuera posible encontrar palabras que explicasen los afec tos y emociones que hoy experimenta la ciudad de Murcia con el feliz y acer tado enlace que ha contraído V■ A. con la Serma. Sra. Infanta de Portugal Doña Ma…</t>
  </si>
  <si>
    <t>…ad estas demostraciones de fide lidad y amor de su ciudad de Granada, dando á besar su Real mano con la mayor ternura á la diputación, que dirigiéndose en seguida áS. A.Serraa. el Sr. Infante D. Carlos María, le arengó por medio del mismo corregidor eri esta forma : ,,Sermo. Sr.: La ciudad de Granada, que tiene el honor de enviar esta diputación para felicitar á V. A. por su efectuado matrimonio con ia Serení sima Sra. Infanta Doña María Franci ca de Asís, ve est…</t>
  </si>
  <si>
    <t>…randecimiento del reino y lustre de su corona, ha que rido distinguir con particulares favores la feliz época de su augusto enlace con la Reina nuestra Señora, y el dé S. A. R. el Sr. Infante D. Carlos con la Serma. Sra. Infanta Doña María Francisca De Ásis , dignándose dis pensar con tan plausible y glorioso motivo las gracias expresadas en las si guientes notas: POR LA SECRETARIA DE ESTADO. Collares del Toison de Oro A los Excmos. Sres. duque del Infantad…</t>
  </si>
  <si>
    <t>…r Navarro, consejero honorario con sueldo del Consejo Real; D. Amonio María Izquier do, conventual de justicia en la orden de S. Juan, y Secretario de Cámara de S. A. R. el Sermo. Sr. Infante D. Carlos María Isidro. Asimismo se ha servido S. M. conceder á Fr. Cirilo Alameda, religioso de la orden de S. Francisco, predicador de S. M., los honores del tribunal de la suprema Inquisición, y una pensión eclesiástica de 15® rs.</t>
  </si>
  <si>
    <t>…ignó restituir al trono español á un nieto de S. Fernando, que imitándo celoso sus virtudes, hará felices á todos los vasallos de esta vasta mo narquía.” En seguida¡dijo al Sermo. Sr. Infante D. Carlos María lo que sigue: „Sermo. Sr.: Llegó para el rector y cabildo de beneficiados de la villa de Valls un tercer dia de satisfacciones las mas completas. Tuvo la primera, Sermo. Sr., en besar vuestras manos al tránsito con su adorado é inseparable Hermano , el mas am…</t>
  </si>
  <si>
    <t>…eligión y justicia , y que llamen á VV. MM. en renombre los amados de su pueblo Seguidamente tuvieron la dkha los mismos diputados de hacer igual feli citación á SS. AA. el Sermo. Sr. Infante D. Carlos y su augusta Esposa. El dia 5 del corriente tuvieron la honra de felicitar á S. M. por su au gusto enlace á nombre de la santa hermandad Real y vieja de la villa de Ta layera de la Reina D. Pedro Alcántara Aceituno y Cortés, caballero de nú mero pensionado de…</t>
  </si>
  <si>
    <t>…ntos con el plausible motivo del matrimonio de V. M.: su ceso de que tantos bienes y felicidades se promete la nación española.” En seguida pasó ia diputación al cuarto del Sermo. Sr. Infante D. Car los María, á quien tuvo igualmente el honor de felicitar con tan plausible motivo. En el mismo dia 6 la diputación nombrada por la santa Real hermandad vieja de Toledo, compuesta del Excmo. Sr. conde Armi'd.z de Toledo, ma riscal de campo de los Reales eeércitos ; el D…</t>
  </si>
  <si>
    <t>n 6o prontos á hacerlo en servicio de su augusto Esposo el Rey nuestro Señor y su digno Hermano el Sermo. Sr. Infante D. Carlos. El dia 7 del presente mes tuvieron el honor de besar la Real mano y fe licitar á S. M. por su augusto enlace los Sres. el Dr. D. Matías Samaniego y Alvarez, canónigo penitenciario de la insigne iglesia colegiaf de la ciudad de Toro, y D. Ana res Sánchez de A…</t>
  </si>
  <si>
    <t>…adrid. 11703 1000 ídem. En Toledo. ARTICULO DE OFICIO. El Rey nuestro Señor se ha servido conceder la llave de gentilhombre de Cámara con egercicio, y destino á la servidumbre del Sr. Infante D. An tonio, ál teniente general D. Josef Manuel de Goyeneche, conde de Guabul* declarándole la antigüedad desde 22 de Setiembre próximo pasado. El Rey nuestro Señor por resolución de 27 de Julio último se ha servia do jubilar á D. Andrés López de Frías, ministro d…</t>
  </si>
  <si>
    <t>…uvieron la honra de manifestar á S. M. y A„ la satisfacción que animaba á aquellos habitantes al ver ya en el territorio español á las augustas Esposas de su Soberano y del Sermo. Señor Infante D. Carlos, por cuya felicidad no cesaban de dirigir votos al cielo. El dia 21 del pasado tuvieron la honra de felicitar á S. M. por su augus to enlace á nombre de la villa de Irun sus comisionados D. Juan Josef de</t>
  </si>
  <si>
    <t>…a digna del trono de los Bordones, nos promete una virtuosa sucesión que mantenga en estos reinos la paz y la felicidad." E! dia 10 pasaron los mismos señores al cuarto del Sermo. Sr. Infante D. Carlos Marta á felicitarle igualmente por su enlace con ia Serma. Señora Infanta de Portugal Doña Francisca de Asís. w.1 El propio día 8 tuvieron la honra de felicitar á SS. MM. por su au gusto enlace j á nombre del señorío de Vizcaya^ ios Exentos. Sres. conde</t>
  </si>
  <si>
    <t>…e S. M. y prosperidad de la Serma. Sra. Infanta , de la misma manera que no había cesado de implorar su clemencia á favor de sus augustos Esposos el Rey nuestro Señor y el Serrno. Sr. Infante. El dia 9 de Octubre tuvieron la honra de felicitar á S. M. por su augus to enlace, como diputados de la santa iglesia de Játiva , los Sres D. Josef María Mariscal y Riveiro, del Consejo de S. M., inquisidor honorario de Valencia, dignidad de chantre y canóni…</t>
  </si>
  <si>
    <t>…idos satélites de Napoleón , no omitiendo sacrificio algu no» para defender los legítimos derechos del Rey nuestro Señor. En,seguida pasé el mismo comisionado al cuarto del Sefmo. Sr. Infante *D. Cárlos V á quien felicitó con igual motivo. A R T I C U i O DE OFICIO. Circular del Consejo Supremo de la Guerra, Habiendo; acudido al Consejo Supremo de la Guerra Doña Andrea del •Rio, madre viuda de D. Josef y D. Dionisio Valiñas, Subtenientes que fue r…</t>
  </si>
  <si>
    <t>…duda para que logren todo su objeto las grandes virtudes y talentos de la Reina nuestra Señora.” Los mismos comisionados tuvieron la honra dé felicitar cón igual motivo al Sermo. Sr. Infante D. Cárlos. ARTICULO DE OFICI O. Circular del Ministerio de la Guerra. i No habiendo sido comprendidos los Oficiales, Sargentos primeros y Ca detes de los Cuerpos que comporten- los diferentes egércitos de los dominios de Ultramar, ni los que destinado^ á ellds exhtian…</t>
  </si>
  <si>
    <t>…allarán en la portería del convento de S. Felipe el Real de esta corte. Epitalamio en celebridad de las plausibles bodas de nuestro augusto Monarca el Sr. D. Fernando vil y Sermo. Sr. Infante D. Carlos. Se hallará en la librería de Tieso, calle de las Carretas: puede ir en carta. EN LA IMPRENTA REAL.</t>
  </si>
  <si>
    <t>…ara, Dolí Francisco María Aguilera .y D. Joaquin Villar, y la de los grandes priora tos de la orden de S. Juan de Jerusalen, de los que es en el dia dignísimo gran prior el Sermo. Sr. Infante D. Oírlos, en cuyo nombre, y en el de los curas párrocos, priores y beneficiados de los pueblos de Madridejos, Arenas, Tembleque , Turleque, Villafranca de los Caballeros1, Villaharta , Consue gra , Herencia, Medina del Campo y el Toboso, tuvo la honra de felicitar á S…</t>
  </si>
  <si>
    <t>…, como único centro donde están reunidas, y fuente de donde han de dimanar todas las dichas á sus fidelísimos vasallos.” , En seguida felicitaron los mismos comisionados al Sermo. Sr. Infante D. Carlos con el plausible motivo de su augusto enlace. En el mismo dia tuvieron la honra de felicitar á S. M., á nombre de la ciudad de Calatayud , el Excmo. Sr. duque de Híjar, el coronel graduado de los Reales egércitos D. Luis Carpintero, gobernador militar y polít…</t>
  </si>
  <si>
    <t>…3 de la Rota, como comisionado? por el cabildo,de 1$ santa Iglesia catedral de Ciudad Rodrigo tuviéronla satisfacción honorífica de besar la manó, al Rey nuestro Señor y al Sermo. Sr. Infante D. Carlos María, manifestando á S. M. y A. lo muy satisfactorios que habíart sido al cabildo los interesantes desposorios celebrados con las Sermas. Sras. Infantas de Portugal Doña María Isabel Francisca, la Reina nuestra Señora , y Doña María Francisca de Asís, por cuyas fe…</t>
  </si>
  <si>
    <t>…brigó dentro de sus muros, y admiró León, capital dominante por largos años.” » En seguida tuvieron el honor los mismos diputados de felicitar con igual plausible motivo al Sermo. Sr. Infante D. Carlas. El colector general de Espolios y Vacantes, y el marques de Espeja, á nombre y representación del ayuntamiento de la M. N. y L. ciudad de Ciudad-Rodrigo, en el propio dia tuvieron el honor de besar la mano ai Rey nuestro Señor y al Sermo. Sr. Infante D. Carl…</t>
  </si>
  <si>
    <t>…ntre otras cosas lo siguiente ; ,, Guadalajara, Señor, que acaba de lograr la dicha de haber disfruta do , aunque por tan pocos dias, de la amable presencia de V. M. y Serenísi mo Sr. Infante D. Antonio, ve hoy logrados todos sus deseos, por los que incesantemente ha dirigido sus votos al cielo, y espera que por tan dichoso enlace se perpetuarán las felicidades á todos los pueblos de los dilatados do minios de V. M. en ambos hemisferios,” En seguida pasó la…</t>
  </si>
  <si>
    <t>…mbarío ordenador de los Reales egércitos, y D. Benito de Prado, gentilhombre de boca de S. M., tuvo la honra de felicitar en el misino día 13 al Rey nues tro Señor y ai Serenísimo Sr. Infante D. Carlos María por sus augustos des posorios en los términos siguientes: „Señor: Los ecos de tumultuosa alarma dejaron ya de oirse en los férti les valles de la valerosa provincia de Orense: un tierno cuidado sucedió al ímpetu de fiera venganza contra el enemigo echado de l…</t>
  </si>
  <si>
    <t>1224</t>
  </si>
  <si>
    <t>…ón este testimonio de su alegría y contento, y de la mas pura y constante fidelidad.” Asimismo tuvieron dichos Sres. comisionados el honor de felicitar con ijgüal motivo al Sermo. Sr. Infante D. Carlos. t ; ARTICULO DE OFICIO. Las siguientes cartas remitidas al Excmo. Sr. primer secretario de Estado y del Despacho por el embajador de X. M. en París pueden servir de con firmación á las noticias ya publicadas acerca de la última derrota del insur gente Boliva…</t>
  </si>
  <si>
    <t>…y seguir ei egemplo de Numancia y de Sagunto en obsequio de V. M. y de la Reina nuestra Señora.” En seguida pasaron los mismos comisionados á felicitar con igual motivo al Sermo. Sr. Infante D. Carlos y su augusta Esposa. En el mismo dia 16 tuvo el honor de cumplimentar por su efectuado en lace á S. M. y A. R. el Sermo. Sr. Infante D. Carlos, en nombre y repre sentación del ayuntamiento de la villa de Onteniente , reino de valencia, D. Pascual Ortiz de Alm…</t>
  </si>
  <si>
    <t>…benevolencia por ello, mandando se diesen gracias á dicha villa en su Real nombre. 1 Asimismo tuvieron dichos señores comisionados el honor de felicitar con igual motivo al Sérmo. Sr. Infante D. Cárlos.</t>
  </si>
  <si>
    <t>…idas conforme á los tomos de la misma, con sus respectivos guiones para gobierno de los encuadernadores. Epitalamio del Rey nuestro Señor D. Fernando vit y d^su augusto Hermano el Sr. Infante D. Carlos con las Sermas. Sras. Infantas de Portugal Doña Isabel Ma ría Francisca y Doña María Francisca de Asís. Calebrábale un ¡anciano pastor de 73 años entre las cumbres de los Pirineos en el día 4 de Setiembre de 1810. Se vende á 2 rs. en la librería de Sojo, call…</t>
  </si>
  <si>
    <t>…que ruega este ayuntamiento á Dios nuestro Señor conserve y pros peré oomo puede y toda la cristiandad ha menester.” . En seguida tuvieron la honra de felicitar á S. A. el Sermo. Sr. Infante D. Carlos con igual objeto, habiendo merecido á S. M. y A. las expresiones mas significativas de su aprecio.</t>
  </si>
  <si>
    <t>…y de merecer á S. M. y A. pruebas las mas recomendables de su consideración á aquella ciudad. El dia 18 del pasado tuvieron la honra de felicitar a! Rey nuestro Señor y al Sermo. Sr. Infante D. Carlos por sus efectuados matrimonios, á nombre del cabildo catedral y ayuntamiento de la ciudad de Calahorra, D. Fermín Sanjuan, dignidad de arcediano de Berberiego; D. Romualdo Mendoza y Viguera, canónigo, y D. Julián Ruiz de Reajal, prebendado de dicha santa igle…</t>
  </si>
  <si>
    <t>…e ofreciéndonos á los pies de V. M. le tributemos en su nom bre los mas expresivos plácemes &amp;c.” Los mismos comisionados tuvieron la honra de felicitar con igual moti vo al Sermo. Sr. Infante D. Cárlos. El dia 19 del pasado tuvo la honra de felicitar á S. M. por su augusto enlace, á nombre del consulado de Cádiz, su diputado D. Victoriano de Encina y Piedra en los términos siguienfes: ,,Señor: El consulado de Cádiz, que tuvo la honra y particular satisfac c…</t>
  </si>
  <si>
    <t>…orcione á los españo les la prosperidad de que su lealtad y constancia los ha hecho merecedores.” Los mismos comisionados tuvieron la honra de felicitar con igual motivo ál Sermo. Sr. Infante D. Cárlos. En la extracción de la primitiva iótería Real, egecutadael dia 18 del cor riente , han salido por el mismo orden con que aquí se anotan los cinco nú meros siguientes: 17,45,27 , it y 7. El premio de 2 5 ®o rs. vn., concedido en todas las extracciones á una d…</t>
  </si>
  <si>
    <t>…tudes y turbulencias de algunos moradores en diferentes puntos de aquellos países. Seguidamente tuvo la dicha el mismo comisionado de hacer igual felicita ción á SS. AA. el Sermo. Sr. Infante D. Cárlos y su augusta Esposa. El mismo dia tuvieron la honra de felicitar á SS. MM. y AA. por sus augustos enlaces los Sres. D. Josef María Puig de Samper, ministro del Con sejo Real, y D. Antonio Allue, capellán de honor, y obispo electo de Gero na , en representació…</t>
  </si>
  <si>
    <t>La Real maestrarza de Granada , que conoce la preferencia que tienen las demostraciones religiosas en el piadoso corazón de su augusto g;efe el Se renísimo Sr. Infante D. Carlos María, pasó formada, con el aparato decoro so que acostumbra, el dia 4 de Noviembre á la iglesia de la Concepción, re ligiosas franciscas de esta capital, en donde se dijo una-solemne misa con ~el Señor manifiesto, y se cantó el Te Deum por la música de esta catedr…</t>
  </si>
  <si>
    <t>…e poseerle, de aquí la esperanza de un porvenir dichoso que cicatrice las llagas de Ísl guerra*’* Los mismos comisionados tuvieron la honra de felicitar con igual motiva al Sermo* Sr. Infante D. Carlos* El propio dia tuvieron.el honor de felicitar á.S» M. por sn augusto en lace á nombre del cabildo eclesiástico de la catedral de la Habana D. Manuel de Sobral y Barcena, teólogo consultor, y examinador de la Nunciatura, sinodal del arzobispado de l^bledo y Se…</t>
  </si>
  <si>
    <t>…temente sus votos á Dios Omnipotente; y S. M. tuvo la dignación de expresar las demostraciones mas lisonjeras de su Real benevolencia. Pasaron inmediatamente al cuarto del (Sermo. Sr. Infante D. Carlos Ma-</t>
  </si>
  <si>
    <t>…ignó contentar que estaba satisfecho del amor que le profesa aquella ciudad, y de todo cuanto habia hecho ínterin su ausencia. En seguida los comisionados cumplimentaron al Sermo. Sr. Infante Don Cárlos con igual motivo. &lt; ——-------------------------------- : —■ --------------------- 1 ■ -n ■? t». - i,.—. ... 1 ----------- , La Real junta de dirección y gobierno de los Reales hospitales General y Pasión de esta corte, en cumplimiento de lo resuelto por su au…</t>
  </si>
  <si>
    <t>…sentantes besen vuestra Real mano.' A lo que S. M. se digné contestar que apreciaba- mucho las demos traciones de Mallorca. Seguidamente los mismos diputados felicitaron aí Sermo.-Sr. Infante Don Carlos por igual motivo., y besaron su Real mano; ARTICULO DE OFICIO. Real cédula de S, M. y Sres. del Supremo Consejo de Hacienda* D. Fernando vji por ia gracia de DiosRey de Castilla, de León, de Aragón Ékc.&amp;c. A los del mi Consejo &amp;c. sabed: Que habiendo, acudido…</t>
  </si>
  <si>
    <t>I3°9 En seguida pasó la misma diputación al cuarto del Sermo. Sr. Infante D. Carlos, á quien turo ia honra de cumplimentar por su feliz enlace. El mismo dia 27 tuvieron la honra de besar la mano á S. M. y A., y cumplimentarles por su augusto enlace, á nombre de la M. N. y M. L. ciu dad de Viana , cabeza del principado del reino de Navarra, e…</t>
  </si>
  <si>
    <t>…rtudes debe con toda seguridad prometerse el reino su mas Completa felicidad;*' ; t * * En seguida la misma diputación tuvo el honor de cumplimentar con igual motivo á S. A. S. el Sr. Infante D. Carlos. ARTICULO'DE OFICIO. b El Rey nuestro Señor se. ha servido expedir él decreto siguiente .* ' Queriendo dar una señal de aprecio ai baiiío TatischelT, ministro pleni potenciario del Emperador de Rusia, senador de aquel imperio, tuve á bien acordarle en 9 de Ju…</t>
  </si>
  <si>
    <t>…eseos de que Dios bendiga tan dichosa unión para la mayor gloria y esplendor dé esta monarquía.’’ Los mismos comisionados tuvieron la honra de felicitar con igual motivo al Sermo. Sr. Infante D. Carlos. El dia 28 del mismo tuvo la honra de cumplimentar á S. M. la M. N. y L. ciudad de Toro v su ilustre ayuntamiento , representada po¡ su corregí* dor D. J uan de Dios Alonso y Herrera , y los Sres. D. Fernando M rino y TJlloa , caballero cadete del Real cuerpo…</t>
  </si>
  <si>
    <t>…la gloria de tener uoa K einX que con sus eminentes virtudes hará las dclicias-del noble, y , heroico, pueblo español.’" En seguida felicitaron, ios mismos comisionados ai Sermo. Sr. Infante Don Garlos cón igual motivo. • ’ ; t ••.; El día 28 del mismo tuvieron la honra de besar la Real mano de S. M. y felicitarle á nombre de la ciudad de Sigüenza, el Lie. D. Juan Peinador jr Pino, alcalde mayor y subdelegado de rentas Reales de la misma, y D. Josef María G…</t>
  </si>
  <si>
    <t>layo Inmediatamente pasaron aí cuarto del Sermo. Sr. Infante D. Carlos MaTÍa, y repitieron la misma respetuosa atención, á que contestó S. A. ccm el agrado que le es tan propio. El mismo dia se presentaron al Rey nuestro Señor y Sermo. Sr. Infante D. Carlos á felicitar á S. M. y A. por sus contraídos matrimonios, á nombre del cabildo…</t>
  </si>
  <si>
    <t>…erdos de sus pueblos.” S. M. se dignó manifestar su agradecimiento, y les dio á besar su Real, mano. En seguida pasaron dichos comisionados á felicitar con igual motivo al, Sermo. Sr. Infante D. Cárlos. En el mismo día tuvieron también la honra de presentarse al Rey nues tro Señor y felicitarle en nombre del cabildo de la sama iglesia metropolita na de Tarragona por su augusto enlace con la Reina nuestra Señora el Ex celentísimo Sr. D. Romualdo Antonio Mon…</t>
  </si>
  <si>
    <t>…res de V.. M. y nuestra Soberana» iguales en.- el; nombre.-y. egemplo de virtudes/*' ; ; .... . Los mismos comisionados tuvieron la honra de felicitar con igual motivo al Serrtio. Sr. Infante D. Cárlos. El día 17 del pasado tuvieron la honra de felicitar al; Rey nuestro Señor «o«í tfiotivo ¡de su¡ augusto enlace, á nombre de la ciudad de Car mona , los Excmos. Sres. conde de Miranda» marques de Viilafiauca y marques de.la</t>
  </si>
  <si>
    <t>…re del coronel, gefes y oficiales del regimiento infantería Infante D. Cirios , el teniente coroné! D. Ramón Valdés, ma yordomo de semana de S. M. con destino al cuarto del Sermo. Sr. Infante D. Carlos María Isidro, quien en un enérgico discurso manifestó ios senti mientos de amor y lealtad que animan á tan benemérita oficialidad. El dia 14 de Noviembre último tuvieron el honor de felicitar á S. M., á nombre de la ciudad de Lérida, D. Tadeo Soler y Cases, alcblde decano…</t>
  </si>
  <si>
    <t>V- S. M. con su natural bondad se dignó manifestar el aprecio que hacia de Lérida, y les dio á besar su Real mano. En seguida pasaron al cuarto del Sr. Infante D. Carlos María; y habien do hecho presente el primero de los referidos á nombre de la misma ciudad la satisfacción que esta tenia por ver ya realizado su augusto enlace. S. A. contestó que agradecía los .sentimientos de Lérida y de su gobernador. ■-------—-.................…</t>
  </si>
  <si>
    <t>…os por la ciudad de Aleañiz , cabeza de partido en el reino de Aragón, D. Rafael Pinos, brigadier dé los Reales egércitos y gentilhombre de cámara con destino al cuarto del Sermo. Sr. Infante D. Cirios, el marques de Santa Coloma , mayordomo de semana con destino al mismo cuarto ,y ei barón de Caí riel, del consejo de S. M., su secretario y oficial de la* primera secretaría de Estado y del Despacho; y este expresó en un breve razona miento la alegría de aqu…</t>
  </si>
  <si>
    <t>…que por sus virtudes será á un tiempo mismo las delicias de V. M. y la fe licidad de la España.” Los mismos comisionados tuvieron la honra de felicitar con igual motivo al Sermo. Sr. Infante D. Cárlos. El dia 17 del mismo tuvieron la honra de felicitar á SS. MM., y besar sus Reales manos, á nombre de la M. N. y L. C. de Almería, D. Manuel de Castro y Barrios y el marques de la Regalía, mayordomos de semana del Rey nuestro Señor, diciendo el primero entre o…</t>
  </si>
  <si>
    <t>…stros continuos votos, por los que le pedimos con toda la nación coime á V V. MM.. de toda felicidad para bien de ia religión y del reino.” En seguida pasaron ai cuarto del Sermo. Sr. Infante D. Carlos, hermano mayor del Real cuerpo , é hicieron igual felicitación. ARTICULO DE OFICIO. El Reí nuestro Señor se ha servido dirigir al presidente del Consejo Su premo de Castilla, con fecha de 22 de este mes, el Real decreto siguiente: ,,Habiéndome suplicado el ay…</t>
  </si>
  <si>
    <t>…tra nación? Espera pues la villa de Cabra de esta dichosa unión ver ios mejores resultados para la felicidad y prosperidad del reino’.” En seguida felicitaron á S. A. R. el Sermo. Sr. Infante D. Carlos con igual motivo. Con el plausible motivo del feliz enlace de SS. MM. y AA. tuvo la hon ra de besar sus Reales manos el dia 5 del corriente D. Gabriel de Hoyos y Velarde en nombre de la villa de Sepúlveda y íu tierra, y de manifestar los fieles sentimientos d…</t>
  </si>
  <si>
    <t>…prisión, y muerte de D. Rodrigo Calderón, marques de Sie te Iglesias, conde de la Oliva &amp;c., por D. Gerónimo Gascón de Torquemada, apo sentador de S. M. y de la cámara del Sermo. Sr. Infante D. Carlos, su amigo y tes tigo de vi ta á todo lo que refiere: un tomito en 8.° á 6 rs. en pasta y 4 en rústi ca. r= Lícito recreo casero, o colección de juegos conocidos con el nombre de jue gos de prendas: primera y segunda parte. La primera contiene 50 juegos de los…</t>
  </si>
  <si>
    <t>Infatfte</t>
  </si>
  <si>
    <t>r j427 como V. M. apetece, deseamos scs vasallos, y necesita esta monarquía y todo el orbe cristiano.” En seguida pasaren al cuarto de S. A. el Sermo. Sr. Infatfte D. Carlos, asegurándole en ron.fcrc de la mhma villa los ir,as ardientes destos de la pros peridad de las augustas casas de Borbon y Braganza; y tamo S. M. como S. A. manifestaron quedar complacidos. El día 24 del mismo felicitaron á SS. MM. por su efectuado matrimonio…</t>
  </si>
  <si>
    <t>Infii</t>
  </si>
  <si>
    <t>…gre por el Rey mas amado =.Señor.=A L. R. P. de V. Francisco González del Castejon = Alejo Miguel de Ciria.* En seguida pagaron dichos comisionados a felicitar con igual motive al Sr. Infii nte D. Cirios; y dijeron á S. A. lo siguiente: ,,Sermo. Sr.: A los pies de V. A. S. con la adhesión mas decidida Don Francisco González del Castejon , caballero de Justicia del orden de S. Juan, gentilhombre de cámara con entrada , mariscal de campo de los Re…</t>
  </si>
  <si>
    <t>Iñigor, Juan García</t>
  </si>
  <si>
    <t>Juan García Iñigor</t>
  </si>
  <si>
    <t>…y confesor del Sermo¿ .Sr- Infante D- Antonio;; el prior y canónigo D. Josef Amarilla,, mi nistro» d'eL Conseja dé S.. M.. en el de la suprema, y general Inquisición; el canónigo D. Juan García Iñigor capellán dé honor, y del mismo Consejo, y el .canónigo D- Francisco Xavier Duro,, ministro»del tribunaL de la Rota* quienes digeEon;á S M- entre otras cosas lo siguiente ,* Señor:. El cabildo de la santa iglesia de Cuenca , modernamente distin guido, con las…</t>
  </si>
  <si>
    <t>Inocen</t>
  </si>
  <si>
    <t>…honor de cumplimentar á S. M., á nom bre del cabildo catedral de la santa iglesia de Orihuela , el Dr. D. Antonio Ce rudo Sanz, inquisidor honorario del tribunal de corte, el Lie. D. Inocen cio Angel de la Rosa, relator del consejo de Inquisición, y el Dr. D. Tibur, ció Saez, capellán de honor de S. M., canónigos de la expresada iglesia ¿ y el primero pronunció el discurso siguiente: j ,,Señor: Si la mano benéfica de una Providencia extraordinar…</t>
  </si>
  <si>
    <t>Inquisición</t>
  </si>
  <si>
    <t>…ta iglesia catedral dé Cuenca los dignidades y canónigos siguientes: . El arcediano de Huete D- Raimundo Ettenhard: y Salinas » ministro del Consejo de S. M. en el de la suprema y general Inquisición; el arcediano de Moya D. Ramón Eyaralazcapellán de honor de S- M.., y confesor del Sermo¿ .Sr- Infante D- Antonio;; el prior y canónigo D. Josef Amarilla,, mi nistro» d'eL Conseja dé S.. M.. en el de la suprema, y general Inquisición; el canónigo D. Juan Garc…</t>
  </si>
  <si>
    <t>Inspector</t>
  </si>
  <si>
    <t>…e les cor responde. Todo lo cual insertamos á V. para que constándole esta soberana de terminación la realice según se manda desde i.° dé Enero de 1817, teniendo á disposición del Señor Inspector general de Milicias el producto que resulte de este arbitrio, y entendiéndose con dicho Señor directamente en los inci dentes que ocurran sobre el particular; de todo lo cual, y haberlo noticiado á los Gefes de la Renta en esa Provincia de su cargó, esperamos…</t>
  </si>
  <si>
    <t>Intantc</t>
  </si>
  <si>
    <t>…cte riza la a¡ icrior felicitación, se digno hacer varias preguntas sobre el estado d- la ciudad. En el micmo dia la referida diputación verificó igual felicitación al Sere nísimo Sr. Intantc D. Carlos, y el expresado diputado lo hizo también del modo que sigue: „Sermo. Sr.: La fidelítima ciudad de Cervera,en el principcdo de Cataluña, de voto en cortes, nos encarga cumplimentar á V. A. por «u inmediato enla ce con la Infanta Doña María Francisca de Braganz…</t>
  </si>
  <si>
    <t>Intendente</t>
  </si>
  <si>
    <t>…zón de donativo voluntario para atender al mantenimiento de los egércitos y de las obligaciones del erario , á consecuencia de la Real orden de 2 de Julio de 1815,circulada por el señor Intendente de esta provincia en 12 del mismo mes, á saber: Córdoba. D. Francisco Josef Benitez 160 rs. D. Manuel Martínez de Te jada 160. D. Josef de Luque 100. D. Rafael de Medina y Luque 60. Don Antonio de Luque 20. D. Bartolomé Repiso 60. Josef Lucena 4. D. Juan de F…</t>
  </si>
  <si>
    <t>Inzuela, Cayetano</t>
  </si>
  <si>
    <t>Cayetano Inzuela</t>
  </si>
  <si>
    <t>…es de Fragata d los que lo están de alféreces de Navio D. Diego Gil, D. Joaquín Díaz Hurtado, que lo es en propiedad; Don Santiago Novo, D. Josef Sánchez, D. Josef Antonio Suarez, D. Cayetano Inzuela y D. Jacobo Auli. Para la graduación de alféreces de Navio d los que lo son en propiedad de Fragata D. Antonio Torneo y D. Manuel Guin de Torres. Para la misma graduación al que lo estd de alférez de Fragata D. Andrés Freire. DEPARTAMENTO DE CARTAGENA. Para teniente de Navio…</t>
  </si>
  <si>
    <t>Ion</t>
  </si>
  <si>
    <t>…n la marcha , c rr r.dola J ! xcm- Sr Don Francisco de Saavcdra , presidente de la junta ion-ru vad« ra , qt.¡. co duca el cuadro por el pie sostenido scbre su frente, y el Excn o Sr. D. Ion ys Mo reno y Daoiz y el Sr. D. Juan de la Cruz Mt.u.g en le ay ucrb-i. t &lt; 1 am bos lados á llevarlo. Paseó la vistosa ceremonia lo largo dj caral por medio ce im c«; acio o camino formado de un lado por las tierras extraídas de la excavación, s ar rojadas en…</t>
  </si>
  <si>
    <t>Iparraguirre, Josef Antonio</t>
  </si>
  <si>
    <t>Josef Antonio Iparraguirre</t>
  </si>
  <si>
    <t>…al, vecino de Sevilla; D. JosefPerez de Rosas, corregidor de Logroño; D. Juan Jabat, ministró plenipotencia io en Constantinopla; D. Josef Iznardi, ministro residente en Hamburgo; D. Josef Antonio Iparraguirre, cónsul en Bayona; D. Francisco Verges, canónigo de Gerona, director de aquel hospicio; D. Francisco Bernaldo de Quirós , canónigo de Cartagena, y director que ha sido de la Mise ricordia dé Murcia ; D Dionisio Pizarro, dignidad de arcediano de Saldaña, canón…</t>
  </si>
  <si>
    <t>Iractburu, Antonio</t>
  </si>
  <si>
    <t>Antonio Iractburu</t>
  </si>
  <si>
    <t>…Artes de S. Cárlos. En el mismo acto de la distribución ce dieron la parte pecuniaria del premio D. Juan Bautista Genoves, D^Bernar do Morera, D. Antonio Cervero, D Gregorio Sech, D. Antonio Iractburu y D. Antonio Chicoy , é igualmente las niñas Doña Margarita Joanicot, Do-; ña Concepción Jordá, Doña Brígida Buchelli, Doña María Praty Doña Jo sefa Piquer. Para costear estos premios contribuyeron generosamente diferentes corpo raciones, socios y particulares con las cantidades…</t>
  </si>
  <si>
    <t>Iraz.ibal, Josef Vicente de</t>
  </si>
  <si>
    <t>Josef Vicente de Iraz.ibal</t>
  </si>
  <si>
    <t>…e S. M., teniente corregidor de esta villa, dada por la escribanía del número de D. Cristóbal de Vicuña, se cita, llama y emplaza á D. Ramón Aguilar y No guera, D. Simón de Amaga, D. Josef Vicente de Iraz.ibal, D. Josef de Llamas, Dona Josefa lgnacia de Muxica , I). Juan Bautista de Torres y D. Juan Simón de A muga , tenedores de nueve vales Reales de 300 pesos, de Mayo de 808, señaiados con los números 423341, 430446, 430726, 434266, 436122, 439757, 440896, 440894…</t>
  </si>
  <si>
    <t>Irfante</t>
  </si>
  <si>
    <t>…ás autoridades , igualmente que el cabildo eclesiástico, el director de las Reales fabricas y los gremios de todas clases. Debiendo pasar el Rey nuestro Señor acompañado dtl S.rmo Sr. Irfante D. Antonio por la ciudad de Alcalá de Henares de vu ha de los baños de Sacedrn , se dig nó S. M. manifestar al capitán general D Joaquín Elake vifita ría la academia del Real cuerpo de Ingenieros de su c¿ rgo establecida en aquella ciudad, y revistaría el regimiento Rea…</t>
  </si>
  <si>
    <t>Iriarte, Bernardo</t>
  </si>
  <si>
    <t>Bernardo Iriarte</t>
  </si>
  <si>
    <t>…or respondan las dehesas tituladas de Valdeaparicio y de Suerte el Burro Gallego, am bas en la provincia de Extremadura, que se compraron por Doña Antonia S^ez de Tejada, viuda de D. Bernardo Iriarte, vecina de esta corte, al Gobierno intruso. Lo que se hace saber para que á las á quienes pertenezcan acudan á acreditarlo coa los competentes documentos, y con peder y en forma, en el término de 15 días primeros siguientes i la publicación por la audiencia d…</t>
  </si>
  <si>
    <t>Irisarri, Santiago de</t>
  </si>
  <si>
    <t>Santiago de Irisarri</t>
  </si>
  <si>
    <t>…iz de Cabañas. Comendadores. El conde de Santiago de Calimaya, el coronel D. Juan Josef García de Santiago y Machón , ei coronel D. Luis del Aguila, el brigadier de la Real Armada D. Santiago de Irisarri, el brigadier D. Torcuato Trugillo, el capítan de Navio D. Domingo Monteverde, el canónigo de la santa iglesia de To ledo D. Isidoro Sainz de Alfaro, el brigadier D. Josef Cevallos, y D. Josef Matías de Landaburu, secretario de legación en Berlin. Cruz de Cab…</t>
  </si>
  <si>
    <t>Irúnciaga, Jbsef</t>
  </si>
  <si>
    <t>Jbsef Irúnciaga</t>
  </si>
  <si>
    <t>….motivo- cumplimentaron á S. M., quien se dignó admitir con su bondad característica á cuantos tuvieron la honra de besar su Real mano. • : El teniente general D. Nemesio Salcedo, D. Jbsef Irúnciaga 3? D. Manuel' María de Aldecóa , diputados de la M N.fy M. Lí. villa de Bilbao señorícv de Vizcaya, túvieron la honra de felicitar á S. M. por su augusto enlace el' 31 de Octubre en los términos siguientes : „ Señor: Los sentimientos de amor, respeto y fideli…</t>
  </si>
  <si>
    <t>Irurzun, Baltasar de</t>
  </si>
  <si>
    <t>Baltasar de Irurzun</t>
  </si>
  <si>
    <t>…Gueriniere, caballe rizo que fue de S. M. Cristianísima, en que se contiene el conocimiento, la ins trucción y la conservación del caballo: traducido del francés al castellano por Don Baltasar de Irurzun. El método, claridad y solidez que brillan en esta obra, calida des tan precisas en las de esta clase, la han dado singular aprecio entre los inteli gentes, como la mas propia para el asunto. Para su mejor explicación ¿ inteligencia la acompañan 32 láminas: 2…</t>
  </si>
  <si>
    <t>Is, María</t>
  </si>
  <si>
    <t>María Is</t>
  </si>
  <si>
    <t>…ue expresa con los afectos mas sin ceros su regocijo y el de todos los habirantes de aquel reino viendo efectuado el dichoso matrimonio de V- M. con nuestra augusta Reina y Señora Doña María Is\bel de Braganza. Si Granada, Señor, hubiera de describir su jú bilo pojr este feliz acontecimiento , nunca podría sino bosquejar el feliz acier to de la elección que hizo V. M. , llenando de esperanzas á sus pueblos coa una Isabel, que dulcemente le recuerda…</t>
  </si>
  <si>
    <t>Isa</t>
  </si>
  <si>
    <t>…taría de Estado y del despacho, comisio nados de la ciudad de Alcañiz, en el reino de Aragón, para felicitar al So berano por su tratado matrimonio con la Sra. Infanta de Portugal Doña Isa bel Francisca; y habiendo expresado en un corto razonamiento los senti mientos leales de Alcañiz tuvieron la honra de queS. M. les manifestase apre ciaba los parabienes de este pueblo, de cuya fidelidad se hallaba satisfecho. En seguida se presentaron al Serm…</t>
  </si>
  <si>
    <t>Isa, María</t>
  </si>
  <si>
    <t>María Isa</t>
  </si>
  <si>
    <t>…os á V. M. con el mas respetuoso y sincero amor por su concertado matrimonio y el de su augusto Hermano el Sermo. Sr. In fante D. Cárlos María Isidro con las Sermas Srás. Infantas Doña María Isa bel Francisca y Doña María Francisca de Asís, hijas de los excelsos Príncipes del Brasil. „E:ta ciudad, Señor, estimulada de su lealtad y decidido zelo á vuestra Real Persona, fue la primera que con toda la provincia siguió los loables sentimientos que practi…</t>
  </si>
  <si>
    <t>…les Guardias Wálonas , comisionados por la misma, tuvieron el honor de besar la Real mano de S. M. y cumplimentarle por el contratado enlace con la Serma. Sra. Infanta de Portugal Doña María Isa bel FrancPca , y el primero lo verificó en los términos siguientes : „Señor: Vuestra villa de Reus, que á ninguna otra cede en fidelidad y amor á su Soberano, tiene hoy la dicha de presentarse á V. M., representa da por el decano y dos comisionados de su ayun…</t>
  </si>
  <si>
    <t>Isa, Marta</t>
  </si>
  <si>
    <t>Marta Isa</t>
  </si>
  <si>
    <t>…s augustos progenitores pruebas nada equívocas de su amor, de su lealtad y su respeto, nos encarga que felicitemos a V. M. por su concertado enlace con la Sra. Infanta de Portugal Doña Marta Isa bel. Las virtudes que caracterizan á V. M., las que adornan á la ilustre Princesa destinada para su Esposa , y varias consideraciones políticas lison jean al cabildo con la dulfce esperanza de resultados prósperos y dichosos. Y poseído del deseo mas eficaz de…</t>
  </si>
  <si>
    <t>Isabel</t>
  </si>
  <si>
    <t>…Santa Teresa, de D. Alfonso ix, ambos Reyes de León; Do ña Mafalda, de D. Henrique i; Doña Constanza, de D. Fernando iv; Do ña María, de D. Alfonso xi; Doña Beatriz, de D. Juan i; Doña Isabel, de D. J uan ii; Doña Juana, de D. Henrique iv; Doña Isabel, del Emperador D. Carlos v, primero entre los Reyes de este nombre; Doña María, de Don Felipe ii, y Doña María Bárbara, de D. Fernando vi. „Gloria es, Señor, de vuestra corona , y testimonio de la li…</t>
  </si>
  <si>
    <t>…s del mas inhumano de los tiranos lleca á los Reales pies manifestando el go zo de su corazón por el enlace de V. M. con su augusta Sobrina la Serenísi ma Sra. Infanta de Portugal Doña Isabel : logre España con esta unión otra grande Isabel, que con otro Fernando fueron la delicia de sus pueblos; por que siguiendo las huellas que les dejó su santo abuelo Rey (que todos lo son de V. M.) se adquirieron el renombre de Católicos en la persecución de l…</t>
  </si>
  <si>
    <t>…mitad del infantado de León. 9.a La Sra. Reirá Doña Elvira, hija también de dicho Emperador D. Fernando el 1, Reina de Toro y de la otra mitad de dicho infantado. 10. La Sra Reina Doña Isabel, hija del Rey D. Lub de Francia el 1, y esno^a del Sr. Rey D. Alomo el vi. 11. La Sra. R eina Doña Isabel, llamada Zaida, hija dd Rey’ de Sevilla Benavet, que se convirtió á la religión católica por las maravillas que vio en la traslación del santo patrono, y…</t>
  </si>
  <si>
    <t>…Arévalo y Jos 25 pueblos de su jurisdicción, deseo sos de manifestar el júbilo de que están poseídos por el concertado matrimo nio de V. M. con la Serma. Sra. Infanta de Portugal Doña Isabel, su So brina, nos han encargado de elevar á los pies de V. M. los votos de sus ha bitantes por la felicidad de tan plausible enlace. Las pruebas del amor y leal-</t>
  </si>
  <si>
    <t>Isabel, Makia</t>
  </si>
  <si>
    <t>Makia Isabel</t>
  </si>
  <si>
    <t>…entre otras cosas: ,, Señor: La villa de Cabra de la Frontera, reino de Córdoba, al mis mo tiempo que felicita á V. M. por su efectuado matrimonio con ia Sra. In fanta de Portugal Doña Makia Isabel , ofrece sus mas respetuosos bornena' ges de sumisión y obediencia, consecuente á los principios de fidelidad que constantemente dirigíer. n á sus vecinos y moradores, ínterin la cautividad de V. M. y después que regresó á sus reinos. ,.No contento, Señor, su…</t>
  </si>
  <si>
    <t>Isabel, María</t>
  </si>
  <si>
    <t>María Isabel</t>
  </si>
  <si>
    <t>…vínculos este parentesco, traté con el referido Prín cipe del Brasil, Regente del reino de Portugal, de unirme Yo también eñ matrimonió con su Hija segunda y mi Sobrina la Infanta Doña María Isabel .francisca, y que el Infante í). Cirios hiciese lo mismo con lá tercera lá infanta Doña María Francisca de Asís: y convenidos de común y gustosa acuerdó, hemos dado nuéstros pierios poderes para ajustar y concluir las "capitulaciones f contratos riiatrióioni-…</t>
  </si>
  <si>
    <t>…e han sosteni do hasta ver á V. M. en el trono de sus mayores, se apresura á felicitar á V. M. por el concertado enlace con su augusta Subrina lá Sermai Sra. Inr fanta de Portugal Doña María Isabel, y ruega incesantemente al Todopo deroso santifique tan feliz unión con abundantes gracias espirituales y tem porales para exaltación de la religión santa que profesamos y gloria; de la monarquía española.” ; j i. El P. Fr. Manuel dé la Cueva, religioso domin…</t>
  </si>
  <si>
    <t>mos á V. M. por el tratado enlace con íat alta y poderosa casa de Porruopl. La educación fina, las prendas de que está dotada la augusta Sobrina de V. M. la ¿erma. Sra. Doña María Isabel, sus eminentes virtudes asi cris tianas como políticas, habrán decidido sin duda á V. M. para tan acerrada elección, y prometer á la monarquía española un reinado tranquilo, glorio so y feliz. Dígnese V. M. admitir benigno estas demostraciones de gratitud y d…</t>
  </si>
  <si>
    <t>…do siempre de las mas fieles y obedientes á sus Soberanos, se ofrece hoy á los Reales pies de V. M., le da la enhorabuena por su tratado casamiento con la Sra. Infanta de Portugal Doña María Isabel, prometiéndose que esta alianza será el complemento de la felicidad española; y pide á Dios reinen en los dos mundos que V. M. tan justamente manda sus hijos y nietos hasta la consumación de los siglos.” En seguida pasó la misma diputación al cuarto de S. A,…</t>
  </si>
  <si>
    <t>…tributar el homenage mas respetuoso y sincero de su fidelidad y amor á vuestra Real Persona y Familia, Felicitando á V. M. por su matrimonio contratado con la Serma. Sra. Infanta Doña María Isabel, y del Sermo. Sr. Infante D. Cárlos coala Serma. Sra. Infanta Doña Maríia.Francisca. -</t>
  </si>
  <si>
    <t>…siempre han tenido y tienen hacia vuestra Real Persona, felicitándole por el concertado enlace que acaba de tratarse con su augusta Sobrina la Serenísima Sra. Infanta de Portugal Doña María Isabel , no cesando de rogar al To dopoderoso santifique tan feliz unión con-abundantes gracias, y dilatados años de vida para bien de la religión y de esta monarquía. Madrid y Marzo 27 de 1816 =Señor. = A L. R. P. de V. M. = Simon Galiardon y Rojo.” ,,Señor: El cue…</t>
  </si>
  <si>
    <t>…ida, que á ningún pueblo de la monar quía cede en fidelidad, amor y respeto á su Soberano, nos comisiona para felicitar á V. M. por su concertado enlace con la Serma. Sra. Infanta Doña María Isabel, de la excelsa casa de Portugal. „A1 recibir la noticia de tan fausto acontecimiento pasó (acompañada del cabildo eclesiástico, estado militar, nobleza y pueblo) á la catedral á tributar á Dios las debidas gracias, y pedirle conserve la preciosa é importan te…</t>
  </si>
  <si>
    <t>…vordomo mayor interino del Rey nuestro Señor, tuvo la honra de felici tar á S. M. y A. con el plausible motivo del matrimonio concertado con las Sermas. Sras. Infantas de Portugal Doña María Isabel y Doña María Francisca , y S. M. y A. admitieron con la benignidad que les caracteriza dicha felicitación, mandando que en su Real nombre se diesen las gracias á dicha villa. En la extracción de la primitiva lotería Real, égecutaJael día 27 del cor riente , han salido por el mismo…</t>
  </si>
  <si>
    <t>…nifiestan en la actualidad:, con las demostraciones de! mas gozoso- entusiasmo su complacencia universal, felicitando á porfia í V. M. por e. proyectado enlace con la Serma. Sra. Doña María Isabel , Infanta de Portugal. „lai villa pues de Velea-blanco, poseída de los mismos ardiente» voto» con que sus habitantes tienen acreditado su inmudable amor y fidelidad a. V M , no pueden ver aproximarse tan faustísimo día sin participar con to dos los españoles…</t>
  </si>
  <si>
    <t>…antes con el dichoso objeto de su tan deseado regreso al trono de sus Abuelos , y ahora con la plausible noticia del próximo enlace de V. M. con la Serma. Sra. Infanta de Portugal Doña María Isabel, de la excelsa d ilustre casa de Bragarza, el que desean feliz, dichoso y lleno de bendiciones dA cielo, á quien piden se digne concederles sucesión perpetua, digna de ocupar el solio de los Recaredos y Fernandos. ,pAI mismo tiempo me encargan congratule á V.…</t>
  </si>
  <si>
    <t>…o y secular de la fidelísima villa de Aguilar de Campoo, provincia de Falencia, me proporcio na la singular honra de felicitará V. M. por su tratado enlace con la Serení sima Sra. Doña María Isabel, Infama de Portugal: conocen estas corpora ciones que represento , y aun el mundo entero , las virtudes que resplandecen en la elegida para Reina de las Españas, y uniendo sus votos con los leales vasallo' de V. M. se prometen por resultado la felicidad de un…</t>
  </si>
  <si>
    <t>gal Doña María Isabel ; y á vísta de este enlace glorioso no puede menos de concebir las mas halagüeñas esperanzas, porque si otro Fernando y otra Isabel, augustos predecesores de V. M., supieron distinguirlos por la lealtad v los esíuerzos con que ayudaron á la conquista de Grana…</t>
  </si>
  <si>
    <t>…ro de su partido, habiendo recibido con el mayor júbilo la plausible noticia del tratado y feliz enlace del Rey nuestro Señor y de V. A. S. con las excelsas Sermas. Sras. Infantas Doña María Isabel y Doña María Francisca , hijas de los excelsos Sres. Príncipes augustos Regentes de Portu gal, no han podido contener los vivos deseos que los animan de felicitar á V. A. S., como á su nombre con el respeto debido y tama satisfacción tie nen el honor de verificarlo sus representant…</t>
  </si>
  <si>
    <t>66.) sus ruinas, constante en sus principios se presenta hoy á V. M. para felici tarle por su tratado casamiento» con !a Sia. Infanta de Portugal Doña María Isabel, en cuya elección ha dado V. M. una prueba de lo que mira por el bien de sus vasallos; entre estos, Señor , los vecinos de Cazorla dirigen sus votos al Omnipotente para que conceda á V. M. y á su augusta Pispo&gt;a las mayores felicidades, y una posteridad que s…</t>
  </si>
  <si>
    <t>…marques de Portonucvo, reg.dor annqcio:- del mismo , tuvo el Honor de felicitar i S. M. con el plausible motivo de ^ cus o tr tado caamiento con la Serma. Sra. Infanta de Portugal Doña María Isabel en los términos siguientes: „Señ r: El apuntamiento de la ciudad de Barcelona, que como la rr.‘sma ciudad, no ha perdido de vista su único objeto Je respeto &gt; amor á la Real Perdona de V. M.; de Barcelona, capital de la provincia de Cataluña, que al acabar la…</t>
  </si>
  <si>
    <t>…culzura que le caracterizan. Los comisionados por la ciudad de Santiago, que tuvieron la honra de felicitar á S. M. por su contratado enlace con ia S^nna Sra. Infanta de Por tugal Doña María Isabel ei dia ^i de Mayo, no habiendo podido por va rias circunstancias presentarse á S. A. el Serme. Sr. Infante D. Carlos para felicitarle en aquel mismo dia con ¡cual motivo, lo verilearon el dia 12 de Junio próximo pasado; y ci Sr. de ÍCubianes dijo á S. A. R. l…</t>
  </si>
  <si>
    <t>…asiones he tenido el honor de manifestaros, nos manda que en su nombre felicitemos á V. M. con el agradable motivo del matrimonio contratado con la Serma. Sra. In fama de Portugal Doña María Isabel. „Si U muger fuerte edifica la casa del esposo, la que V. M. ha elegido, digna por rodas sus circunstancias desocupar á vuestro lado el trono de las Españas, labrará con vuestra felicidad la de toda la nación; promoverá vues tros justos deseos, removiendo los…</t>
  </si>
  <si>
    <t>…misionados por el ayuntamiento de la ciudad de Molina, tuvo el honor de felicitar á S. M. 0911 el plausible motivo de su acordado casamiento con la Serma. Sra. Infanta de Portugal Doña María Isabel en los términos siguientes: ■ „ Señor: El ayuntamiento d: la ciudad de Molina, cabeza de su señorío, propio de V. M. , nos ha honrado con la comisión de felicitar á V. M. con el justo motivo de su acordado casamiento con la Serma. Sra. Infanta de Por tugal Do…</t>
  </si>
  <si>
    <t>…a, y ai presen te lo reitera por nuestro medio, pidiendo incesantemente al Todopoderoso la feliz reunión de las singulares prendas con que ha dotado á V. M. y á la Se ñora Infanta Doña María Isabel para la prosperidad de nuestra santa reli gión católica y de todos sus dominios.” Después pasaron á presentarse al Sermo. Sr. Infante D. Carlos, á quien felicitaron igualmente diciendo: „Sermo. Sr.: Como representantes de la M. N. y M. L. ciudad de Tu dela ,…</t>
  </si>
  <si>
    <t>…ado arncr, lealtad y respeto que la caracterizan, y la har» distinguido en todos tiempos. El plausible motivo del nuevo enlace de V. M. con la Se renísima Sra. Infanta de-Portuga! Doña María Isabel, y el de los Serenísi mos Sres. Infantes; D. Carlos y Doña María Frakcisca rf .Vis, es cier tamente una satisfacción que llena los deseos de esta ciudad. Creería incurrir en la nota de la mas ingrata , si no elevase á V. M. sus justos sentimientos para felici…</t>
  </si>
  <si>
    <t>…gaceta de México de 9 de Mayo del año último de 815. ,,¡Cuál seria, Señor, el júbilo de esta insigne ciudad al saber vuestro fu turo enlace con la Serma. Sra. Infanta de Portugal Doña María Isabel, vien do que se les presenta aquella ocasión que envidiaron á sus antepasados de ser los primeros en reconocer y jurar á los Sres. Reyes D. Fernando y Doña Isabel! Como facultado por esta leal ciudad para presentarme en su nombre á V. R. M. cuando las circuns…</t>
  </si>
  <si>
    <t>…en á los dos Soberanos. A nombre del principado de Asturias tuvieron el honor de presentarse á fiel icitar á S. M. por su concertado enlace con Iá Serma. Sra. Infanta de Por tugal Doña María Isabel el Excmo. Sr. marques de Campo Sagrado, secretario de Estado y del despacho de ia Guerra , y D. Josef Arguelles Campomanes, individuo de la diputación general de dicho principado ¿ y el pri— mero arengó á S. M. en los términos siguientes : . .! * b ^ . ,, Señ…</t>
  </si>
  <si>
    <t>…con el mayor respeto por el plausible motivo de los concertados enlaces de V. M. y del Sermo. Sr. Infante D. Cirios, su augusto Hermano, con las Sentías. Sras. Infantas de Portugd Doña María Isabel y Doña María Francisca , muy driles á toda la iglesia y estado de esta monarquía, muy deseados de todos los buenos vasallos de V. M., y por cuyos felices efectos con las mas copiosas ben liciones divinas ha dirigido incesantemente el mismo cabildo al Todopoderoso, y continúa sus ma…</t>
  </si>
  <si>
    <t>920 roa Sra. Infanta de Portugal Doña María Isabel, prometida esposa de nues tro amado Soberano , y en la que estarán finalizados todos los adornos acce sorios para que nada reste sino colocar en ella su augusto retrato, y que se publique á la mayor posible brevedad. Ha sido menester emplear á un profesor ext…</t>
  </si>
  <si>
    <t>…o el Sermo. Sr. Infante D. Carlos María, nos ha distingui do con la honrosa comisión de felicitar á V. M. por su nuevo contratad* matrimonio con la Serma. Sra. Infanta de Portugal Doña María Isabel. Es te tribunal, obra del Sto. Rey D. Fernando en el año de 1249 ^ai” sus sá pidos y de los demas adustos Soberanos predecesores de V. M. , ha sido desde aquella época el azote inexorable de los ladrones y foragidos: su ju risdicción Real ordinaria ha persegu…</t>
  </si>
  <si>
    <t>…avos naturales per la li bertad de vuestra sagrada Persona, ese mismo les obliga á manifestar á V. M. su exaltado gozo por el próximo enlace con la Serina.Sra. Infanta de Portugal Doña María Isabel , cuyos preciosos dotes y religiosas virtudes son admira das y notorias en ambos hemisferios. Mucho merece V. M. por su incompara ble bondad y beneficencia; pero el cielo ha premiado la resignación y pacien cia de V. M. en tantos y tan lentos trabajos como ha…</t>
  </si>
  <si>
    <t>…món María Clasens, diputado en esta corte por el ilustre consulado ae ídem, tuvo la honra de felicitar á S. M. por su contratado ma trimonio con la Serma. Sra. Infanta de Portugal Doña María Isabel; pro nunciando el primero de estos señores el siguiente discurso: ,,Señor: La M. N. y M. L. y arruinada ciudad de S. Sebastian, que te nemos el honor de representar, nos ha honrado eligiéndonos para felicitar á V. M. en su nombre por su concertado enlace con…</t>
  </si>
  <si>
    <t>…, se congratula al ver el escudo con que V. M. guarece á sus vacallcs: sí, Señor, los contratos matrimoniales que V. M. tiene concertados con la Strma. Se ñora Infanta de Portugal Doña María Isabel aseguran la paz, afirman la religión, anuncian felicidades,y convidan á los españoles para qLe reconoci dos á tan ciertos beneficios se esmeren en contribuir á llenar las soberanas benéficas intenciones de V. M. : Baena, siempre fiel á su Rf.y, sal rá soste n…</t>
  </si>
  <si>
    <t>…M. N. L. villa y plaza de Alcántara, de voto en cortes, me presenta y pone á L. R. P. de V. M. únicamente con el fin de felici tarle por el feliz enlace con la Serma. Sra. Infanta Doña María Isabel , por que hacer mención esta leal villa de la gloria que adquirió en la guerra pa sada seria ofender su pundonor; está persuadida no debe recordar á V. M. la defensa de su recinto por solo su milicia Urbana, ni el célebre dia 12 de Abril de 1809, a causa de q…</t>
  </si>
  <si>
    <t>…ad á V. M. , siente renovarse el sumo gozo que experimentó con ti feliz regre so de V. M. al trono de sus mayores , al ver realizado el teliz enlace de V. M. con su augusta Esposa Doña María Isabel nuestra Soberana. Cor? este motivo la viiia de Sta. Olalla tiene el honor de postrarse por medio ce su procurador síndico á L. R. P. de V. M. , felicitándole por una unión en que preve las uonsecucncias mas felices para la nación, y los cías de su en salzamie…</t>
  </si>
  <si>
    <t>…siempre por la divina Providencia para el gobierno espiritual y temporal de la monarquía española, ya también por el próximo enlace de V. M. con la Serma. Sra. Infanta de Portugal Doña María Isabel % de cuya unión es peran los naturales de las jurisdicciones que tengo el honor de representar el lleno de todas las felicidades que desean, pues ven aproximarse los dias mas alegres y satisfactorioscapaces de abstraer de su memoria los estragos, de solacione…</t>
  </si>
  <si>
    <t>i £i.5 6 felicita á V. Mfpcrlsil-venturoso ya efectuado 'enlace Con la,Reinad nuestra Señora Doña María Isabel,* Infama de Portugal,O * „D esde ei siglo xiv , en que esta corporación fue erigida y alabada de las demas naciones, ha dado-seguras pruebas de fidelidad á sus Soberanos. Hubo Señor, tiempo en qué pudo franquear, y con la mejor ‘ voluntad dió a su apurado Rey…</t>
  </si>
  <si>
    <t>…: ,,Señor: El cabildo de la santa iglesia catedral de. Piasencia nos ha comi sionado para que felicitemos á V. M; por "su augusto enlace con la Serenísima Sra. Infanta de Portugal Doña María Isabel , ¡haciéndole presente la singu lar parte que toma en que V. M. , guiado por los principios de una política sublime, haya preferido unirse á la casa de Braganza, consultando en esto los verdaderos intereses de la España y del Portugal, y en que haya elegido p…</t>
  </si>
  <si>
    <t>…oy el honor, por medio de sus representantes, de postrarse á L. R. P. de V. M. con el plausible motivo del matrimonio que acaba de con traer con la Serma. Sra. Infanta de Portugal Doña María Isabel. Aquel ilustre ayuntamiento, que tuvo en otro tiempo el placer de ver á V. M. cuan do Príncipe, conoció mejor que otro la pérdida tan considerable que había sufrido España con el cautiverio de vuestra Real Persona , é interesado sobre manera en su rescate, ha…</t>
  </si>
  <si>
    <t>…el primero pronunció el siguiente discurso: „ Señor: Desde que la abadesa y comunidad de Huelgas, cerca de Bur gos, supieron el augusto enlace de V. M. con la Reina nuestra Señora Doña María Isabel, han dirigido al Altísimo constantes y fervorosos votos por su feliz viage y dichosa unión. Oido su ruego, y realizado el matrimonio, hallán dose depositadas en aquella Real casa las respetables cenizas de 40 personas Reales, las 11 de Reyes y Reinas, 14 Infa…</t>
  </si>
  <si>
    <t>…. M. visitar en el año de 1814 , y que tenemos el honor de representar, nos ha elegido para felicitar á V. M. en su nombre por su efec tuado matrimonio coa la Reirá nuestra Señora Doña María Isabel , cu—</t>
  </si>
  <si>
    <t>…pas: su pre cio to rs. en pasta. Véndese en las librerías de Castillo, frente ¿ las gradas de $a» Felipe , y de Barco, carrera de S. Gerónimo. , Retrato de la Reina nuestra Seño a Doña María Isabel db Bracanza, di bujada por D. Vicente Ximeno, y grabada en cuartilla regular por D. Luis Noseret. Se vende en el almacén de estampas de la calle Major, frente á la casa del . conde de Olíate, á 3 rs. «o negro y á 6 iluminado: puede ir en carta. EN LA IMPRENTA…</t>
  </si>
  <si>
    <t>*2¿? su augusta sobrina Doña María Isabel , Infanta de Portugal; sus heroicas virtudes, hermanadas con las de V. M. aseguran á la España el triunfo de la religión, la prosperidad de los vasallos, y la permanente sucesión del tro no en la Real familia de los Borbones, cuyos sagrados derechos han defen…</t>
  </si>
  <si>
    <t>…firme .adhesión á su benéfico y legítimo Soberano, los que dirige constantemente al cielo por su importantíma salud, y felicidad del enlace matrimonial con la Reina nuestra Señora Doña María Isabel, que la divina Providencia parece haber preparado y destinado para el colmo de las dichas y felicidades que de él se prometen to dos los menorquines y la nación entera.” En seguida pasaron dichos' comisionados á felicitar con igual motivo al Sermo. Sr. luíant…</t>
  </si>
  <si>
    <t>…el primero dijo lo siguiente: ,,Señor: La ciudad de Tarifa nos ha nombrado para que tengamos el honor de felicitar á V. M. por su efectuado casamiento con la Reina nues tra Señora Doña María Isabel. Dígnese V. M. admitir grato esta felicita ción de una ciudad en que transmitido de padres á hijos el hecho heroico de Alonso Perez de Guzman , apellidado el Bueno, abrigan sus habitantes los sentimientos mas puros de amor, respeto y lealtad á la augusta Real…</t>
  </si>
  <si>
    <t>…los pies del trono, no puede contener el júbilo que rebosa en el corazón de toaos sus habitantes, viendo ya verificado el feliz enlace de V. M. con nuestra augusta Reina y Señora Doña María Isabel be Braganza. Aquel Dios, que dirige las acciones de los Reyes, se ha manifestado el protector de esta monarquía, dándola ahora una señal de su felicidad, que la sirve de garante, como 3*0 á nombre de to da ía ciudad tuve el honor de significarlo á V. M. el di…</t>
  </si>
  <si>
    <t>…,j: amor á la Real Persona dé V. M., nos ha comisionado para'que' á su nom bre tengasr.es el honor de felicitar á V. M. con motivo ae su augusto enlace con la Reiha nuestra Señora Doña María Isabel t&gt;e Rragakza. ,, Lloro , Señor, Lucena los males que V. M. sufiiocon tanta constancia; lloró los de toda la nación y los suyos propios; vio á V. M colocado se gunda vez en el trono, y enjugó sus lágrimas : /vuelve á verterlas &lt;áp, gozo por rla acertada elecci…</t>
  </si>
  <si>
    <t>…os á V- M. su mas profundo respeto * fidelidad y obediencia , al mismo, tiempo que le felicitemos por su: efectuado ya y venturosa enlace con la Serma. Se ñora Infanta dé Portugal Doña María Isabel, de Bkagakiz a. El cabildo de Cuenca, Señor y se ciñe á indicar á V- M.. que su&gt; matrimonioacordado antes en el cielo r promete á la ‘España todas las prosperidades de su bendi ción , y los felices sucesos dé los tiempos etique reinaron los augustos pre deces…</t>
  </si>
  <si>
    <t>Isabel, Mariv</t>
  </si>
  <si>
    <t>Mariv Isabel</t>
  </si>
  <si>
    <t>…, cabeza de su señorío, propio de V. M. , nos ha honrado con la comisión de felicitar á V. M. con el justo motivo de su acordado casamiento con la Serma. Sra. Infanta de Por tugal Doña Mariv Isabel; y tan amante de la Real Persona de V. M. co mo testifican sus ruinas y escombro , lo es de que V. M. sea eternamente su Rey y su Señor, hasta que la feliz sucesión de tan augusto como deseado matrimonio no deje medio entre su existencia y el respetuoso amor…</t>
  </si>
  <si>
    <t>Isabel, Marta</t>
  </si>
  <si>
    <t>Marta Isabel</t>
  </si>
  <si>
    <t>gal Doña Marta Isabel un' prodigiosocámuté dfe felicidadés: paría aqueFrmeU vo mundo; pues mira aproximarse los dias mas a4egres re«i que disipadas aun hs sombras de la rebelión oue sembraron los emisarios del tirano,se restitu ya la antigua paz , prospere el estado, y triunfe la…</t>
  </si>
  <si>
    <t>Isabfl, María</t>
  </si>
  <si>
    <t>María Isabfl</t>
  </si>
  <si>
    <t>…ruebas nada equívocas de su amor, lealtad y respeto, nos ha distinguido con la honrosa comisión de felicitar á V. M. por su enla ce con S. A. R. la Serma. Sra. Infanta de Portugal Doña María Isabfl. Las virtudes que caracterizan á V. M., y las que adornan á la ilustre Princesa destinada para su esposa, lisonjean á la ciudad con la dulce esperanza deque producirán los mas prósperos resultados. Asi lo desea la ciudad de Fuentera bía, y nos encarga lo mani…</t>
  </si>
  <si>
    <t>Isabfx, Maaia</t>
  </si>
  <si>
    <t>Maaia Isabfx</t>
  </si>
  <si>
    <t>los píes de V. M. los sentimientos de so profundo respeto, y de felicitarle por c concertado enlace con la Serma. Si a. Doña Maaia Isabfx, Infanta de Portugal, cuyas amables cualidades, unidas á las de V. M , son ahora la esperanza de la nación, y haran después las delicia de los españoles. »» V. M. se dignó decir al cabildo que había dado este paso, el mas im portante entre todas las transacci…</t>
  </si>
  <si>
    <t>Isabfx, María</t>
  </si>
  <si>
    <t>María Isabfx</t>
  </si>
  <si>
    <t>…a ciudad de Córdoba me ha distinguido con la honrosa comisión de vex&gt;¡r á ofrecer á V. R. M. el parabién por su acordado matrimonio con S. A, R. la Serma. Sra. Infanta de Portugal Doña María Isabfx. Se creía, .Señor, que nada podia añadirse ya á la satisfacción de ver á V. R. M. ocu pando el trono de sus mayores, y gobernando los dilatados dominios que la Providencia ha puesto bajo su cuidado; pero el cielo, que sin duda vela de una marera especial sobr…</t>
  </si>
  <si>
    <t>Isakf.l, Maxia</t>
  </si>
  <si>
    <t>Maxia Isakf.l</t>
  </si>
  <si>
    <t>…la Concepción, y en la imprenta de Divi a, calle de Barrionuevo. Cartas nuevas con los bustos del Rey nuestro Señor D. Fernando vrr y de su augusta Esposa la Reiva nuestra Señora Doña Maxia Isakf.l en un grupo de nu bes ..coronándolos el Himeneo con un genio de amor, grabado con la mayor deli cadeza, y estampados de negm y de colores, é iluminados, á 2 rs. de colores y 4 iluminados en cuartilla, y los hay con orla alusiva y para colocarlos en roarquitos…</t>
  </si>
  <si>
    <t>Isauf.l</t>
  </si>
  <si>
    <t>…erosos motivos. Todavía falta otro, que formara la dicha de esta ciudad y de tí J r ía monarquía, y es que se verifique cuanto antes el feliz enlace de V M. con su auousta sobrina Doña Isauf.l , Svrma. Sra. Infanta de Portugal. Esto pedimos a Dios con re petidas plegarias les moradores de Alcalá,que ofrecemos á L. R. P. Ce V. M. nuestras vidas y7 haciendas, en cava satis ficción Pene la parte bien sabida el Sermo. Sr. Infante L). Antonio, lio de V.…</t>
  </si>
  <si>
    <t>Isidoro, S.</t>
  </si>
  <si>
    <t>S. Isidoro</t>
  </si>
  <si>
    <t>…de los cuerpos santos y reliquias que h ir en la iglesia de S. Isi doro de León , y cuerpos Reales que descansan en su Real panteón. Cuerpos santos y reliquias. Cuerpo del patrono Sr. S. Isidoro, doctor de las Españas, de la Real sangre de los godos, hem , el del glorioso S. Vicen te, mártir de Avila. Item, el del santo confesor é hijo de esta casa Sto. Martino Ir-1'!!, especiales reliquias de las dos hermanas Sta Sabina y Cristeta de Avila. Item, la…</t>
  </si>
  <si>
    <t>Isidro, Cárlos María</t>
  </si>
  <si>
    <t>Cárlos María Isidro</t>
  </si>
  <si>
    <t>…do con la mas distinguida comisión para que felicitemos á V. M. con el mas respetuoso y sincero amor por su concertado matrimonio y el de su augusto Hermano el Sermo. Sr. In fante D. Cárlos María Isidro con las Sermas Srás. Infantas Doña María Isa bel Francisca y Doña María Francisca de Asís, hijas de los excelsos Príncipes del Brasil. „E:ta ciudad, Señor, estimulada de su lealtad y decidido zelo á vuestra Real Persona, fue la primera que con toda la provinc…</t>
  </si>
  <si>
    <t>Ittymaurice, Eduardo B.</t>
  </si>
  <si>
    <t>Eduardo B. Ittymaurice</t>
  </si>
  <si>
    <t>…D. Tomas de Urruti.i, y el cuarto í D. Josef Gallinaus: dós dé á 300 pesos, el mismo encabezamiento y crea.ion, con los nú meros 8098*2 y 84337 , y endosados últimamente el uno á D. Eduardo B. Ittymaurice, y el otro al mismo D. Eduardo: 13 en los miamos términos, de 150 pesos, creación tafnbien de Enero de 1808, señalados ccn los números 241844, 262123, 264173, 283416, 291249, 292333, 293742, 296120, 308592, 317537* 335607, 34305,2 y 343075, encabezados asimis…</t>
  </si>
  <si>
    <t>Itúrbide</t>
  </si>
  <si>
    <t>…is de la tarde de dicho dia 26 que habia conseguido dar muerte al mariscal de rebeldes Cañas, y hecho prisioneros algunos de sus compañeros,con cuya presa volvía á San Felipe. Del coronel Itúrbide se insertan dos oficios: en el primero remite el parte que le dió el comandante de Silao D. Gaspar López sobre la expedi ción que hizo á la sierra de Ibarra en combinación con otras divisiones, y el fruto que logró en varias correrías fue apresar dos rebeldes…</t>
  </si>
  <si>
    <t>Iturrate, Bartolomé</t>
  </si>
  <si>
    <t>Bartolomé Iturrate</t>
  </si>
  <si>
    <t>…es en la audiencia de dicho señor desde las 1 2 á la una. Por providencia de 8 de Junio de 1816 dada por la justicia del valle de Urcabustaiz, provincia de Alava, en testimonio de D. Bartolomé Iturrate, secretario de su ayuntamiento , se han mandado citar y emplazar por gaceta con término de ip días pe-entorios á los acreedores del concurso formado en el año de 1/68 á bienes de D. Tomas de Peñaredonda, notorios en el lugar de Abornicano, de la misma provinc…</t>
  </si>
  <si>
    <t>Iturriria, Vicente</t>
  </si>
  <si>
    <t>Vicente Iturriria</t>
  </si>
  <si>
    <t>…cha Junta son D. Tosef de Imaz, Director general de Rentas» D. Juan López de Peñalver, D. Francisco Durango y Ortuzir, D. Manuel Benito Carranza, Vista de la Aduana de C:í iiz , y D. Vicente Iturriria» Vista de la de la Corana.” Lo que traslado á V. S. 1. de Real orden para que disponga el Consejo su cumpli miento en la parte que corresponde.” Publicada ftn el Consejo pleno la antecedente Real orden» ha acordado se guarde y cumpla lo que S. M. se sirve man…</t>
  </si>
  <si>
    <t>Ivíoreau</t>
  </si>
  <si>
    <t>…s para que se reparen los caminos que están en mal estado, y puedan emplear en los trabajos á los pobres que esten ociosos. Hace algunos dias que llegó á esta capital la viuda del mariscal Ivíoreau, quien luego que Napoleón volvió á Francia se salió de ella. Escriben de Bruselas que por decreto Real se ha mandado que durante la semana santa, en los dias de las tres pascuas, y en los de la Ascensión, del Corpus Christi y de la Asunción se cierren todos l…</t>
  </si>
  <si>
    <t>Iz, Elias</t>
  </si>
  <si>
    <t>Elias Iz</t>
  </si>
  <si>
    <t>4o Estado generaldela Real Armadaparaeste afío.Véndese á 16 rs. en el despa cho de la imprenta Real. En el Real tribunal del consulado de Cádiz , y por la escribanía de D. Elias Iz quierdo y Payan,,penden autos de quiebra y concurso de acreedores a D. Juan JosefBurin, de«ste comercio, en ios cuales por providencia de p del pasado se ha mandado entre otras cosas citar y emplazar á cuantos se estimen acreedores á dicha masa y concurso, pa…</t>
  </si>
  <si>
    <t>Iznardi, Josef</t>
  </si>
  <si>
    <t>Josef Iznardi</t>
  </si>
  <si>
    <t>…catedral de Lima; D. Francisco Florencio de Olazabal, vecino de Sevilla; D. JosefPerez de Rosas, corregidor de Logroño; D. Juan Jabat, ministró plenipotencia io en Constantinopla; D. Josef Iznardi, ministro residente en Hamburgo; D. Josef Antonio Iparraguirre, cónsul en Bayona; D. Francisco Verges, canónigo de Gerona, director de aquel hospicio; D. Francisco Bernaldo de Quirós , canónigo de Cartagena, y director que ha sido de la Mise ricordia dé Murci…</t>
  </si>
  <si>
    <t>Iznardy, Josef</t>
  </si>
  <si>
    <t>Josef Iznardy</t>
  </si>
  <si>
    <t>…do los párvulos de las tres escuelas de p¡inferas letras que hay en el pue blo , dos sostenidas por los propios de la villa, y la otra de fundación pía debida á la beneficencia de D. Josef Iznardy, se dio principio al examen con un discurso , que pronunció D. Joaquín Brunengo, de edad de ocho años, alumno de una de las dos referidas escuelas, el cual mereció el general aplau so por la propiedad con que lo decoró, y en seguida fueron preguntados, según…</t>
  </si>
  <si>
    <t>Izquier, Amonio María</t>
  </si>
  <si>
    <t>Amonio María Izquier</t>
  </si>
  <si>
    <t>…es de la Cámara de Castilla á D. Andrés García Hernández, arce diano de Vivero en la catedral de Mondoñedo; D. Justo Ibar Navarro, consejero honorario con sueldo del Consejo Real; D. Amonio María Izquier do, conventual de justicia en la orden de S. Juan, y Secretario de Cámara de S. A. R. el Sermo. Sr. Infante D. Carlos María Isidro. Asimismo se ha servido S. M. conceder á Fr. Cirilo Alameda, religioso de la orden de S. Francisco, predicador de S. M., los hon…</t>
  </si>
  <si>
    <t>Izquierdo, Antonio María</t>
  </si>
  <si>
    <t>Antonio María Izquierdo</t>
  </si>
  <si>
    <t>…que estos deben hacer en Paiús. Dios guar de á V. muchos años. Madrid, 4 de Noviembre de 1816. _ &gt; * * El Rey se ha dignado conceder honores de ministro del Consejo de la Cámara á D. Antonio María Izquierdo, secretario de Cámara del Sermo. Se ñor Infante D. Cirios María, como gran prior de S. Juan: honores de mi nistro del Consejo Real á D. Pedro de la Puente, corregidor político de la ciudad de Lorca; y á consulta de la Cámara se ha servido S¿ M. conceder honor…</t>
  </si>
  <si>
    <t>J, Josef</t>
  </si>
  <si>
    <t>Josef J</t>
  </si>
  <si>
    <t>…cero; en Valladolid á Don Simón Pino Fernandez, procurador de aquella chancillería; en Pamplona á Doña Mam Ramona Esparza y Dorre, y en el lugar de Asiain de Navarra al presbítero D. Josef J oaqutn Ibañez, beneficiado de dicho lugar; y en el caso que haya falleci do y dejado sucesión, ó perdona que represente sus derechos, igualmente se desea saber quien sea estampara instruirla de asuntos que la interesan mucho. Arte de detener y aniquilar las e…</t>
  </si>
  <si>
    <t>J, Pedro</t>
  </si>
  <si>
    <t>Pedro J</t>
  </si>
  <si>
    <t>…a de Uclés, vacante por fallecimiento de D. Antonio Celedonio Lorente, á D. Juan Crisóstomo de Frías; y para la de Miguelturra , de nueva creación, á D. Manuel María Cabrera Ruiz. D. Pedro J osef Lazon, coronel de las milicias del partido de Huanta en la provincia de Huainanga, ha hecho al R,ey nuestro Señor el donativo de 28428 rs. y 25 mrs. y nVedio en tres recibos de réditos de vales, que S. M. Se ha dignado admitir; mandando que se le den gra…</t>
  </si>
  <si>
    <t>Ja</t>
  </si>
  <si>
    <t>…uien quisiere comprar dichas casas y géneros acuda ante el Sr. D. Joaquín Almazan, del Consejo de S. M. y teniente de corregidor de esta villa, y por la escribanía de su número de D. Ja cinto Gaona y Laeches, dentro del término de 30 dias, contados desde el dia 5 del corriente; y en la misma escribanía se dará razón de la casa comercio ¿en donde se hallan depositados dichos géneros. En el seminario patriótico de educación de la villa de Ibl,…</t>
  </si>
  <si>
    <t>Jabat, Juan</t>
  </si>
  <si>
    <t>Juan Jabat</t>
  </si>
  <si>
    <t>…junta de Burgos; D. Ventura Tagle Soasaga, racionero de la catedral de Lima; D. Francisco Florencio de Olazabal, vecino de Sevilla; D. JosefPerez de Rosas, corregidor de Logroño; D. Juan Jabat, ministró plenipotencia io en Constantinopla; D. Josef Iznardi, ministro residente en Hamburgo; D. Josef Antonio Iparraguirre, cónsul en Bayona; D. Francisco Verges, canónigo de Gerona, director de aquel hospicio; D. Francisco Bernaldo de Quirós , canónigo de…</t>
  </si>
  <si>
    <t>Jai</t>
  </si>
  <si>
    <t>…Vidal y Garri ga, D. Francisco Arger é hi,ps, D. Agustín Alecrín, D. Domingo Pérez é hijo, D. Micuel Alvarez de Pazos^D. Carlos Buzzoni, D. Josef Ventura Al» ¡, D Fidel M» rago y D. Jai me Ordeig, tenedores de un vale Real de 6c o pesos, creación de i.° de Setiembre, nám. 2927 , para que en el término de 30 dias, coníaJos desde el 2a de Agosto último, acudan al referido juzgado y citada escribanía á deducir el derecho con</t>
  </si>
  <si>
    <t>Jaime</t>
  </si>
  <si>
    <t>…sidido en la ciudad de Córdoba, se servirá comunicarlo á D. Pedro Antonio Senosiain, que vive calle de la Montera, núm 30, cuarto principal, para que este pueda participar á dicho D. Jaime un asunto favorable que debe interesarle. Elogio á la ínclita ciudad de Zaragoza por su heroica resistencia contra la ínjus ta invasión de los franceses, escrito á invitación de la junta central, y’remitido á su secretario en 27 de Mayo de 1809 por D. Manuel…</t>
  </si>
  <si>
    <t>Jaimes, Manuel Pcrez</t>
  </si>
  <si>
    <t>Manuel Pcrez Jaimes</t>
  </si>
  <si>
    <t>…. 1 oda prohibición ó imposición de derechos sobre los géneros ó mercaderías es una traba que entorpece el comercio exterior, y trastor na el que las provincias hacen entre sí.----D. Manuel Pcrez Jaimes. Los raí!amentos gr&lt; t* iule¿ producen obstáculos sobremanera nocivos a la pros peridad de. la industria____ IX Angd Polo y Monge. En igualdad de cir cunstancias la&gt; población siempre Cita, en proporción con los productos que rinde el país. Terminadas las dis…</t>
  </si>
  <si>
    <t>Jaramillo, Joaquín Paez</t>
  </si>
  <si>
    <t>Joaquín Paez Jaramillo</t>
  </si>
  <si>
    <t>…te D. Antonio, á quien del mismo modo aprovecha y sienta muy bien hasta el dia. El lunes h .bo en este pueblo corrida de toros de muerte, á que asis tieron S. M y A. en la casa de D. Joaquín Paez Jaramillo, en que se hallan alojidos el Exorno. Sr. D. Pedro Cevallos y la primera secretaría de Esta do. Fueron muertos los toros por un aficionado, que con este motivo dió muestras de mucha destreza y habilidad. Noticia de las personas y corporaciones que han felicit…</t>
  </si>
  <si>
    <t>Jáuregui, Ignacio</t>
  </si>
  <si>
    <t>Ignacio Jáuregui</t>
  </si>
  <si>
    <t>…io de Medicina de Madrid con el fin de adelantar y honrar esta importante cien cia todo lo posible, bajo la dependencia del director del Real estudio de Clí nica (que lo es hoy el Sr. D. Ignacio Jáuregui, primer médico de Cámara de SS. MM. y A A. RR., miembro de la Junta superior gubernativa de Me dicina, presidente del tribunal de exámenes, y de la Real academia Médica de Madrid), se hace s«her para obviar toda excusa ó pretexto: Que debien—! do continuar aq…</t>
  </si>
  <si>
    <t>Jáuregui, Ignacio de</t>
  </si>
  <si>
    <t>Ignacio de Jáuregui</t>
  </si>
  <si>
    <t>Cy &lt;* i ciones de clínica en el Real estudio establecido á este fin por S. M. en esta corre bnjo la dirección de su primer médico de cámara D. Ignacio de Jáuregui. Leerá aquel dia á las lode la mañana una oración inaugural facultativa el catedrático del establecimiento D. Antonio Hernández Morejon, médico de cámara de número, examinador de medicina &amp;c. Con arreglo á lo nuevamente mandado por S. M. en 31 del próximo pa…</t>
  </si>
  <si>
    <t>Jauser, Carlos</t>
  </si>
  <si>
    <t>Carlos Jauser</t>
  </si>
  <si>
    <t>…tro suelo y de nuestro comercio con la Sicilia: en suma, son grandes las ven tajas que nos resultan de nuestra unión con Francia. La goleta Deseada , buque mercantil al mando del capitán Carlos Jauser, después de Lab.r sostenido un combate muy vivo con un barco tunecino, le atacó al abordaje, y se apoderó de él con. poca pérdida. El capitán ha con ducido la presa X este puerto , y ha sido recibido con aclamaciones genera les. Ademas te ha celebrado una tie…</t>
  </si>
  <si>
    <t>Jcaqu</t>
  </si>
  <si>
    <t>…el 14 de Noviembre,: en" cü y a fecha se ha llaba enteramente bloqueada la plaza de Cartagena .y ‘Se'esperaba conseguir su rendición de un día á otro. ‘ J i “ Por la audiencia del Sr. D. Jcaqu*n de Al mazan y Nimeno, del conse jo de S. M., teniente corregidor de esta villa, se cita, llama y emplaza ¡á D. Atraído Peire y á D. Mariano de Ascorbeta, vecinos y del comerció dé la ciudad de Zara goza, sus hijos, herederos y demás personas que pretendan t…</t>
  </si>
  <si>
    <t>JD, Patricio Ortiz Pareja y</t>
  </si>
  <si>
    <t>Patricio Ortiz Pareja y JD</t>
  </si>
  <si>
    <t>…or medio de sus diputados D. Víctor Josef Marina , caballero profeso de la orden militar de Alcántara, D. Josef García de la Torre, alcalde de casa y corte , regidores perpetuos , D. Patricio Ortiz Pareja y JD. Isidoro de Lara, jurados perpetuos , con su escribano mayor , acompañados del Excmo. Sr. du que de Híjar , como tutor del Excmo. Sr. duque de Alba , dignidad de al caide de los Reales alcázares, puertas y puentes de dicha chicad, tuvo la honra de besar la Re…</t>
  </si>
  <si>
    <t>Je</t>
  </si>
  <si>
    <t>…barca, atacó un bongo con un cañón de á 12, y lo echó á pique en los úl timos dias del sitio. El teniente de navio D. Jacinto Marcaida, el alférez de fragata D. Juan Montano, y el teniente Je esta clase 1&gt; Simeón Ponce de León, han man dado las goletas y balandras, y han trabajado con actividad y zelo, y en especial el último se ha distinguido por su bizarría , y en ser el primero que ha tenido la casualidad de obedecer la orden de abordar á cualq…</t>
  </si>
  <si>
    <t>…han hecho los españoles por Zaragoza á la pro vincia de Antioquíi , V tal vez refugiare en las montaña* y paramo? de Chin che , que están en las fronteras de Baga. Monrufar es el comandante Je e*ra inicua facción , y tan sanguinario, que habiendo sorprendido a un ¡tiUliz mo zo con unas libras de tabaco, le hizo pasar por las armas, sin mas delito que</t>
  </si>
  <si>
    <t>Jesucristo</t>
  </si>
  <si>
    <t>…sé Hallará también el' prbyécto. ó, plan de refor ma del autor, 'dirigido á promover loá adelantamientos de la medicina, á 6 rs. en rústica. *' ■ ' Tratado de la pasión de Ntr-o. Sr. Jesucristo, conforme á-los cuatro sagrados evangelistas, y á la exposición de los santospadres: lleva al frente una lámina fina de Jesús crucificado. Se hallará á 4 rs.,á la rústica en la librería de Sojo, calle de las Carretas. ■ r„ -,■&gt; - o..--: ' í?r- j o í n r fc i'…</t>
  </si>
  <si>
    <t>…lafbx, ador nado con estampas finas: un tomo en 8.°, á 10 rs. en pasta.z^TriduoSacro: colec ción de poesías en que se expresan los misterios de la pasión y resurrección de nuestro Señor Jesucristo, con estampas finas: un tomo en 8.°, á 10 rs. en pasta. Egercicio cotidiano según el espíritu de la iglesia: escrito por el P. Teodoro de Almeida, y traducido por el P. D. Francisco Vazque?; un tomo en 8.°, ¿8 rs. en pasta. Se hallarán en librería de Rodrígue…</t>
  </si>
  <si>
    <t>…a villa por medio de su secretario D. Francisco Lázaro Velez hasta fin del presente mes; debiendo empezar las oposiciones en principio de Mayo. Contemplación de la vida de nuestro Señor Jesucristo, dispuesta por S. Buena ventura para enseñar á las almas devotas el modo de contemplar: esta obra contie ne la vida de Jesucristo desde su concepción hasta la venida del Espíritu Santo: un tomo en 8.° á 10 rs. en pasta. __ Dirección de la confesión y comunión…</t>
  </si>
  <si>
    <t>…iguel de Setiembre, y 3.0 Navi dad de este mismo año, á metálico y no vales Reales, ni moneda-papel, por ser para la subsistencia de la hospitalidad. La vida y acciones de nuestro Señor Jesucristo, tomada á la letra de los libros divinos del nuevo Testamento, con un resúmen de la doctrina de los Apóstoles (sa cada también á la letra de sus epístolas), que forman el completo de la moral cris tiana, y la instrucción necesaria para ioüos los fieles: tomo…</t>
  </si>
  <si>
    <t>Jesús, María de</t>
  </si>
  <si>
    <t>María de Jesús</t>
  </si>
  <si>
    <t>1413 B. Josef, D. Lorenzo, I). Antonio, Dona María de la Concepción, Doña Gertrudis, Doña María de Jesús, D. Francisco, D. Juan,* D. Manuel y Don Ramón López Perez, naturales de la Havana. Y habiendo fallecido el refe rido su padre D. Antonio López Gómez en el mismo año de 1802 al tiem po de estar para recogerlos, habiendo dejado pagados parte de sus gastos, dej…</t>
  </si>
  <si>
    <t>JeZmdoquiz, Mateo</t>
  </si>
  <si>
    <t>Mateo JeZmdoquiz</t>
  </si>
  <si>
    <t>…es, ñor el que V. A. esta próxim » i verificar con la Serma. Sra. Infanta D oía María. Francisca ,de cuyo enlace se prometen las mas lisonjeras es peranzas. El dia 7 del corriente D. Mateo JeZmdoquiz, fiscal del crmsejoReal, y D Fra-iclco Pulan , can '• .ig &gt; de ia Real uleda de S. Isidro de estacorre, na viero i el ho i &gt;r Je cum &gt; i n *n ir i S. M. por su futuro enlace con la Sere ní i na S a Inf. ita d. P &gt;rt g l l) na Mvaia Isaael, á nombre del ayun t…</t>
  </si>
  <si>
    <t>Jíeredia, María Saehz y</t>
  </si>
  <si>
    <t>María Saehz y Jíeredia</t>
  </si>
  <si>
    <t>…hos vales su ulti mo endoso son los siguientes: uno de. 60 o pesos de i.° de Setiembre de 1809 ,.nú mero 9458, á D. Narciso Bosch y Ajfarci: uno de 300 ídem de ídem, «úm. 23350^ á Doña María Saehz y Jíeredia: otros'dos ídem de i.° de Setiembre de 1808 á j). Agustín Frutos, número* 31071 y 70935: dos de Ia.de 1;.® de ídem de 1809 á los herederos de D. Angel Perez, números 34877 y 42209: otrocreación y valor idem ídem, núm. 47246, á D. Cristóbal Gironelia é hijos:…</t>
  </si>
  <si>
    <t>Jina</t>
  </si>
  <si>
    <t>…rada por la Real academia médica de M urcia en 3 t de M *yo de 1816, con motivo del plausible dia anterior de nueitro augusto Soberano, en que na le fue posible verificarla , leyó D. Jina \l.x, individuo de mérito literario de la Real sociedad económica de la rnicni ciudad, de número, y censor de dLha Real academia. Considerando el au to que 1 - invectivas contra la medicina, aunque nada pruebjn , pueden sin em bargo contribuir á cimentar erro…</t>
  </si>
  <si>
    <t>Jió, Juan Bautista Martin</t>
  </si>
  <si>
    <t>Juan Bautista Martin Jió</t>
  </si>
  <si>
    <t>…cip á los Pisones, dieron cuera a por preguntas y respuestas que se hacían v da ba n unos i otros de todos los preceptos de la retórica v poética dando fin con una canelón con que D. Juan Bautista Martin Jió gracia^ al público. Et dia cu trio ios dócíp ¡io , d i las escudas púb ica' de ieer y escribir, di rigid}' por su muestro el P. B rnarda de Je us y María, y presentados al públic ■&gt; por el uno de ellos D Jiernardo Ansaldo, qae en una oda piJió la atención Je!…</t>
  </si>
  <si>
    <t>JLcureiro, Josel María</t>
  </si>
  <si>
    <t>Josel María JLcureiro</t>
  </si>
  <si>
    <t>…ncipio por un papel alusivo al objeto, que leyó el primer maes tro director D. Cayetano Fernandez Villamil. Fueron examinados en aritmédea D. Josef Perez, D. Juan Pablo Rodríguez, D. Josel María JLcureiro, D. Florencio Pereira, D, Benito Pereira , D. Cosme Arias, D. Juan Rodrí guez, D. Josef Abad, D. Manuel Vicario, D. Josef Vicente Veiga , D. Jo-</t>
  </si>
  <si>
    <t>Jmayor</t>
  </si>
  <si>
    <t>…rudimentos y sin taxis acreditaron tina instrucción sobresaliente D. ( Raimundo Colmenero, D. Evaristo Ánchiálo , D. Francisco Rojo yD; Francisco Llórente: en vis ita de eito: el 'alcalde Jmayor y los' señores D. Josef Clavero y D. Éstéban de h Peña, comisarios ¿ y demas individuos de áyuñtamiento, deseandó premiarel mérito de estos discípulos f y excitar Su zelo y apjicacion, ofrecieron, para íps primeros.exámenes qué se celebren, una medalla de pla…</t>
  </si>
  <si>
    <t>Jo</t>
  </si>
  <si>
    <t>…ués de haber examinado personalmente, y por entre las mismas filas, asi al oficial como al soldado, tuvo á bien S. M. permitir y mandar á su coronel el brigadier de la Real armada D. Jo sef María Autran , que maniobrase con el regimiento y la compañía , según asi lo egecutó ¡mediatamente, dando principio por un manejo de arma, y su plemento á la muda y al compás de la música , y practicando cuantas evo luciones y fuegos le permitió el corto…</t>
  </si>
  <si>
    <t>…ue hicieren arregladas al acuerdo general; y para su remate está señalado el dia 28 de este mes en la audiencia de dicho señor desde las 1 2 á la una. En virtud de providencia del Sr. D. Jo*ef Salvador López del Pan, del consejo de S. M., alcalde de su Real casa y corte, pronunciada en 28 del pasado, y refren dada por el escribano de provincia y comisiones de la misma D. Luí» López de Cas tro, por la cual se cita, llama y emplaza á todos los acr…</t>
  </si>
  <si>
    <t>…superior conocimiento , y que si lo tiere á bien lo ele ve al «oh rano de S. M., r&lt; comtndando á la comida ración de V. E. el mé rito que vn esta acción han contraído ti teniente coronel D. Jo*&gt;ef Moles y D. Antonio Genua Ao.e, capitán y alférez de dragones de la Union, El Rey nuestro Señor se ha servido aceptar los donativos que se expresan tn las dos notas siguientes, mandando se den gracias en su Real nombre á los interesados, y se publiquen tan…</t>
  </si>
  <si>
    <t>…v.cme 1 den. También me intereso con V. S. para cue les oís pense las, gradas que tenga á bien al comandante de la segunda colum na móvil 1). Raimundo Marques; á los de la tercera D. Jo^ef Antonio Mar tínez y JD. L michino I turrado; al del escuadrón de Tiznados D. L&gt;:e::o ¿;olanco; á ios de Espino y Ortiz , Reyes, Alvarado, y D. Francisco Saina do, y ni de auxiliares de S. Sebastian D. Francisco Rósete, igualmente que • al teniente-justicia…</t>
  </si>
  <si>
    <t>…Quevedo y Villegas, y D. Juan de Ferreras. —Cuaderno 3.0: Hernán Cortés, Garcilaso de la Vega, D. Alonso de Ercilla, D. Pedro Calderón de la Barca, Miguel de Cervantes Saavedre, y D. Jo&gt;sef Patino.— Cuaderno 4.0: D. Antonio Agustín, D. Sancho Dávila, D. Juan de Austria, D. Alvaro de Bazan, Antonio de Nebrija, y D. Pedro Menendez Avilés.zzCuaderno 5 °: D. Juan de Austria, Fr. Luis de Granada, Martin de Alpizcueta, Pedro Chacón, D. Bernardino…</t>
  </si>
  <si>
    <t>…ha servido nombrar para el corregimiento de Conil á D. Tuan Galban Valiente, y para el de Castrojeriz á L&gt;. Francisco Fernandez ina: para la vara de alcalde mayor de Algarinejo á D. Jo* f V-n-nz de T jada: para la de Crecente á D. Anselmo del Campo: para la de Oáa a \j. Anto nio Rojo y Gandía: para la de Trigueros á D. Josef María Herrera: para la de Villarubia de los Ojos á D. Salvador Gramaje: para la Je Ayamot te á D. Juan de Padilla y O…</t>
  </si>
  <si>
    <t>…ío dias, contados des de esta fecha, concurra por sí ó por medio de procurador con poder bastante á de ducir la acción que le convenga en el expediente que coníra él se sigue por D. Jo sef Abajo y Manzano, como administrador de una casa en la calle del Ave María, num. 17, manz. 30*, con apercibimiento que pasado dicho término sin haber camparecido se ie nombrara un defensor a su costa , parándole el perjuicio que haya lugar. Se vende una hu…</t>
  </si>
  <si>
    <t>…S. Lucas de Roma y Real de S. Fernan do de esta corte. Nació el i.° de Marzo des 1741 en la ciudad de Tarazona de Aragón; y trasladado á Zaragoza , se colocó bajo la enseñanza de D. Jo sef Ramírez,escultor de crédito en aquella época,en donde los rápidos pro gresos con que correspondió á su digno maestro , le hicieron conocer á bre ve tiempo en aquella capital y fuera de ella. Desde allí el ardiente deseo de adquirir nuevos conocimientos le…</t>
  </si>
  <si>
    <t>…la calle que Maman del Mesón nuevo, linde con el mesón y casa de aquella parroquial, tasada en 11360 rs., y 30 mrs.: otra en la calle del Peine, linde con una de Jas Animas, la de D. Jo«ef Olmos, y otra de Manuel Mendoza, en 5050 rs.: una tierra á la entrada del sitio del Espinillo, de tres fanegas y seis ce lemines, en 1225 rs.: otra á la entrada del cerro del Aguila, de caber cuatro fane gas poco mas ó menos; y otra en dicho sitio mas adel…</t>
  </si>
  <si>
    <t>Jo, Bernabé Sánchez</t>
  </si>
  <si>
    <t>Bernabé Sánchez Jo</t>
  </si>
  <si>
    <t>. 11^3 Doña Mariana Sánchez fo. D. Bernabé Sánchez Jo. Doña Catalina de la Ri ca 50 Doña Mariana Aillon óo. Doña María de Castro 60- Juan de Cam pos Ruiz 40. D. Francisco Bejar 40. Josef Beímar 40. Sebastian Moreno 40. Juan Espinosa Tellez 50* Doña Isabel Gerónima Zamorano 100. D. Anto nio Ortiz Calvento 50. D.…</t>
  </si>
  <si>
    <t>Jo, Bernardo</t>
  </si>
  <si>
    <t>Bernardo Jo</t>
  </si>
  <si>
    <t>…u capitán y maestre D. Josef AntonioMurrieta, y en ella algunos intereses pertenecientes á D. Luis de Sandoval ó sus herederos , de la Rioja, sin designación de lugar , que remite D. Bernardo Jo sef de Arce, vecino y del comercio de Panamá, á consignación de D. Joa quín María Ferrer, residente en Madrid, lo avisa este á los interesados para que ocurran á recogerlos á Cádiz á casa de los Sres. D. Roberto White é hijo, de aquel comercio, por medio de a…</t>
  </si>
  <si>
    <t>Jo-</t>
  </si>
  <si>
    <t>…Pablo Rodríguez, D. Josel María JLcureiro, D. Florencio Pereira, D, Benito Pereira , D. Cosme Arias, D. Juan Rodrí guez, D. Josef Abad, D. Manuel Vicario, D. Josef Vicente Veiga , D. Jo-</t>
  </si>
  <si>
    <t>Joa</t>
  </si>
  <si>
    <t>…por este general, pueda hacerlo bajo su firma en el término de un mes, dirigiéndose á la comisión establecida por la Real orden citada, y cuyo presidente es el Excmo. Sr. Capitán general D. Joa quín Blake. El dia 23 de Octubre del año próximo pasado de 18x5 falleció en esta</t>
  </si>
  <si>
    <t>…ron la suerte unidos en los infortu nios han querido ser iguales en los enlaces. Dios echará sobre ellos su apro bación , c&lt; mo se lo suplica la villa de Corullon y su comisionado D. Joa quín Antooio Novo, para que todo sea en beneficio y prosperidad del reino.”* El 3 i del pasado á las cuatro-y media de la tarde se presentaron en la sala de Audiencias de Palacio á cumplimentar á S. M. por la ciudad de San tiago y su provincia el Eterno. Sr.…</t>
  </si>
  <si>
    <t>…necientes á D. Luis de Sandoval ó sus herederos , de la Rioja, sin designación de lugar , que remite D. Bernardo Jo sef de Arce, vecino y del comercio de Panamá, á consignación de D. Joa quín María Ferrer, residente en Madrid, lo avisa este á los interesados para que ocurran á recogerlos á Cádiz á casa de los Sres. D. Roberto White é hijo, de aquel comercio, por medio de apoderado autorizado en bastante forma. Mercurio de España. Junio de i3i…</t>
  </si>
  <si>
    <t>…licitar al Rey nuestro Señor por su futuro enlace, á n mbre de la ciudad de Matará , los Sres. D. Vicente Sisternes , caballero d la Real distinguida orden española de Carlos 111, D. Joa quín Si ^ernes, d.l Cornejo de S. \1. en el supremo del Almirantazgo, y Don Pedro Sisternev, gemilhombr;’ de cámara de S. M.; y el primero dijo: ,, Sv ñor : La acendrada lealtad de vuestra ciudad de Mataró quedó sellada con la sangre de sus hijos, vertida tan…</t>
  </si>
  <si>
    <t>…ico; y por de^rei de i Con sejo supremo de S. M. se ha mandado publicar por ocho días mas, y scúelado nue vamente para el remate el 1 2 del o rricnte á las 1 2 en la audiencia del Sr. D. Joa quín Almazan, teniente corregidor de esta villa, por la escribanía de su núnveio que egerce D. Juan Raya. Quien tuviese noticia del paradero de D. Manuel de Rivas Albear y Perez de Soto, natural del valle de Soba, montañas de Santander, que pasó á América mu…</t>
  </si>
  <si>
    <t>…álico; y por decreto del Con sejo supremo de S. M. se ha mandado publicar por ocho días mas, y señalado nue vamente para el remate el fírdel corriente á las 12 en la audiencia del Sr. D. Joa quín Almazan, teniente corregidor de esta villa, por la escribanía de su número que egerce D. Juan Raya. O igen de ia revolución francesa, ó trama de los filósofos modernos para con seguirla: un tomo en 8.°“Relación circunstanciada de los trabajos, prisión y…</t>
  </si>
  <si>
    <t>Joa-</t>
  </si>
  <si>
    <t>…el preciso término de un mes, contado desde el d:a de c&lt;a publicación, bajo su firma, con razones sólidas, y probando lo que tengan que oponer; dirigiendo la exposición al capitán general D. Joa-</t>
  </si>
  <si>
    <t>Joanicot, Margarita</t>
  </si>
  <si>
    <t>Margarita Joanicot</t>
  </si>
  <si>
    <t>…la parte pecuniaria del premio D. Juan Bautista Genoves, D^Bernar do Morera, D. Antonio Cervero, D Gregorio Sech, D. Antonio Iractburu y D. Antonio Chicoy , é igualmente las niñas Doña Margarita Joanicot, Do-; ña Concepción Jordá, Doña Brígida Buchelli, Doña María Praty Doña Jo sefa Piquer. Para costear estos premios contribuyeron generosamente diferentes corpo raciones, socios y particulares con las cantidades siguientes: el limo. Sr. ar zobispo director con…</t>
  </si>
  <si>
    <t>Joaqu</t>
  </si>
  <si>
    <t>…. La persona que quiera hacer postura acuda ante dicho señor juez y por la escribanía del número de D. Miguel Gonzalo, donde se admitirán las que se hicieren siendo arregladas. El Sr. D. Joaqu in Almazan, del Consejo de S. M., teniente corregidor de esta Tilla, ha señalado para celebrar junta de acreedores al concurso de D. Bernardo Mendieta, vecino y del comercio que fue en esta corte, el dia 15 del presente ir.es en su habitación á las ocho de su…</t>
  </si>
  <si>
    <t>Joaquín</t>
  </si>
  <si>
    <t>…s&gt; en el despacho de la imprenta Real. Se subscribe en dicho despacho , y en las provincias en todas las ad ministraciones principales y agregadas de correos. Por la audiencia del Sr. D. Joaquín de, A Imazan, del consejo de S. M., tenien te de corregidor de esta villa de Madrid, y por la escribanía del número'de D.To mas de Sancha y Prado, s« vende á voluntad de su dueño una casa sita calle de los Dos Amigos, núm. 10. manz. 530, tasada en renta en 63…</t>
  </si>
  <si>
    <t>…r en el Alentejo los tobos tan perjudiciales á los ga nados, ha recibido la satisfacción de que el gobierno le dé las debidas gracias por medio del comandante de aquella provincia D. Joaquín de la Costa y Silva, cuyo oficio escomo sigue: „ Habiendo hecho presente al Príncipe Re gente nuestro Señor el oficio de V. S. de 8 del corriente , sobre el buen resultado de las monterías que ha promovido en la provincia de Alentejo, de las cua les se habia…</t>
  </si>
  <si>
    <t>corregimiento político de la ciudad de Valencia: á D. Joaquín de la Esca lera para la vara de alcalde mayor de la ciudad de S. Felipe de Játiva : á D. Joser Perranaiz y Sánchez para la del Villar del Arzobispo: á D. Ra fael Calabuíg para la de la villa de Ay ora: á D. Tomas Oírra y Castelló para la de Jalón: á D. Franci…</t>
  </si>
  <si>
    <t>…s que trajo un barco procedente de Buenos-Aires, á saber: que á 11 leguas de Xjhaianta, donde el sedicioso Rondeau tenia su cuartel general, y 8 de Oru jo, donde se hallaba el del general D. Joaquín de la Pezuela, atacó la van-guardia de aquel, al mando de un tal Rodríguez, un puesto avanzado de 80 hombres, los cuales habiéndose dejado sorprender de intento, y dado • tiempo á que Rodríguez se entretuviese en hacer prisioneros y recoger el botín, ofrecier…</t>
  </si>
  <si>
    <t>…de 1816. En el ministerio de Guerra se ha recibido el siguiente oficio del virey del Perú: „Excmo. Sr.: A pocos dias de la retirada del general en gefe del egército del Alto-Perú D. Joaquín de la Pezuela al pueblo de Sepulturas, con el fin de recuperar su salud, según lo participé á V. E. con fecha de 23 de Oc tubre último , núm. 15 5, lo consiguió en mucha parte , y se transfirió al cuar tel general de Sorasora para disponer el ataque premedita…</t>
  </si>
  <si>
    <t>…arada mente contra el Rey y la Nación. Dios guarde á V. E. muchos años. Cuar tel principal en Venta y Media 20 de Octubre de 1815. = Excmo. Sr. = Pe dro Antonio Olañeta. =: Excmo. Sr. D. Joaquín de la Pezuela, mariscal de campo de los Reales egércitos, y general en gefe del del Alto-Perú.” Madrid 24 de Abril. En 19 del corriente felicitaron al Rey nuestro Señor, á nombre del ca bildo catedral de la santa iglesia de Sevilla, el Excmo. Sr. D. Pedro Car…</t>
  </si>
  <si>
    <t>…icario, y donde des pués tuve otros empleos públicos.’' Está conforme al original de que certifico. ~Widranger, corregidor de Ligni. ESPAÑA. Lima 16 de Diciembre. Parte del Excmo. Sr. D. Joaquín de la Pezuela,general en gefe del ejér cito del Alto-Perú 3 al Excmo. Sr. virey marques de la Concordia. „ Excmo. Sr.: Tengo el honor y satisfacción de pasar á manos de V. E. el parte adjunto ,en que el coronel deegército y comandante general de avan-</t>
  </si>
  <si>
    <t>El Rey á consulta de la cámara se ha dignado conceder, honores de oidor de la audiencia de Sevilla á D. Joaquín de la Peña y Santander, asesdr dél tribunal de Alzadas y de rentas Reales de la ciudad de Cádiz. El Rey nuestro Señor en atención á los acreditados servicios hechos por D. Antonio de Robles Moñino en la comisión de que, como subdelegado del Sr. conde de Flori…</t>
  </si>
  <si>
    <t>Joaquin</t>
  </si>
  <si>
    <t>…bien pronto á esta ca pital. ESPAÑA. Madrid 7 de Junio» El dia 26 de Mayo tuvo la honra de felicitar á S. M. por su contratado y augusto enlace, á nombre de la villa de Corullon, D. Joaquin. Antonio plovo, quien dirigió á S. M. eL discurso siguiente: ,,Señor: La villa de Corullon, provincia del Vierzo,reino de León , tie ne el honor de felicitar á V. M. por el feliz anuncio del matrimonio con la Sertr.a. Infanta de Portugal, cuyo venturoso enlac…</t>
  </si>
  <si>
    <t>…Farmacia, de los cuales han de salir profesores que egerzan dignamente su facultad, ai paso que honrarán en todo tiempo ia instrucción y conato con que el benemérito y apreciable catedrático Don Joaquin de ia Cueva ha procurado evidenciar ia justicia con que fue destina do al importantísimo cargo de la enseñanza pública. A R TIC U LO DE OFICIO.' Circular del Ministerio de Guerra» Enterado el Rey nuestro Señor de la voluntariedad con que en las pro vincias se…</t>
  </si>
  <si>
    <t>…nes al capitán general de Aragón, encargándo le los tenga á disposición de dicho comisionado, á quien debe facilitar cuan tos auxilios necesite; y dispondréis ai propio tiempo que D. Joaquin de la Figuera, uno de los reos , que se halla en esta corte , sea igualmente asegu rado y conducido á aquella capital. Tendreislo entendido, y lo comunicareis al referido D. Pascual Quilez, con remisión de la causa y sus incidentes, y á los demas á quienes co…</t>
  </si>
  <si>
    <t>…Su resultado en Londres en el mes de Febrero del año de 1815, según se ve por una de las gacetas de Madrid, es un comprobante de esta verdad inne gable. Idem 14. Parte del Excmo. Sr. D. Joaquín de la Pezuela al Excmo. Sr. marques de la Concordia. Tengo el honor y satisfacción de incluir á V. E. la adjunta copia del par te que me ha remitido el comandante general de avanzadas D. Pedro Anto nio de Oiañeta. Detalla los rebultados del ataque que dio á l…</t>
  </si>
  <si>
    <t>…Cuar tel general de vanguardia en Tupiza y Enero 17 de 1816 =P*.dro Antonio de Olanera. = Excmo. Sr. teniente general de los Reales egcrciros, y general en gefe del del alto Perú, D. Joaquín de la Pezuela.= Es t&lt;?//.;. = Arrieta. M.iAriA jo Ae Agosto. Habiéndose recibido por parte del intendente de Guadalapra una expo sición de lo ocurrido cu aquella ciudad durante la permanencia en ella del Reí nuestro Señor, ha parecido tanto mas justo el inser…</t>
  </si>
  <si>
    <t>…en IsIe-de-Ré para la Guadalupe y la Martinica ascenderán á 2036 hombres. La expedición dará la vela en los primeros dias de Setiembre. ESPAÑA. Lima 30 de Marzo. Parte del Excmo. Sr. D. Joaquín de la Peínela, general en gefe del egército Real del alto Perú , al Excmo. Sr. virey. Excmo. Sr.: Nada es capaz de causar escarmiento en los espíritus de los rebeldes, como lo comprueba la adjunta copia del parte que me ha dirigido el coronel D. Josef Santos…</t>
  </si>
  <si>
    <t>…l 23 del pasado; con apercibimiento que de no hacerlo jes parará elperjiiicip qq&lt;s hay;* Jugar,- y se dará;a los autos el curso que corresponda. . , &gt; . ^ t,, , Por el juzgado del Sr. D. Joaquín de.‘"Almazan y Ximeno, delConsejo de S. M., teniente corregidor de esta villa de Madrid, y escribanía dél Sr. D. Casimi ro Antonio Gómez, se venden con Real facultad una casa en S. Sebastian de Gui púzcoa, y su calle Mayor, tasada en 30669 rs.: un solar de ot…</t>
  </si>
  <si>
    <t>…ral de los rebeldes), á quien condujeron ayer con la escolta correspon diente á esta ciudad , quedando asegurado y custodiado con las cautelas ne cesarias á las órdenes del Excmo. Sr. D. Joaquín de la Pezuela, á quien le di cuenta en el mismo acto por extraordinario. ,,Ha pasado también por las armas el teniente coronel Llano á 12 de los cabecillas, y el coronel Abeleira á 18 de los mismos; de manera que si hubiese uno ú otro mas dé los*de esta clase…</t>
  </si>
  <si>
    <t>…mor de la patria y del Rey. — El premio será una medalla de oro del valor de 600 francos, que se adjudicará á fines de Agosto de 1817." ESPAÑA. Lima íj de Junio. Parte del Exento. Sr. D. Joaquín de la Pezuela al Exento. Sr. marqirs de la Concordia. , *, Excmo. Sr.: Sin embargo de que debo creer se halle V. E. instruid</t>
  </si>
  <si>
    <t>…ciedad ha hecho acopio de esta simiente con el objeto de facilitarla á las personas que carezcan de ella. ESPAÑA. Lima 11 de Julio. * ' 1 El día 7 entró. en esta capital el Excmo. Sr. D. Joaquin de la Pezueía en medio de aquella pompa marcial con que esta ciudad acostumbra recibir á sus vireyes. S. E. venia precedido por un bizarro cuerpo de húsares rica mente vestido , y digno de competir en gallardía con las mejores tropas de Eu ropa. Las calles es…</t>
  </si>
  <si>
    <t>Joaquín, Blas</t>
  </si>
  <si>
    <t>Blas Joaquín</t>
  </si>
  <si>
    <t>816</t>
  </si>
  <si>
    <t>…, que apenas alcanza á cubrir los gastos ordinarios de sus depen dientes, le ha sido forzoso recurrir á la generosidad de los mismos, debién dose exclusivamente á la del limo. Si. D. Blas Joaquín. Alvarez de Palma,</t>
  </si>
  <si>
    <t>Joaquina, Carlota</t>
  </si>
  <si>
    <t>Carlota Joaquina</t>
  </si>
  <si>
    <t>…su familia, por el interes de la Corona y por la felicidad de sus pueblos quiso mi augusto Abuelo D. Carlos m,de gloriosa memoria, unir en matrimonio á mi amada Hermana la Infanta Doña Carlota Joaquina con el Infante D. Juan, hoy Príncipe del Brasil , y á mi Tío el Infante Don íjabriel con la Ihlañta Doña Mariana Victoria, hijos esta y el referido In fante D. Juan de los excelsos Reyes Fidelísimos de Portugal. Llevado Yo de las mismas recotnehdábles miras,…</t>
  </si>
  <si>
    <t>…faz del uni verso con el hecho de haber desde luego fijado sus miras para Soberana de las Españas en una hija de la verdadera heroína de estos tiempos nuestra Serma. Sra. Infanta Doña Carlota Joaquina , modelo el mas perfecto del amor fraternal, quien desde el momento triste deí injusto cautiverio de V. M., cubierto su corazón de luto, no omitió medio alguno de cuantos se hallaban á su alcance para cooperar á la gloriosa empresa de la nación en defensa de…</t>
  </si>
  <si>
    <t>…l tronco Real de Castilla, después de ocho siglos que há se coronó la rama de nuestra Infanta Doña Teresa, yen época tai, Señor, en que vuestra augusta Hermana su Madre la Infanta Doña Carlota Joaquina no os ha huello menores servicios contra los insurgentes de América que los que hizo contra los sarracenos el conde Henrique á D. Alfonso? Sigüenza, Señor, asi lo conoce, y se congratula con V. M. por elección tan política como acertada; pues tiene bien prese…</t>
  </si>
  <si>
    <t>…n nueve años de América, y en fin, Señor, porque se ha educado en la grande escuela de ciencia y virtud de aquella infatigable protectora de los americanos vuestra S.*rma. Hermana Doña Carlota Joaquina. ,,Per míranos , Señor, V. M. con este motivo aventurar un pronóstico : Ma ría Isa bit. Francisca, utlida en matrimonio al mejor de los Monarcas, va á echar una fuerte cadena que amarrará indisolublemente á la América con la E*paña; formará la felicidad y del…</t>
  </si>
  <si>
    <t>Jordán, Antonio Bergosa y</t>
  </si>
  <si>
    <t>Antonio Bergosa y Jordán</t>
  </si>
  <si>
    <t>…ncia de degradación , pronunciada por dicho Sr. limo. , Señores ? Irnos, y dignidades, asociados según lo dispuesto por el santo concilio de Trento, que lo fueron el limo. Sr. Dr. D. Antonio Bergosa y Jordán, obis po de Antequera: el limo. Sr. marques de Castañiza , obispo electo de Durango: el Sr. Dr. D. Joscf Mariano Beristain , deán de esta santa iglesia : los señores canónigos Lie. D. Juan de Sarria y Alderete , chantre: Dr. D. Juan Josef de Gamboa , maestre-…</t>
  </si>
  <si>
    <t>Jordán, Francisco</t>
  </si>
  <si>
    <t>Francisco Jordán</t>
  </si>
  <si>
    <t>…de la Cueva Santa y Niño Jesús y San ta Clara, dibujada la primera por D. Vicente López, primer pintor de cámara de S. M., y todas grabadas en cuartilla regular y figura oval por D. Francisco Jordán, á 2 rs. cada una. EN LA IMPRENTA REAL.</t>
  </si>
  <si>
    <t>JorJá, Antonia</t>
  </si>
  <si>
    <t>Antonia JorJá</t>
  </si>
  <si>
    <t>…casa de la marquesa de P«-nteio*, cuartc teiccro; en Bir^elona con D. Josef Po!, procurtdoi C'austduo; en Zaragoza con D: Nicolás Barra, en S. Juan de los Pañete»; en ruri.j»a con Doña Antonia JorJá; en Sevilla con D. E»iéban Martí nez, coi red't de número; en Valencia con D. Domingo Casan il , encargado del arregi.- del Real aid.ivo, calle de Juristas, y en Cádiz con D. Josef Guiue ino Pa.a icini. Se halla vacante el partido de cirujano de la villa de A…</t>
  </si>
  <si>
    <t>Joséf</t>
  </si>
  <si>
    <t>…inirola y Pal vía-, D. Eusebio Fernandez , D: Francisco Diaz y Ramí rez, ;D Cruz A íburquérqtié,£iD: JFosef Varelá y Cancela, D. Joséf María Carvajal ;Jiaí artillero' disti^guído' D. Joséf1 dé Tetlería y Jáuiregut, y al cabo ‘ del^ ivil^Eíí11!?^0'..P^ítuiS'YWilés ^Gohiález. - _ K't • JAíi.H ATKUnmi ÁJ. *: sA</t>
  </si>
  <si>
    <t>Josef</t>
  </si>
  <si>
    <t>…toda la extensión que corresponde i la secretaría de dicha Real Capilla. Desde 22 de Agosto del año próximo dé r&amp;i 5 pende en eí consejo, por la escribanía de cámara del cargo de D. Josef ue Ayaía, un recurso de Doa Antolin González y otros capitulares que fueron de La villa del Espinar, sobre que se les devuelvan 21149 rs. y 20 mrs-. que depositaron de órdea del mismo consejo en la tesorería de Rentas de Segcrvia , con motivo del de lito ú om…</t>
  </si>
  <si>
    <t>…establecido un magisterio de primeras letras con la"dotación anual de 3764 rs. vn. cobrados por el ayuntamiento. Los pretendientes dirigirán sus memoriales, pagados tos portes, á D. Josef llorte, vecino de la misma y comisionado por los señores de la junta , y se admitirán hasta el dia primero de pascua de Resurrección. La persona que supiere el paraderoó la muerte;de'D. Josef Rafael d$ Estepa, que residía en esta corte al tiempo de la revoluc…</t>
  </si>
  <si>
    <t>…los de fragata D. Manuel Cordero y D. Ramón Eulate, el primero que lo es de las fuerzas sutiles, y el último de la corbeta Diamante, los tenien tes de navio D. Bernardo de Salas, D. Josef de la Serna, D. Josef María Chacón y D. Rafael de Santibañez., y los demás gefes y subalternos de la marina Real, han trabajado con los mejores deseos, arrostrando peligros y despreciando temporales durante los 104 dias del bloqueo riguroso que ha su frido es…</t>
  </si>
  <si>
    <t>…as provincias del reino. Es casi el decano de los auditores de América, y ha envejecido en el servicio, conduciéndose siempre con acierto. Asimismo al secretario de este vireinato D. Josef, María Ramírez: y Morales, que ha trabajado incesantemente desde que tomó.eí mandó de él en la pacificación de estas provincias , sufriendo á mi lado cuan tos disgustos y padecimientos he tenido en los tiempos turbulentos de la au sencia del Rey nuestro Señor…</t>
  </si>
  <si>
    <t>Jósef</t>
  </si>
  <si>
    <t>329</t>
  </si>
  <si>
    <t>…avío, y que entretanto llosa, en el obispado de Tuy, de quien se dijo después procedente la reteni da; mas la contestación bien contraria de D. Antonio Arias Tejeiro, herma no del D. Jósef, y sobrino del limo. Sr. arzobispo de Valencia, hizo paten te el error natural 6 voluntario de la suposición. , Durante la permanencia de la Doña María en el encierro se ha explicado en términos tan fáciles como inconsecuentes, que manifiestan la debilidad qu…</t>
  </si>
  <si>
    <t>…diano de Valladolid de Mechoacan á Favor de D. Manuel de la Bar cena, y el segundo otro Real título, también duplicado, de dignidad de chantre de la misma santa iglesia á favor de D. Jósef de la Peña Campuzano. Y no habiendo' llegado dichos pliegos á su destino, se suplica al que sepa la existencia de ellós los dirija en Cádiz al dicho D. Francisco Antonio Fernandez Llar, ó en Madrid á Don Miguel de Nájera, agente por S. M. de los del número de…</t>
  </si>
  <si>
    <t>…itares ó patriotas que hubieren muerto en defensa de la justa causa de la nación, ha cabido en suerte del primer extracto de Ja de este dia á Doña María del Rosario Cáseo, hija de D. Josef, teniente que fue del regimiento de infantería de Jaén , muerto en el campo del honor. La extracción siguiente se egecutará el dia 27 de' Mayo. ARTICULO DE OFICIO. Circular del Ministerio de Hacienda. Con esta fecha comunico á los Intendentes y Subdelegados d…</t>
  </si>
  <si>
    <t>…le h cieron), en oVtoiogia, calografía, gramática cateilana y ortografia, respondiendo todos á cuanto los concurrentes quisieron preguntar, y particularizándose por sobresalientes D. Josef y D. Gerónimo de Vida, Juan Móraies, Juan María de Castro, Juan Rasero, Francisco Fernandez, Josef Chaparro y Miguel de Mora; sien</t>
  </si>
  <si>
    <t>…rían en Lon dres de privilegios en sus personas, en sus discursos y en sus escritos; privi legios que han hollado en su país cuando tenian en sus manos el poder? ¿Se veria aqui al rey Josef, al rey Gerónimo y al republicano Luciano con una infinidad de traidores y asesinos que servían de instrumentos á la tiranía de su hermano? Este es el estado de la cuestión sobre la ley de los extrangeros. La expedición del mayor Peddic destinada al Nieger no…</t>
  </si>
  <si>
    <t>…gio, D. Mariano Nogués, D Pedro Nogués , D Pedro Ortiz, D. Joaquín Miranda, D. Pe dro Navarro, D. Juan Josef Lahorda, D- Lorenzo Biscasillas, D. Antonio Ttmprado, D. Martin Jucez, D. Josef La&gt;, D. Josef Martin, D. Manuel Laredo, D. Gaspar Gailat, D. Inocencio Maicas, D. A: mnio Cebollero, D. Pedro Juste y D. Francisco López. Dio principio ul egcrcicio D. Maria no Nogués con un elegante discurso latino, que mereció los aplausos: luego una porción d…</t>
  </si>
  <si>
    <t>…respecto á tener decorada la opcion á la primera vacante de ordenador, de las 21 del número qur de esta clase prefija el reglamento, y haber resultado por ascenso á intendente de D. Josef h idalgo, la ocupe el referido Caxide para completarle, Por Real resolución comunicada al Exento. Sr. capitán general d. Casti llada Nueva por el Excinn. Sr. secretario de Estado y del despache de Ma drina, se ha servido S. M. mandar que el almanak civil para…</t>
  </si>
  <si>
    <t>…itares ó patriotas que hubieren muerto en defensa de la justa causa de la nación, ha cabido en suerte del primer extracto de la de este dia á Doña Rosa Heredia , hija del patriota D. Josef, muerto en ac ción de guerra. La extracción siguiente $e egecutará el dia 18 de Noviembre. ARTICULO DE OFICIO. El Rey nuestro Señor se ha servido nombrar en el territorio de las Qr{:) Siendo ya muy crecido el número de las felicitaciones dirigidas á SS. MM. y…</t>
  </si>
  <si>
    <t>…citó con igual motivo. A R T I C U i O DE OFICIO. Circular del Consejo Supremo de la Guerra, Habiendo; acudido al Consejo Supremo de la Guerra Doña Andrea del •Rio, madre viuda de D. Josef y D. Dionisio Valiñas, Subtenientes que fue ron del Regimiento Infantería de Aragón , y murieron en la batalla de Alba de Tormes, solicitando que este Supremo Tribunal designase terminantemení-te la pensión que la corresponde mediante no haberse expresado en la Real orden de .20 d…</t>
  </si>
  <si>
    <t>…es de dicho Real establecimiento, á los "jóvenes pensionados D. Mariano Díaz, D. Antonio Macazaga, D. Matías Hidalgo y D. Lorenzo Barrio, á consecuencia de lo estipulado por dicho D. Josef en la condición tercera de su contrata, fecha 30 de Marzo de i8if, y precedido el informe que por escrito hace en esté acto, asistiendo al mismo los Sres. administrador y contador, como también los regentes de imprenta y fundición, se procedió á la insinuada…</t>
  </si>
  <si>
    <t>…aracteriza. El dia 18 del pasado tuvieron la honra de besar la Real mano de $. M., y de felicitarle á nombre de la ciudad de Valencia por su augusto enlace, el marques de Valera y D. Josef liosa y Bello, regidores de la misma; el pri mero de los cuales dijo: „Señor: El Rey de los Reyes por sus inescrutables juicios puso en V. M. ciertas virtudes, y después las acrisoló con los trabajos: asi, Señor, os preparó para reinar. Y Vos , correspondiend…</t>
  </si>
  <si>
    <t>Josef, Juan</t>
  </si>
  <si>
    <t>Juan Josef</t>
  </si>
  <si>
    <t>…ya felicidad no cesaban de dirigir votos al cielo. El dia 21 del pasado tuvieron la honra de felicitar á S. M. por su augus to enlace á nombre de la villa de Irun sus comisionados D. Juan Josef de</t>
  </si>
  <si>
    <t>JosefBissa</t>
  </si>
  <si>
    <t>…l poder legislativo de los Monarcas con varbs pruebas, y el de los de España, con las que suministra contra su intento e! autor de la Teoría de las cortes: escrito por el P. Mtro. D. JosefBissa, ex-’ucario general de la congre gación cistertiense de la corona de Aragón y reino de Navarra. Se vende á 5 reales «n Madrid en la librería de Matute, calle de las Carretas; en Valencia en la de Gil v en casa del impresor del diario; en Zaragoza en la de Abc…</t>
  </si>
  <si>
    <t>JosefBurin, Juan</t>
  </si>
  <si>
    <t>Juan JosefBurin</t>
  </si>
  <si>
    <t>…despa cho de la imprenta Real. En el Real tribunal del consulado de Cádiz , y por la escribanía de D. Elias Iz quierdo y Payan,,penden autos de quiebra y concurso de acreedores a D. Juan JosefBurin, de«ste comercio, en ios cuales por providencia de p del pasado se ha mandado entre otras cosas citar y emplazar á cuantos se estimen acreedores á dicha masa y concurso, para que en el perentorio término de 20 meses sé presenten attt* el propio tribunal á ded…</t>
  </si>
  <si>
    <t>JosefBurone</t>
  </si>
  <si>
    <t>,,Pot resultas de un suceso acaecido en Madrid entre el Sargento Mayor de aquella plaza D. Francisco Xavier Valcárcel y el Guardia de la Compa ñía Italiana D. JosefBurone, ha mandado el Rey que los Guardias de Corps, mientras lo sean, se reputen y tengan como oficiales del egército, según la graduación con que se hallen , y que como á tales se les hagán y guarden todos los honores que por ordenanza les corresponde. „Y enterado…</t>
  </si>
  <si>
    <t>JosefGarcía</t>
  </si>
  <si>
    <t>…ejandro Merino, abogado de los Reales Consejos, lugar- teme me alcalde del Sermo. Sr. Infante D. Cárlos María, que lo es perpetuo, dlgníimo Her mano mayor y protector de la misma, D. JosefGarcía de la Torre, alcal de de casa y corte, D. Agustín López Carretero, asesor de ios Ordenes mi litares , regidores perpetuos en asiento y banco de caballeros de la ciudad de Toledo, y D. Apolinar de Uruñuela, caballerizo de campo de S M., y her manos de la expre…</t>
  </si>
  <si>
    <t>JosefTellez</t>
  </si>
  <si>
    <t>…ciudad de Velez-Milüga, el coronel de caballería D. Joaquín Tuquet, exento y ayudante mayor del tercer es cuadrón del Real cuerpo de Guardias de la Persona del Rey , acompañado de D. JosefTellez y D. Plácido Henriquez , individuos del mismo cuerpo; el primero de los cuales dijo : „Señor: Vuestra ciudad de Velez-Mílaga, condenada un tiempo á las lágrimas y abatimiento,supo arrostrar á toda costa su infortunio y los peligros de tan bárbara época, conservando en su constante…</t>
  </si>
  <si>
    <t>Joset</t>
  </si>
  <si>
    <t>…l Sr. Dr. D. Salvador Roca, presbítero, teniente vicario de esta villa , se ha mandado sacar á pública sub asta por termino de ios 30 dias de la ley la mitad de una casa propia de D. Joset</t>
  </si>
  <si>
    <t>Jovelhnos, Melchor di</t>
  </si>
  <si>
    <t>Melchor di Jovelhnos</t>
  </si>
  <si>
    <t>…as había d.s. ue-r-- conferir les un premio módico, pero del mayor precio, cud sra u;i ejemplar dei infórme sobre el expediente de ley agraria que . escribí-i d benemérito español Don Melchor di Jovelhnos, honor y lustre de la nación española.</t>
  </si>
  <si>
    <t>Ju</t>
  </si>
  <si>
    <t>…da de que dos Tesoreros generales del Reino alternen cada año en el egercicio de las funciones de tan vasto encar go, como también los méritos, conocimientos y buenos servicios de D. Ju lián Fernandez Na^arrete, á quien tuve á bien exonerar del destino de tal Tesorero general en cesación por Real decreto de 9 de Marzo de este año en los términos que en él se expresan, he venido en nombrarle nuevamente mi Tesorero general del Reino, para que…</t>
  </si>
  <si>
    <t>…y se le agradecerá. Principios de fisiología por Cirios Luis Dumas, del instituto nacional de Fran cia , miembro de mu-has sociedades (¡tcianas: 4.0 y último tomo , traducido por Don Ju m Vicente Carrasco, médico de número de los Reales hospitales, socio de la Real academia MédLu de Madrid La amena y escogida erudición que el autor vierte en esta obra, tan célebre en la Europa literaria, y la única después de la inniortil d* Hi.lcr, que se m…</t>
  </si>
  <si>
    <t>…del Sol, frente al vivaque. Compendio de la ortografía castellana, con arreglo á la que acaba de publicar la Real academia Española, notablemente reformada , puesto en dialogo por D. Ju lián Aivarez de Golmayo, primer maestio di ector de las Reales escuelas de pri meras letras de Córdoba, é individuo de la junta de exámenes de su provincia. Se hallará en Madrid en la lihreríj de Orea, calle de la Montera; en Córdoba en la ce Samaren, en casa…</t>
  </si>
  <si>
    <t>El capellán mayor dé S. Segundo 30. D. Martin Uria 20. D. Ju?to Sarrandeg ;i 24. El capellán mayor de Sta. Ana 12. D. Francisco Illera so. Don Ildefonso Castejon 24. D. l omas Landias 20. D. Vicente Evaristo Blasco 20. D. Gaspar Arribas 24. D. Damian González de Salazar 160. El beneficiado de S. Vicente 4^0. Pedro Segu…</t>
  </si>
  <si>
    <t>Juan</t>
  </si>
  <si>
    <t>…errera del Rio Pisuerga á D. Eugenio María Alvarez: para el de Mayorga á D. Manuel Rufino García Zorrilla: para el de Trebujena á Don Josef Sánchez Rollan : para el de Valencia de Don Juan á D. Manuel de Quevedo y los Ríos : para el de Atienza á D. Juan Antonio Vergara: para el de Jadraque á D. Francisco García Ortiz : para el del valle de Soba-Ruesga y Villaverde á D. Josef Muñoz Contreras: para el de Montejaque á Don Josef Moreno Ramírez : pa…</t>
  </si>
  <si>
    <t>…na y por la felicidad de sus pueblos quiso mi augusto Abuelo D. Carlos m,de gloriosa memoria, unir en matrimonio á mi amada Hermana la Infanta Doña Carlota Joaquina con el Infante D. Juan, hoy Príncipe del Brasil , y á mi Tío el Infante Don íjabriel con la Ihlañta Doña Mariana Victoria, hijos esta y el referido In fante D. Juan de los excelsos Reyes Fidelísimos de Portugal. Llevado Yo de las mismas recotnehdábles miras, y deseoso de que se aum…</t>
  </si>
  <si>
    <t>…n resolvió su augusto Abuelo, enlazándose con los mas estrechos vínculos á la muy alta y poderosa casa de Braganza, trató S. M. cch el muy poderoso y excelente Príncipe del Brasil D. Juan, Príncipe Regente de Portugal, para verificar su matrimonio con su hija segunda la Serma. Sra. Infanta DoSa María Isabel , é igualmente el de su augusto Hermano el Serení simo Sr. Infante D. Cárlos María con la Serma. Sra. Infanta Do ña María Francisca de Así…</t>
  </si>
  <si>
    <t>…yar D. Tomas Aibarran , el escribano D~ Pedro J3Iazquez. Tova l, el visitador D. Gerónimo Salgado, el escribana D. Francisco Yangiie j3ecerril&gt; los alcaldes que fueron del Espinar D. Juan</t>
  </si>
  <si>
    <t>…o de sargento &lt; segundo á Bfedro Ribera, cabo primero del batallón de ía Albuhera. . ■ . , La medalla de oro coronada á D. Francisco Tomas Morales, comandan te de la vanguardia; á.D. Juan.;Gamacho„: capitán de Ingenieros; á D. Vi cente Sánchez Lima , capitán, de húsares, dé Fernando Vu ; ú D. Sebastian Díaz ,;capitaty-de,^apadqresqíá ]},. :Jo$ef Arguelles,&gt;capitan dei regimiento.de lá; Victoria ;pá Qfcfcndó;» capitán-graduado; de teniente coro…</t>
  </si>
  <si>
    <t>…ernando n; Santa Teresa, de D. Alfonso ix, ambos Reyes de León; Do ña Mafalda, de D. Henrique i; Doña Constanza, de D. Fernando iv; Do ña María, de D. Alfonso xi; Doña Beatriz, de D. Juan i; Doña Isabel, de D. J uan ii; Doña Juana, de D. Henrique iv; Doña Isabel, del Emperador D. Carlos v, primero entre los Reyes de este nombre; Doña María, de Don Felipe ii, y Doña María Bárbara, de D. Fernando vi. „Gloria es, Señor, de vuestra corona , y test…</t>
  </si>
  <si>
    <t>…enarbolada la bandera blanca. PORTUGAL. Lisboa 20 de Tu ’io. Hoy se ha hecho aquí la ceremonia de romper los escudos en señal de haber acabado el remado de María 1 y empezar el de D. Juan vi. Al inten to se pusieron tres tablados , uno en la plaza de la Memoria, otro en la Re gencia, y el tercero junto á la catedral, todos cubiertos de negro , y en cada uno un escudo roto. Todos los tribunales y el senado asistieron vestidos de luto: el procur…</t>
  </si>
  <si>
    <t>…corte, y D ArJ-os cJ An tres García Palomares, obispo de Albarracin ; y padrinos del primeo ei Excmo. Sr. D. Josef Manuel de G &gt;yeneche, conde de Guaqui, ac.'»i larvado dd Excmo. Sr. D. Juan de la Cruz de Henestro4a , y del segundo .i b&gt;oe¡. ntisimo Sr. conde de .Sta. Coloma , en nombre del Excmo. Sr. Dn’ue de S. Car los, acompañado del Excmo. Sr. conde de Puñoenros-tr'’. hi Incido y rumo roso concurso de todas clases de personas que concurrieron…</t>
  </si>
  <si>
    <t>…Sr Don Francisco de Saavcdra , presidente de la junta ion-ru vad« ra , qt.¡. co duca el cuadro por el pie sostenido scbre su frente, y el Excn o Sr. D. Ion ys Mo reno y Daoiz y el Sr. D. Juan de la Cruz Mt.u.g en le ay ucrb-i. t &lt; 1 am bos lados á llevarlo. Paseó la vistosa ceremonia lo largo dj caral por medio ce im c«; acio o camino formado de un lado por las tierras extraídas de la excavación, s ar rojadas en forma de explanada á 40 varas de la…</t>
  </si>
  <si>
    <t>…roy, D. Juan del Campo, D. Manuel del Moral, D. Alonso Molina, D. Fran cisco Martínez Hervas, D. Josef de Lara, D. Antonio del Campo , D. Si món Matías de Mesa, D. Tomas Gallego , D. Juan de la Herrera y Godino y D. Francisco Herrera y Navarrete : todos los cuales en nombre de las corporaciones y pueblos que representaban manifestaron á S. M. y A. la sa tisfacción que les cabía*por ver ya satisfecho el mayor dé sus deseos, pro testando que no…</t>
  </si>
  <si>
    <t>…litares ó patriotas que hubieren muerto en defensa de la justa causa de la nación, ha cabido en suerte del primer extracto de la de este dia á Doña María Concepción Lator, hija de D. Juan, capitán que fue del regimiento de infantería de Osuna , muerto en el campo del honor. Convencido S. M. de la necesidad é importancia de promover la agricul tura por todos los medios posibles en los vastos dominios de la monarquía es pañola, muy á los princip…</t>
  </si>
  <si>
    <t>1413 B. Josef, D. Lorenzo, I). Antonio, Dona María de la Concepción, Doña Gertrudis, Doña María de Jesús, D. Francisco, D. Juan,* D. Manuel y Don Ramón López Perez, naturales de la Havana. Y habiendo fallecido el refe rido su padre D. Antonio López Gómez en el mismo año de 1802 al tiem po de estar para recogerlos, habiendo dejado pagados parte de sus gastos, dejando á deber-solo 540 r…</t>
  </si>
  <si>
    <t>Juan, Jorge</t>
  </si>
  <si>
    <t>Jorge Juan</t>
  </si>
  <si>
    <t>…on Gen •limo Gómez d- Huerta, y D. Gaspar de Guzman y Pimentel.rz Cuader no 16: Fr. Juan de Jesús Ma ría, D. Martin Bautista de Lanuza,ei conde de Lemo&gt;.,el Mtro. Vicente Espinel, D. Jorge Juan, y D. Antort o de Uiloa. —Cua derno 17: D Pablo- de Sant* Marta, el P. Diego Lainez, Fr. Gerommo Graban de la M«drc de Dios, D. Joicf del Campillo, el cardenal D. Francisco de Mcndo-</t>
  </si>
  <si>
    <t>…to asunto que le interesa. Examen marítimo teórico y práctico, ó tratado de la mecánica, aplicado á la construcción, conocimiento y manejo de ios navios y demás embarcaciones: por D. Jorge Juan, gefe de escuadra de ¡a Real armada: 2 t inos en 4.0 con 14 lámi nas: su precio 40 rs. en pergamino y 48 en pasta. Se hallará en la librería de Bai lo, calle de las Carretas. EN LA IMPRENTA REAL.</t>
  </si>
  <si>
    <t>Juana</t>
  </si>
  <si>
    <t>…x, ambos Reyes de León; Do ña Mafalda, de D. Henrique i; Doña Constanza, de D. Fernando iv; Do ña María, de D. Alfonso xi; Doña Beatriz, de D. Juan i; Doña Isabel, de D. J uan ii; Doña Juana, de D. Henrique iv; Doña Isabel, del Emperador D. Carlos v, primero entre los Reyes de este nombre; Doña María, de Don Felipe ii, y Doña María Bárbara, de D. Fernando vi. „Gloria es, Señor, de vuestra corona , y testimonio de la liberalidad de vuestro predece…</t>
  </si>
  <si>
    <t>…escribanía del número de D. Sant ago E'tepar, se pidieron á los señores directores del Crédito púbíico remitiesen al juzgado ios que constaban de una relación presentada por dicha Doña Juana, y remitidos que fue ron se llamó por edictos de gaceta y diario á los interesados, para que en e. térmi no de 3.0 dias acudiesen á pedir lo que les conviniese; y por no hai-er comparecido ninguno, se han seguido los autos en su rebeldía con los estrados de l…</t>
  </si>
  <si>
    <t>Juanicotena, Rafael</t>
  </si>
  <si>
    <t>Rafael Juanicotena</t>
  </si>
  <si>
    <t>…El mariscal de camoo D. To mas Zerain i^oo rs. D. Francisco Beltran de Guevara 160. D. Rafael Crespo ico. D. josef Herrera 120. D. Juan Carrillo y Aguayo 70. D. Miguel Mu ñoz 320. D. Rafael Juanicotena 1$. D. Andrés de León 100. D. Antonio Ru iz 60. D. Angel del Riego 100. Geraido de la Fuente ^o. D. Juan de Pa nlagua 60. El colegio de escribanos 1500. D. Juan Xerez Palomo 40. D. Ber nabé Notario 160 D. Juan Xerez y Montes 40. D. Francisco Carrillo del Vall…</t>
  </si>
  <si>
    <t>JuanRaya</t>
  </si>
  <si>
    <t>…evamente para el remate el 1 2 de Agesto próximo á las 1 2 en la audiencia del Sr. D. Joaquín Almazan, teniente corregidor de esta villa, por la escribanía de su número que egerce D. JuanRaya. En virtud de providencia de los Señores del supremo Consejo de Castilla se han mandado publicar por ocho dias mas dos casas sitas en el lugar de Carabanchel de arriba, la una, que es medio solar, en la calle que llaman de la Arboleda, com prensiva de 2 19 pi…</t>
  </si>
  <si>
    <t>Jucez, Martin</t>
  </si>
  <si>
    <t>Martin Jucez</t>
  </si>
  <si>
    <t>…s en el mfmo colegio, D. Mariano Nogués, D Pedro Nogués , D Pedro Ortiz, D. Joaquín Miranda, D. Pe dro Navarro, D. Juan Josef Lahorda, D- Lorenzo Biscasillas, D. Antonio Ttmprado, D. Martin Jucez, D. Josef La&gt;, D. Josef Martin, D. Manuel Laredo, D. Gaspar Gailat, D. Inocencio Maicas, D. A: mnio Cebollero, D. Pedro Juste y D. Francisco López. Dio principio ul egcrcicio D. Maria no Nogués con un elegante discurso latino, que mereció los aplausos: luego…</t>
  </si>
  <si>
    <t>Juez</t>
  </si>
  <si>
    <t>…zado en IX Francisco Alvarez Cuervo, y se endosó en 1 2 de Mayo de 1812 á D. Francisco de la Vieja. las personas que se consideren con derecho á ¿1 acudirán i deducirlo ante dicho Sr. Juez y escribanía dentro del preciso termino de 1 5 dias; apercibidas que de no hacerlo les parará el perjuicio que h.ya lugar. En la villa de Arroyo del Puerco, partido de Crceres en la provincia de Extre madura, queda vacante desde el dia 25 de Setiembre del cor…</t>
  </si>
  <si>
    <t>…de sitio, tasada en 62647 rs. para el dia 4 de Mayo próximo, á la una en punto de su mañana, en la audiencia de S. S. La persona que quisiere hacer postura á ella acuda ante dicho señor Juez y escribanía del número de D. Antonio López de Salazar. Se halla vacante la plaza de cirujano y comadrón de la villa de la Bañeza: tiene de dotación 2800 rs , á saber: 1100 por cirujano y 1700 por comadrón, satisfe chos por tercios de los fondos de propios, c…</t>
  </si>
  <si>
    <t>Julián</t>
  </si>
  <si>
    <t>…jara , á 5 rs. : Método de economizar el combustible en nuestras casas, Ó descripción de dos cocinas económicas aplicadas á ios usos que hay en España de componer Jas comidas; por D. Julián,Antonio Rodríguez: un tomo en 4.0 con dps láminas. Esta obra ¿fe; publicó poco antes de los acontecimientos que tanto han afligido la España, y los establecimientos tan útiles á la economía doméstica y tan ventajosos á la industria y riqueza nacional, á que d…</t>
  </si>
  <si>
    <t>JulianaLortocarrero, Teresa</t>
  </si>
  <si>
    <t>Teresa JulianaLortocarrero</t>
  </si>
  <si>
    <t>…rado en 15 del corriente por el Excmoí Sr. marques de Malpica y de Man cera , patrono único de las memorias fundadas por las Ex celentísimas Sras. Doña Leonor María del Carreto y7 Doña Teresa JulianaLortocarrero, marquesas que fueron del propio tirulo, se ha servido mandar que habiendo acudido pocas agraciadas á las prebendas de dichas memorias que hayan tomado el estado para que les fue designada , sin embargo del anuncio que al efecto se ha hecho por la gaceta y di…</t>
  </si>
  <si>
    <t>Jura, Sebastian de Castro</t>
  </si>
  <si>
    <t>Sebastian de Castro Jura</t>
  </si>
  <si>
    <t>…Josef de Prado 500. D. Andrés Jurado 200. D. Rafael Zamorano 200. D. Juan Zamorano 300. D. Alfonso Zamorano 300. D. Luis de Herrera 320. D. Juan López 200. D. Mateo del Prado 200. D. Sebastian de Castro Jura do 200. D. Andrés Antonio Herrera 300. D. Alfonso Jurado 100. D. Fran cisco Molina 100. D. Lorenzo Molino 100. D. Agustín Perez de la Las tra 100. Doña María Josefa Jurado 100. D. Sebastian de Castro López 300. Doña Ana de Castro López 100. Juan de Murez iod.…</t>
  </si>
  <si>
    <t>Jurado, Alfonso</t>
  </si>
  <si>
    <t>Alfonso Jurado</t>
  </si>
  <si>
    <t>…. Juan Zamorano 300. D. Alfonso Zamorano 300. D. Luis de Herrera 320. D. Juan López 200. D. Mateo del Prado 200. D. Sebastian de Castro Jura do 200. D. Andrés Antonio Herrera 300. D. Alfonso Jurado 100. D. Fran cisco Molina 100. D. Lorenzo Molino 100. D. Agustín Perez de la Las tra 100. Doña María Josefa Jurado 100. D. Sebastian de Castro López 300. Doña Ana de Castro López 100. Juan de Murez iod. Doña María Josefa Zamorano 200. Doña Luisa Espinosa 200.…</t>
  </si>
  <si>
    <t>Jurado, Andrés</t>
  </si>
  <si>
    <t>Andrés Jurado</t>
  </si>
  <si>
    <t>…, diputado segun do, 50. D. Bartolomé de Castro 400. D. Juan Blas Herrera, escribano de ayuntamiento, 100. D. Juan Luis Jurado 300. D. Martin de Castro 300. D. Josef de Prado 500. D. Andrés Jurado 200. D. Rafael Zamorano 200. D. Juan Zamorano 300. D. Alfonso Zamorano 300. D. Luis de Herrera 320. D. Juan López 200. D. Mateo del Prado 200. D. Sebastian de Castro Jura do 200. D. Andrés Antonio Herrera 300. D. Alfonso Jurado 100. D. Fran cisco Molina 100.…</t>
  </si>
  <si>
    <t>Jurado, Juan Luis</t>
  </si>
  <si>
    <t>Juan Luis Jurado</t>
  </si>
  <si>
    <t>…00. D. Sebastian Ra fael Camacho, diputado primero, 150. D. Alfonso López, diputado segun do, 50. D. Bartolomé de Castro 400. D. Juan Blas Herrera, escribano de ayuntamiento, 100. D. Juan Luis Jurado 300. D. Martin de Castro 300. D. Josef de Prado 500. D. Andrés Jurado 200. D. Rafael Zamorano 200. D. Juan Zamorano 300. D. Alfonso Zamorano 300. D. Luis de Herrera 320. D. Juan López 200. D. Mateo del Prado 200. D. Sebastian de Castro Jura do 200. D. Andrés…</t>
  </si>
  <si>
    <t>Jurado, María Josefa</t>
  </si>
  <si>
    <t>María Josefa Jurado</t>
  </si>
  <si>
    <t>…200. D. Sebastian de Castro Jura do 200. D. Andrés Antonio Herrera 300. D. Alfonso Jurado 100. D. Fran cisco Molina 100. D. Lorenzo Molino 100. D. Agustín Perez de la Las tra 100. Doña María Josefa Jurado 100. D. Sebastian de Castro López 300. Doña Ana de Castro López 100. Juan de Murez iod. Doña María Josefa Zamorano 200. Doña Luisa Espinosa 200. D. Pedro Juan de Molina 200. Doña Catalina Zamorano 370. D. Juan Blas Zamorano 60. D. Rafael de Blancas 60. D. And…</t>
  </si>
  <si>
    <t>Juste, Pedro</t>
  </si>
  <si>
    <t>Pedro Juste</t>
  </si>
  <si>
    <t>…ahorda, D- Lorenzo Biscasillas, D. Antonio Ttmprado, D. Martin Jucez, D. Josef La&gt;, D. Josef Martin, D. Manuel Laredo, D. Gaspar Gailat, D. Inocencio Maicas, D. A: mnio Cebollero, D. Pedro Juste y D. Francisco López. Dio principio ul egcrcicio D. Maria no Nogués con un elegante discurso latino, que mereció los aplausos: luego una porción de los cenantes, habiendo presentado la colección de autores prosaicos que se usa en las escuelas, tradujeron sobre la marcha y explica…</t>
  </si>
  <si>
    <t>Justo</t>
  </si>
  <si>
    <t>…mandado por nuestro augusto v el mas amado decios Monarcas el Sr. D. Fernaníkj-.vii , que Dio's guarde. Concluido esto, se distribuyeron á inas sobresalientes de ellos,que fueron D. Justo. Asiain,</t>
  </si>
  <si>
    <t>Jya</t>
  </si>
  <si>
    <t>…para .una plaza de endeu de Ja de Quito á D. Pedro Vicente Cañete, por traslación á otra del Cuzco de D. Migqel: Otertfñji ’ para otra .dé oidor de la jnjswia audiencia de Quito 4 D. Jya$¡B¡aprt&amp;$ y í^ayja , por promoción de D. Santiago Corbalan á otra del Cuzco: para la. plaza de regente de la. audiencia de Lima á D. Francis co Toina$ de Ansótegui, vacante por jubilación de Q. Manuel Arredando; y para la de oidor de la de Guada laxara ID. Jo…</t>
  </si>
  <si>
    <t>Karpowitsch</t>
  </si>
  <si>
    <t>…DE OCTUBRE DE 1816. RUSIA. ]Sfeitsfscherkask (capital de los cosacos del Don) T4 de Julio. El 12 de este mes llegó aquí el gran Duque Nicolás, y salieron á recibir le el teniente general Karpowitsch y el caballero Howalsky, vice-hetmán y teniente general, acompañado de otros 12 generales y de un gran número de oficiales superiores de las tropas del Don. El gran Duque montó á caballo, y entró á 'la cabeza de esta numerosa comitiva’en la ciudad, donde le f…</t>
  </si>
  <si>
    <t>Kernad, Pauta L-on</t>
  </si>
  <si>
    <t>Pauta L-on Kernad</t>
  </si>
  <si>
    <t>…o, hernia qre siguiendo las mismas rrcla*- y leyes que los de la clase de retónVa, qm ó uno solo vence dor de todos 1 i &gt;s demas; con lo cual ce di»', un á cst. a&lt; to desoye*- que Don Pauta L-on Kernad dió en nombre de sus comparen*»- la*- gracias ai publico, que vió con la mayor &lt;í»&lt;ís!accion v placer re t.-.' b Jd ** ewn eg * re icios, con los cuales solicitan los PP. de las K «-cuela- Pi:* • -i A reo-, n. dar .. toda la na ción una sucinta isba d su emeó…</t>
  </si>
  <si>
    <t>King</t>
  </si>
  <si>
    <t>…con miras de prudencia y de una sana política. Eord Hoiand desaprobó el sistema del ministerio. Ultimamente, á pesar de los discursos del partido de la Oposición,la pro puesta de lord King fue desechada unánimemente. FRANCIA. Parts 8 de Marzo. Acaba de morir en un barrio de la parroquia de S. Eustaquio de París una señora soltera de edad de 08 años, cuyos bienes, que eran muy cuan tiosos , han pasado por derecho de sucesión á su hermana anciano…</t>
  </si>
  <si>
    <t>Kinnaird</t>
  </si>
  <si>
    <t>…secuencia debemos tolerar que los demas hagan en su país lo que nosotros en el nuestro. Sin em bargo debo hacer presente que no entiendo exista algún motivo de acusación contra el lord Kinnaird. Lord Holland se dio por satisfecho con la respuesta de lord Liverpool, mayormente habiendo este manifestado no haber acusación que pudiese com prometer el honor de su amigo. ' FRANCIA. Parts j8 de Febrero. El ministro secretaría de Estado dél departamento de…</t>
  </si>
  <si>
    <t>Kins</t>
  </si>
  <si>
    <t>…sa que batió la plaza de Argel. \ &gt; Navios. La Real Carlota, almirante lord Exmouth, de no cañones; el Impregnable, al mando del vice-almirante Millen, de 98; el Soberbio , al del capitán Kins, de 74; el MinJen, al de Guillermo raterson, de 74; el Albion, al de Juan Coode, de 74: estos tres últimos de línea. Fragatas. La Leandra, al mando del vice-almirante Peñeres, de 50 ca ñones; la Soberana., al de Juan Aiimer, de 38; la G.ranicus, al de Guiller…</t>
  </si>
  <si>
    <t>Knonovnizin</t>
  </si>
  <si>
    <t>…el reglamen to especial que se comunicará para este objeto, y se compondrá de los sugetos siguientes: el ayudante general Príncipe Wolchowski; el ministro de la Guerra y ayudante general Knonovnizin ; el barón Meller-Sakomeslky, gene ral é inspector de artillería; el teniente general de ingenieros Oppermann , que egerce las funciones de inspector del mismo cuerpo; el teniente general Toll, cuartel-maestre general, y el ayudante general Sakreuski.” El emb…</t>
  </si>
  <si>
    <t>Knyff</t>
  </si>
  <si>
    <t>Núm. 43. [ 5 cuartos. J 331 iÍBsisa¡iwi»s^^ GACETA DE MADRID DEL MARTES 2 DE ABRIL DE 1816. PAISES-BAJOS-UNIDOS. Haya 9 de Marzo. Esta mañana llegó aquí el coronel Knyff que viene de Petersburgo con la agradable noticia' de que el matrimonio de S. A. R. con S. A. I. la gran duquesa Ana Paulowriá se celebró el 21 de Febrero último. Los augustos esposos recibieron por la mañana la bendición nupcial en la capilla del pa lacio im…</t>
  </si>
  <si>
    <t>Kosciusko</t>
  </si>
  <si>
    <t>…a de 1807, suponiéndola del ge neral Kosciusko; este ilustre polaco, que vive actualmente en Soleure,en Suiza, ha creído desengañar al público de que el tal documento es falso. El general Kosciusko declara que en el tiempo de la primer campaña de Polonia Bonaparte le propuso que fuese á su país; pero Kosciusko le respondió que no se mezclaría en los asuntos de Polonia, mientras que Bonaparte no prometiese á los polacos un gobierno nacional y las antigua…</t>
  </si>
  <si>
    <t>…rcito: en fin después de la toma de Praga por el feld- mariscal Swarow y la disolución del egérciro polaco, fue llevado á Petersburgo, donde estuvo pri sionero algún tiempo con el general Kosciusko.* S. M. el Emperador nuestro Rey pasará dentro de poco tiempo revista á las tropas rusas acantonadas en la Volhypia cerca de.Constantinow ; se estan haciendo grandes preparativos para su recibimiento. : , ' -ITALIA.' . Roma 4 de Setiembre. En el diario de est…</t>
  </si>
  <si>
    <t>Kothkírch</t>
  </si>
  <si>
    <t>…odo el ejército; el feld-mariscal Pnncipe de Colioredo es gefe de la artillería ; el Archid.ijue Juan es director de ingenieros; el Archiduque Luis director de las fronteras, y el coronel Kothkírch se halla interinamente comandante del estado mayor. _ GRAN BRETAÑA. Londres 26 de Abril. CAMARA DE LOS COMUNES. Lord Jorge Cavendich dijo que los papeles presentados á la cámara manif staban la situación de las rentas, del estado militar y de la agricultura,…</t>
  </si>
  <si>
    <t>Koutusoff</t>
  </si>
  <si>
    <t>…garon á la casa de S. Albano en ocho coches, dos de ellos de la casa Real, en que venia el Príncipe y los principales caballeros que le acompañan. Estos individuos son el teniente general Koutusoff, ayudante de campo del Emperador; los con sejeros de Estado barón de Nicholay y Savrasoff; el consejero del colegio Mr. Glinka; el teniente coronel Mansey ; el capitán Perofkey , y el Dr. Crichton. Poco tiempo después de la llegada del gran duque se presentó…</t>
  </si>
  <si>
    <t>Krohuc</t>
  </si>
  <si>
    <t>…acos pasan por aquí diariamente con deser tores rusos que estaban ocultos en lo interior de Francia, de los cuales la mayor parte se disfrazan de aldeanos alemanes ó franceses. El barón Krohuc, comandante ruso del camino militar deBamberg, ha publicado de oficio que á pesar de las aserciones falsas de algunos periódicos bávaros, hay fondos suficientes para pagar la recompensa de tres ducados prometida á quien pre sente un desertor ruso por primera…</t>
  </si>
  <si>
    <t>Krusemarck</t>
  </si>
  <si>
    <t>…l interior. Estas tropas están mandadas por el ge neral Benmgsen. El Rey de Prusia ha determinado pasará tomar las aguas áCarlsbade^y le acompañarán el Príncipe de Hardemb¿rg y el ministro Krusemarck. El matrimonio de la Archiduquesa Ciernen tina con el Príncipe Leopoldo de Ñipóles no se realizará hasta que pase el luto por 5. M. la Emperatriz, SUIZA. Z.urieh 8 de Maye» El Gobierno de Berna ha invitado á los cantones fronterizos de Francia para que envien…</t>
  </si>
  <si>
    <t>Kstevez, Bernardo</t>
  </si>
  <si>
    <t>Bernardo Kstevez</t>
  </si>
  <si>
    <t>…tó el precep tor con una disertación metódica-sintética vv acabada en sil clase. Propu^tas» las materias del examen, se le dio principio recitando los alumnos D. Benito de Gracia, D. Bernardo Kstevez,D. Alfonso Berastegui, D. Jost-f y D.Juan Diez Prado, D. Juan y I&gt;. Gerónimo Ortega , D. J osefde la Fuente, Don Francisco Carreras y í&gt;. Josef Seoane las tabulas de Inarte y de Samaniego con exactitud, explicando la moralidad , y haciendo diversas reflexione…</t>
  </si>
  <si>
    <t>Kurmakow</t>
  </si>
  <si>
    <t>…r, donde fue recibido por el gran sacerdote Merkalow al frente de su clero. Des pués de la misa S. A. I. visitó la ciudad, los hospitales y el gimnasio, y co mió en casa del mayor general Kurmakow. La misma noche se repitió la ilu minación , y el 24 partió S. A. I. para Woronesch, acompañado, hasta la frontera del Don, por el vice-hetmán y una numerosa escolta. POLONIA. Var savia 26 de Agosto. La Polonia acaba de perder uno de sus grandes estadistas co…</t>
  </si>
  <si>
    <t>L, Antonio</t>
  </si>
  <si>
    <t>Antonio L</t>
  </si>
  <si>
    <t>…mismo para su remate e&gt; dia 4 d: Setiembre próximo á la una de su mañana en la audiencia de S. S. Quien quisó re hacer postura hasta dicho dia acuda i la escriba nía del número de D. Antonio L«pez &gt;aiazar, que se admitirán siendo arregladas, y á metálico. Colección de pragmáticas, cédulas, circulares y otras providencias expedidas por el Consejo Real desde ei año de 1760 Hasta el de 1804 inclusive, en 4 tomos en 4.0 ti primero contiene las respecti…</t>
  </si>
  <si>
    <t>L, D Josef</t>
  </si>
  <si>
    <t>D Josef L</t>
  </si>
  <si>
    <t>…o y á las tareas de la sociedad, y el poema que con el mismo objeto dijo el socio de mérito D. Ramón Acevcdo ; con lo cual, y la lectura de los trabajos de la sociedad que hizo su secretario D Josef L)iaz Pedregal y Peón, y varias letras y canciones análogas al a^urto ento nadas por la música de la santa iglesia catedral, se concluyó la junta . y se retiraron los que componían su numeroso y lucido concurso llenos ue placer y de 1 mas puro reconocimiento.</t>
  </si>
  <si>
    <t>L, Infante</t>
  </si>
  <si>
    <t>Infante L</t>
  </si>
  <si>
    <t>…os a Dios con re petidas plegarias les moradores de Alcalá,que ofrecemos á L. R. P. Ce V. M. nuestras vidas y7 haciendas, en cava satis ficción Pene la parte bien sabida el Sermo. Sr. Infante L). Antonio, lio de V. M.” Por la tarde pasaron S. M. y A. a ver el simulacro que el Real cuerpo de Ingenieros y Zapadores tenia dispuesto en el r.io de J!cuárcs,á !a iz quierda del puente de Zulema ; y al anochecer rt presaron ai palacio arzobis pal, que estab…</t>
  </si>
  <si>
    <t>L, Josef Gallisans y</t>
  </si>
  <si>
    <t>Josef Gallisans y L</t>
  </si>
  <si>
    <t>…e el paradero de D. Vicente Alzaibar, D. Juan Montalbo, l&gt;. Juan Iluminad, D. Manuel Sánchez Cogolludo, cuyos endosos suenan hechos en Madrid; D. Manuel Diez del Olmo, en Sevilla; D. Josef Gallisans y L). Miguel González Villanueva, en Cádiz; se les cita, llama y emplaza para que en el término de 30 dias siguientes al en que se anuncie al público por la gaceta de esta corte, comparezcan á usar de dicho traslado conferido; con apercibimiento que pasado sin ha…</t>
  </si>
  <si>
    <t>L, O.</t>
  </si>
  <si>
    <t>O. L</t>
  </si>
  <si>
    <t>8 9 2 instancia de D. J^sef Rosi, único heredero Je Pona Catalina,I^osl, su t¡? p-r el Sr. O. L eon dé ia Cámara Cano, del C nsejo de S, , teniente c©r:e¿id(^r de ota villa, se hi mttidado sacar á subasta por término de 30 dias, contados des de 13 del corriente, para pago de'acreedores•, una casa sita en esta corte, calle del Peñón, con a^ce^orias á la…</t>
  </si>
  <si>
    <t>La-llemand</t>
  </si>
  <si>
    <t>…no se hallase allí S. M. el Rey de los Países - Bajos, el duque salió inmediatamente para Amsterdam. Escriben de Airona con fecha del 12 de Abril lo siguiente í ,, Aseguran qüe el general La-llemand el joven se ha embarcado en el Elba á bordo de un navio que se ha hecho á la vela para los Estados-Unidos. El hermano mayor de este general está , como saben todos, preso con el duque de Róvigo en el fuerte de Lavalette en la isla de Malta.” PORTUGAL. ’ . .1…</t>
  </si>
  <si>
    <t>Labet, Ignacio Bes y</t>
  </si>
  <si>
    <t>Ignacio Bes y Labet</t>
  </si>
  <si>
    <t>…ion de cambios de las libras tornesas, sueldos y dineros, moneda imagir «aria de Francia, a reales de vellón, moneda efectiva de estos reinos de España,di vidido en 21 tablas, por D. Ignacio Bes y Labet. Se hallará en Ja librería de Casti llo, frente á S. Felipe el Rea!. Trisagio seráfico para venerar á la Santísima Trinidad, compuesto por el R. P. Fr. Eugenio de la Santísima Trinidad, del orden de trinitarios descalzos. Sé hallará en la librería de Amposta…</t>
  </si>
  <si>
    <t>Laborde</t>
  </si>
  <si>
    <t>…uerpo hannoveriano, en Conde. Todavía no está determinado el sitio donde ha de fijarse el cuartel general del cuerpo saxon. FRANCIA. Tolosa 31 de Marzo. Se continúa el proceso del general Laborde. El fiscal trabaja incesante mente para que se finalice, á instancias de Mr. Wiotti, comisario del segundo consejo de guerra de la primera división, — Al mismo tiempo está trabajan do el mismo fiscal para manifestar jurídicamente la conducta del general Decae…</t>
  </si>
  <si>
    <t>Labrrda, Juan Josef</t>
  </si>
  <si>
    <t>Juan Josef Labrrda</t>
  </si>
  <si>
    <t>…ltimamente rara amenizar estos ejercicios áridos para una porción del auditorio los Sres. D. Fernando y D. Rafael de Urries, D. Joaquín Miranda, D. Fernando Garai, D Jaime Salas &gt; D. Juan Josef Labrrda y D. Pedro Nogués repre sentaron con mucha viveza y propiedad un gracioso diálogo sobre la necesi dad de aprender por principios y reglas la lengua española , ya para hablar con precisión , corrección y ekgancia , ya para traducir con acierto del ktin y de otros idiomas. Final…</t>
  </si>
  <si>
    <t>Lacepede</t>
  </si>
  <si>
    <t>…rdiere, Paiissol-Beauvois y Mirbe!. Novena sección. Economía rural. Los señores Tessicr, Thouin , Huzard, Silvestre, Bosc y Ivart. Décima sección. Anatomía y Zoología. Los señores conde Lacepede, Ri chard , Pinel, el caballero Geolfroy-Saint Hilaire, Larrei 1 le y Dumeril. Undécima sección. Medicina y Cirugía. Los señores Chevalier, Portad, el caballero Halle, el caballero Peiletan, el barón Percy, el barón Corvisar, y Deschamps. El caballero Delambr…</t>
  </si>
  <si>
    <t>LaChambre, Josef</t>
  </si>
  <si>
    <t>Josef LaChambre</t>
  </si>
  <si>
    <t>…dar con que mantener decen temente una.familia. La persona :que quisiere tratar: de la compra de las dos jmu» tas, ó de cualquiera de ellas separadas, podrá dirigirse en Málaga á D. Josef LaChambre. El Sr. D. Francisco Cándido de Paz, del consejó de S. M. ,y alcalde de su Real casa v corte, ha señalado el dia 4 de Abril próximo á las 12 de Ir mañana, en el oficio de prbviiiciá que égérce D. Simón Ruiz,, para el remate de una escribanía de número y juzga…</t>
  </si>
  <si>
    <t>Laci, Luis de</t>
  </si>
  <si>
    <t>Luis de Laci</t>
  </si>
  <si>
    <t>…e seis dias tuvo cuatro muy serias, que lo fueron la de Arar.juez, en que las divisiones primera , segunda y tercera que mandaban los entonces brigadieres D. Pedro Agustín Girón , D. Luis de Laci y D. Gaspar Vigodet, y el pri mero todas aquel dia por su antigüedad, rechazaron con gloría el 5 de Agos to las considerables fuerzas enemigas del cuerpo de Sebastiani, que intentaban con obstinación apoderarse de aquel Real sitio: la de 9 del mismo en la re tirada que hicieron…</t>
  </si>
  <si>
    <t>7o de Montesa , escuadrón de Fernando yn, lanceros de España y Utrera con dos piezas de artillería que componían un campo volante dependiente del brigadier D. Luis de Laci contra 2500 caballos. enemigos con cuatro piezas de artillería; y últimamente en xi del referido la batalla general de Almonacid en que el egército de V. 3VÍ., que ascendería en aquella jornada á 2 20 hombres con 32 piezas de artillería hasta el calibre de á…</t>
  </si>
  <si>
    <t>Lagomarsino, Carlos</t>
  </si>
  <si>
    <t>Carlos Lagomarsino</t>
  </si>
  <si>
    <t>…itarla dirigirán sus memoriales á la justicia por mano de su secretario D. Pedro Antonio de Soria en todo el presente mes de Junio. Teniendo que comunicar un asunto de intereses á D. Carlos Lagomarsino y Don J:iaa Bautista Montaldi, que en el año de 1787 vivían en esta corte, calle de la Montera, é ignorándose su existencia, ó si han fallecido y dejado herederos; si al guna persona tuviese noticia de dichos individuos ó alguno de ellos, se le suplica tenga la bonda…</t>
  </si>
  <si>
    <t>Lahorda, Juan Josef</t>
  </si>
  <si>
    <t>Juan Josef Lahorda</t>
  </si>
  <si>
    <t>…D. V ¡cente Kna, D. Tomas Ma teo y D. Bienvenido Cortés, seminarútas en el mfmo colegio, D. Mariano Nogués, D Pedro Nogués , D Pedro Ortiz, D. Joaquín Miranda, D. Pe dro Navarro, D. Juan Josef Lahorda, D- Lorenzo Biscasillas, D. Antonio Ttmprado, D. Martin Jucez, D. Josef La&gt;, D. Josef Martin, D. Manuel Laredo, D. Gaspar Gailat, D. Inocencio Maicas, D. A: mnio Cebollero, D. Pedro Juste y D. Francisco López. Dio principio ul egcrcicio D. Maria no Nogués con…</t>
  </si>
  <si>
    <t>Lake</t>
  </si>
  <si>
    <t>…nwallis no cuidó de estos estados, que servían de antemu ral entre los máratas y nuestras florecientes provincias* Sir Barlow, sucesor de Cornwallis, siguió el mismo sistema;.y el general Lake, que tanto habia contribuido á conquistar aquellos países, los abandonó con disgusto después de haber procurado en vano que el gobernador general mudase de idea. Abandonados a sí mismos aquellos estados pequemos, han tenido que sufrir de nuevo el influxo tirá…</t>
  </si>
  <si>
    <t>Lallernant</t>
  </si>
  <si>
    <t>…brai, adonde llegará al mismo tiempo su hermano el duque de Cambrigde. El general Savari se ha embarcado en Smirna para los Estados-Unidos de América. No se sabe si le acompaña el general Lallernant, &lt;5 si se ha mar chado á Egipto como se ha asegurado en algunos periódicos. ESPAÑA. Madrid 28 de Octubre. El dia 23 del mes próximo pasado, habiendo llegado S. M. la Reina nuestra Señora y su augusta Hermana la Serma. Sra. Infanta Doña María Francisca de Asís…</t>
  </si>
  <si>
    <t>Lamo, Pió Ignacio de</t>
  </si>
  <si>
    <t>Pió Ignacio de Lamo</t>
  </si>
  <si>
    <t>…rlos m, y de la militar de Santiago, teniente general de los Reales egércitos, gentilhombre de Cámara del Rey nuestro Señor, y so mayordomo mayor, dijo: Que por acto que pasó ante D. Pió Ignacio de Lamo, Palacics del Valle, conde de Castañeda de los Lamos, oficial mayor de la primera secretaría de Estado y del Despacho, caballero pensionista de la Real y distinguida orden española de Carlos m, de la Real y militar de la Espada de Suecia, comendador de la de…</t>
  </si>
  <si>
    <t>Lamorte</t>
  </si>
  <si>
    <t>…olos, ademas de" la pena en que incurran, se dará aviso á S. M. el Rei de Baviera. En este caso el oficial será arrestado inmediatamente dándosenos cuenta. De acuerdo con el señor general Lamorte, comandante en geíe de las tropas bávaras, el prefecto hace saber á los señores subprefectos, corregido res, y comandantes de gendarmería las disposiciones anteriores, para que den aviso á los comandantes militares bávaros de cualquier militar de aquella na c…</t>
  </si>
  <si>
    <t>Lamsdaine</t>
  </si>
  <si>
    <t>228</t>
  </si>
  <si>
    <t>…de paz. Aun que este presupuesto será por necesidad mas considerable que ninguno de cuantos le han precedido, sin embargo el ministro no recurrirá al arbitrio de los préstamos. El teniente Lamsdaine ha conseguido organizar en la India un cuerpo de tropas montadas en camellos á imitación de los Emperadores mogoles y máratas. Los hombres están armados con fusil y bayoneta, y cada camello lle va un pedrero con dos libras de balas; pero necesita egercitarse…</t>
  </si>
  <si>
    <t>Lanals, Mariano</t>
  </si>
  <si>
    <t>Mariano Lanals</t>
  </si>
  <si>
    <t>…. Joaquín Almazan y Ximeno, del consejo de S. M., y teniente de corregidor de esta capital, dada por la escribanía del número de D. Cristóbal de Vicuña, se cita, llama y emplaza á D. Mariano Lanals, D. Be nito Capó y Paigsener, D. Pedro Antonio Canabes, apoderado del Dr. D. Pedro Antonio Arnér, de D. Bartolomé Amér y D. Pedro Francisco Morro, y á D. Bar tolomé Valentín Sorteja, tenedores de seis vales Reales de 300 pesos, creación de i.® de Setiembre, s…</t>
  </si>
  <si>
    <t>Landaburu, Josef Matías de</t>
  </si>
  <si>
    <t>Josef Matías de Landaburu</t>
  </si>
  <si>
    <t>…brigadier D. Torcuato Trugillo, el capítan de Navio D. Domingo Monteverde, el canónigo de la santa iglesia de To ledo D. Isidoro Sainz de Alfaro, el brigadier D. Josef Cevallos, y D. Josef Matías de Landaburu, secretario de legación en Berlin. Cruz de Caballeros. El capitán de Fragata D. Miguel Araoz, el capitán del regimiento de Gra nada D. Fernando Gaver, el sargento mayor del regimiento de Badajoz Don Joaquín Gayón, el teniente coronel D. Luis Clouet, ei subten…</t>
  </si>
  <si>
    <t>Landaeta, Vicente</t>
  </si>
  <si>
    <t>Vicente Landaeta</t>
  </si>
  <si>
    <t>…desaparecie ron ya bajo la dulce influencia dei sabio Gobierno de un Rey adorado. ,,Los rebeldes han perdido entre muertos y heridos mas de 400: entre los primeros se encuentra el coronel Vicente Landaeta, hijo de la fiel Valen cia, y un capitán francés á su servicio ; y entre los segundos cuatro oficiales, cogidos mas de 1© fusiles nuevos intactos empacados, y sobre 30o que tiraion en la huida: mas. de 70© cartuchos de fusil , seis, quintales de pólvora agran…</t>
  </si>
  <si>
    <t>Landazuri, Ignacio</t>
  </si>
  <si>
    <t>Ignacio Landazuri</t>
  </si>
  <si>
    <t>…oco común en semejantes lan ces. En este día trabajaron con el mayor entusiasmo y zelo el mayor gene ral de infantería D. Francisco Warleta, y el comandante del escuadrón del Perú D. Ignacio Landazuri, ayudante del capitán general del Nuevo-Reino de Granada, comunicando con velocidad mis órdenes á todos los puntos, asi como los comandantes de escuadrón de Fernando vn y dragones de la Union D. Manuel Villavicencio y D. Josef de Navas, y mis ayudantes dé «am…</t>
  </si>
  <si>
    <t>…eferido, y yo en el cuartel general. Al instante hice marchar los cazadores á las órdenes del te niente coronel D. Francisco Warleta en unión del comandante del escua drón delPerú D. Ignacio Landazuri ; mandé al brigadier D. Antonio Cano siguiese con toda la fuerza dé su cantón y la de Warletá hasta encontrar re sistencia, y no hallándola hasta-entrar en la plaza. Dispuse qué él coronebde la Victoria siguiese con su Regimiento, y en este orden avanzó toda…</t>
  </si>
  <si>
    <t>Landazurí, Ignacio</t>
  </si>
  <si>
    <t>Ignacio Landazurí</t>
  </si>
  <si>
    <t>…de estos majes. ,,Se distinguieron en la ocupación de-la plaza por su actividad .el mayor general D. Francisco Warleta y el teniente coronel, comandante del escua drón del Perú , ,D. Ignacio Landazurí, ambos llenando mis órdenes y cuan tas el general en gefe les dio. Los castillos S. Fernando, S. Josef y el An gel se rindieron el 7. El gene-ral Morillo, que se anticipó á mi arribo á Ja plaza, nombró hasta mi llegada gobernador interino de ella al coronel d…</t>
  </si>
  <si>
    <t>Lanuza, Martin Bautista de</t>
  </si>
  <si>
    <t>Martin Bautista de Lanuza</t>
  </si>
  <si>
    <t>…: Ñuño Nuñez Rasura, Lain Calvo, Pedro Navarro, D. Juan Bautista Perez , Don Gen •limo Gómez d- Huerta, y D. Gaspar de Guzman y Pimentel.rz Cuader no 16: Fr. Juan de Jesús Ma ría, D. Martin Bautista de Lanuza,ei conde de Lemo&gt;.,el Mtro. Vicente Espinel, D. Jorge Juan, y D. Antort o de Uiloa. —Cua derno 17: D Pablo- de Sant* Marta, el P. Diego Lainez, Fr. Gerommo Graban de la M«drc de Dios, D. Joicf del Campillo, el cardenal D. Francisco de Mcndo-</t>
  </si>
  <si>
    <t>Lara, Isidoro de</t>
  </si>
  <si>
    <t>Isidoro de Lara</t>
  </si>
  <si>
    <t>…onde Armi'd.z de Toledo, ma riscal de campo de los Reales eeércitos ; el Dr. D. Alejandro Merino , regi dor perpetuo de la misma; D. Apolinar de Uruñuela , caballerizo de cam po ; D. Isidoro de Lara, y D. Patricio Ortiz de Pareja, hermanos y secrctirio de ella, tuvo el honor de besar las Reales manos de S M. y A. , y íelicitarles por sus realizados matrimonios; y el segundo de estos arengando á S. M. dijo : ,, Asi como las virtudes de V. M. servirán de e…</t>
  </si>
  <si>
    <t>Lara, Josef</t>
  </si>
  <si>
    <t>Josef Lara</t>
  </si>
  <si>
    <t>…de S. M,, alcalde en su Real casa y corte, refrendada de D. Juan Antonio Díaz Noriega, escribano de pro vincia, se hace saber á los acreedores ausentes é ignorados al concurso de D. Josef Lara,,que concurran por sí 11 otra persona á su nombre con poder bastante á la po sada del mismo señor el dia 16 de Abril próximo á las 9 de su mañana, para deter minar sobre el punto de administración , y lo demas que pueda ser conducente á d ebo concurso; aperci…</t>
  </si>
  <si>
    <t>Lara, Josef de</t>
  </si>
  <si>
    <t>Josef de Lara</t>
  </si>
  <si>
    <t>…abildo eclesiástico de Vilches en el mismo reino, compuesta de Juan Bautista López Monroy, D. Juan del Campo, D. Manuel del Moral, D. Alonso Molina, D. Fran cisco Martínez Hervas, D. Josef de Lara, D. Antonio del Campo , D. Si món Matías de Mesa, D. Tomas Gallego , D. Juan de la Herrera y Godino y D. Francisco Herrera y Navarrete : todos los cuales en nombre de las corporaciones y pueblos que representaban manifestaron á S. M. y A. la sa tisfacción que…</t>
  </si>
  <si>
    <t>Lara, Juan de</t>
  </si>
  <si>
    <t>Juan de Lara</t>
  </si>
  <si>
    <t>…se le administrasen los auxilios espirituales. Se le absolvió eondicionálmente y se le dio la extremaunción, verificándose la muerte á poco tiempo____El cura ecónomo de esta villa D. Juan de Lara tenia ya pre venido á Juan Domínguez Palma, maestro de barbero, para que en el caso de morir, la madre la abriese y extragese la criatura , como lo hizo felizmcnte salvando á dos hermanos niños, que recibieron-el bautismo. El uno vivió algunas choras , y ehót…</t>
  </si>
  <si>
    <t>Lara, Juan Josef Manrique de</t>
  </si>
  <si>
    <t>Juan Josef Manrique de Lara</t>
  </si>
  <si>
    <t>…por su feliz arribo y venturosos enlaces. Al paso por Madridejos otra de su ayuntamiento y clero; y en seguida la del ayuntamiento de la viila de Alcázar de S. Juan , compuesta de D. Juan Josef Manrique de Lara, Dolí Francisco María Aguilera .y D. Joaquin Villar, y la de los grandes priora tos de la orden de S. Juan de Jerusalen, de los que es en el dia dignísimo gran prior el Sermo. Sr. Infante D. Oírlos, en cuyo nombre, y en el de los curas párrocos, priores y ben…</t>
  </si>
  <si>
    <t>Lara, Teresa de</t>
  </si>
  <si>
    <t>Teresa de Lara</t>
  </si>
  <si>
    <t>…all ció con grande opinión de san tidad , y se conserva su cuerpo incorrupto. Item, la Infanta Doña Estdama, hija dd Emp rador D Alonso: consérvale su cuerpo incorrupto. La Señora Doña Teresa de Lara, esposa de D. Fernando el 11. Los Sres. Infames Don García y D Fernando , hijos dd Señor Rev D. Fernando el 11 La Sra. In fanta Doña Leonor, hermana del Sr. Rey S. Lernando. La Sra. Infanta Do ña María, hija dei Sr. Rey S. Fernando, vace incorrupta en este Re…</t>
  </si>
  <si>
    <t>Lardizabal, Miguel de</t>
  </si>
  <si>
    <t>Miguel de Lardizabal</t>
  </si>
  <si>
    <t>…de la Real y distinguida or den española de Car os jii, de las de S. Fernando y del Mérito y S. Genaro de las,,Dos Siciiias; í&gt;. Antonio*de Córdoba y.Heredia, cÓnsejero'de Estado; D. Miguel de Lardizabal, consejero de, Esta do, y caballero gran cruz de la Real orden Americana de Isabel la Católica; £&gt;, Josef Ibarra, consejero de Estado; D. Josef Váz quez Figueroa, del consejo de Estado, y secretario de Estado y del Despacho universal de^Marii^a, c^bal)prot.gr…</t>
  </si>
  <si>
    <t>Lardizaval, Manuel de</t>
  </si>
  <si>
    <t>Manuel de Lardizaval</t>
  </si>
  <si>
    <t>…la he te nido á bien mandar formar y establecer un Tribunal con la denominación de Junta de Represalias á manera del creado por la Real cédula de 6 de Junio de 1793 * compuesto de D. Manuel de Lardizaval y D. Bernardo Rierza por el Consejo de Castilla; el Conde de Torre Muzquiz y D. Bruno Vallnrino por el de Indias; D. Sancho de Llamas y D. Juan Antonio Fernandez de Quesada por el de Hacienda , nombrando por Fiscal á D. Bernardo Mozo Rosales, Fiscal antes, y ahora Ministro del Co…</t>
  </si>
  <si>
    <t>Laredo, Manuel</t>
  </si>
  <si>
    <t>Manuel Laredo</t>
  </si>
  <si>
    <t>…Nogués , D Pedro Ortiz, D. Joaquín Miranda, D. Pe dro Navarro, D. Juan Josef Lahorda, D- Lorenzo Biscasillas, D. Antonio Ttmprado, D. Martin Jucez, D. Josef La&gt;, D. Josef Martin, D. Manuel Laredo, D. Gaspar Gailat, D. Inocencio Maicas, D. A: mnio Cebollero, D. Pedro Juste y D. Francisco López. Dio principio ul egcrcicio D. Maria no Nogués con un elegante discurso latino, que mereció los aplausos: luego una porción de los cenantes, habiendo presentado…</t>
  </si>
  <si>
    <t>Larraz, Josef Antonio</t>
  </si>
  <si>
    <t>Josef Antonio Larraz</t>
  </si>
  <si>
    <t>…Durango, vecino de Santander. Cruz de mimero A D. Genaro Azcona y Balanza, oficial 'segundo primero de la secreta ría del Despacho de Gracia y Justicia. Opción a cruz de número A D. Josef Antonio Larraz , oficiab mayor primero de la secretaría del Despacho de Hacienda ; á D. Máximo Rodenas, oficial-mayor segundo de la misma secretaría, y al intendente de egército D. Rafael Ruiz de Arana, Bandas de la Real orden dé Damas Nobles de la Reina Marta Luisa A las S…</t>
  </si>
  <si>
    <t>Larraz, Rafael</t>
  </si>
  <si>
    <t>Rafael Larraz</t>
  </si>
  <si>
    <t>…de la villa de Ri va roja: á D. Josef Giménez Vinerta para la de Catarro ja : para la de la villa de Relchite á D. Francisco Fernandez de Gal vez; y para la de la villa de Epila á D. Rafael Larraz. Igualmente se ha servido S. M. nombrar para la agencia liscal de ía cámara á D. Josef Ruiz Barriopedro: para una plaza de oidor de la audiencia de Ex tremadura á D. Demetrio Ortiz , alcalde del crimen mas antiguo de ella: para esta resulta á D. Josef Antonio…</t>
  </si>
  <si>
    <t>Larrea, Joaquín Montujar y</t>
  </si>
  <si>
    <t>Joaquín Montujar y Larrea</t>
  </si>
  <si>
    <t>…llinedo , D. Gaspar María Soler y Arcayo, y D. Josef Bruno Mag dalena. Ayudas de cdmara A D. Nicolás Arguelles , D. Domingo Izquierdo y Morales, D. Francis co Hernández y Nogues y D. Joaquín Montujar y Larrea. NOTA. Las gracias que se han expedido por la secretaría del Despacho de Guerra se publicarán en otra gaceta. EN LA IMPRENTA REAL.</t>
  </si>
  <si>
    <t>Larrondo, Fernando</t>
  </si>
  <si>
    <t>Fernando Larrondo</t>
  </si>
  <si>
    <t>…Fernando Gómez 20. D. Vicente Telio 4. D. Manuel Cisneros 23. D. Valentín.Ximenez 20. D. Carlos Milre40. D. Esteban Gómez 20. D» Felipe Eneri y Seda 40. D. Gregorio Fernan dez 46. D. Fernando Larrondo 92. D. Martin Ocaf.a 20. D. Blas María 20. D. Pedro Pacheco 20. D. Fernando Prieto 24. D. Juan Ballesteros 20. Don Ruperto Molinero 16. D Josef Brochero 40. D Manuel Palomares 30. Don Pabio Aviles 23 D. Joaquín Delgado 69. D. Sebastian Zahonero 60. D. Pe dro…</t>
  </si>
  <si>
    <t>Larrusa, Hilario</t>
  </si>
  <si>
    <t>Hilario Larrusa</t>
  </si>
  <si>
    <t>…oi designados comen zaron á disertar á presencia de tan distinguida reuniou, y de los demás ciu dadanos que concurrieron á presenciar el aero, sobre las proposiciones si guientes: D. Hilario Larrusa.* El sistema de balanza mercantil es enteramente inútil.__ D. Juan María Biec. El comercio que hace la metrópoli con sus Colonias e* so!o ventajoso eí los comerciantes en particular.___D. Anacivto Ton-n y Doiz. 1 oda prohibición ó imposición de derechos sobre…</t>
  </si>
  <si>
    <t>Lasala, Manuel</t>
  </si>
  <si>
    <t>Manuel Lasala</t>
  </si>
  <si>
    <t>…lazo. Habíala ofrecido D. Manuel Aladren, que era uno de los certantes, y quiso tener la gloria de disputar esta conde coración entre los mas animosos y valientes. A continuación D. Manuel Lasala dió las gracias al lucido concurso con una breve anacreóntica. Los mismos egercicios, y con igual despejo y gracia, repitieron el dia 6 por la otra escuela de escribir como unos 50 niños, bajo la dirección de su maestro el P. Pablo de S. Josef Calasanz, excep…</t>
  </si>
  <si>
    <t>Lasarew</t>
  </si>
  <si>
    <t>…to del diario del teniente' de marina Lasarew y relativo al descubrimiento de las is las llamadas de Suwárów. ,,EÍ Suwar'ó’W } navio de la compañía rusa ame ricana, mandado por el teniente Lasarew, se hizo á la vela desde Crorístadt en 20 de Octubre de f8i:3 , y déspues de haber tocado en Inglaterra, el Brasil y Nuevá-Holanda, salió de Puerto Jackson para los establecimientos rusos en América. En 27 de Setiembre de 1814 vinieron volando hacia el navio…</t>
  </si>
  <si>
    <t>Laserna, Josef</t>
  </si>
  <si>
    <t>Josef Laserna</t>
  </si>
  <si>
    <t>…ón marítima salió peco antes de rayar el dia, mandando las tropas el comandante de la vanguardia el coronel D. Francisco Tomas Mo rales , y las fuerzas de mar el teniente de navio D. Josef Laserna , y á sus órdenes el capitán D. Luis Pacheco, edecán del Excmo. Sr» capitán general de la provincia» La popa señaló nuestra expedición, y al momento dieron la vela desde Castillo-grande seis goletas y balandras con otros tantos bongos y lanchas de cañón , y a…</t>
  </si>
  <si>
    <t>americana de Isabel la Católica: al capitán de fragata D. Manuel, Cordero su ascenso á capitán de navio: el de capitanes de fragata á los tenientes de navio D. Josef Laserna , D. Bernardo de Salas, D. Rafael Santibañez y Don Josef María Chacón : el de capitanes de fragata graduados á los tenientes de navio D Jacinto Marcaida y D,.Francisco Topete: el,de tenientes de navio á los tenientes de fragata D. Simón Ponce y D. Ignacio Cha…</t>
  </si>
  <si>
    <t>Laso, Josef</t>
  </si>
  <si>
    <t>Josef Laso</t>
  </si>
  <si>
    <t>…pesos de i.° de Mayo de 1808, señalado uno de ellos con el nútn. 454881, y su último endoso puesto por D. Ramón Antonio Moreno en Guadalajara á 18 de Setiembre de 1814 en favor de D. Josef Laso; y siendo ignorado el paradero ó domicilio de este, se le cita, llama y emplaza para que en el término de 30 dias siguientes al en que se publique este auncio en la gaceta, comparezca á usar del traslado que se le ha conferido ; con apercibimiento de que pasa…</t>
  </si>
  <si>
    <t>Lator, María Concepción</t>
  </si>
  <si>
    <t>María Concepción Lator</t>
  </si>
  <si>
    <t>…ones á una de las huérfanas de los militares ó patriotas que hubieren muerto en defensa de la justa causa de la nación, ha cabido en suerte del primer extracto de la de este dia á Doña María Concepción Lator, hija de D. Juan, capitán que fue del regimiento de infantería de Osuna , muerto en el campo del honor. Convencido S. M. de la necesidad é importancia de promover la agricul tura por todos los medios posibles en los vastos dominios de la monarquía es pañola,…</t>
  </si>
  <si>
    <t>Launa, Santiago</t>
  </si>
  <si>
    <t>Santiago Launa</t>
  </si>
  <si>
    <t>…aban en tierra, y son el Dr. D. Josef María Toledo, Dr. D. Miguel Díaz Granados, D. Domingo Granados, Dr. D. Basilio Toro, D. Esteban de Pumbo, y familia, D. María Amador , é id., D. Santiago Launa, é id., D. Manuel Verve id., D. Fran cisco Fierro é hijo. Quedaron apresados los individuos siguientes: á saber , Manuel Antonio, Manuel y Leandro Salgado, nueve esclavos de la familia de Amador y uno de Pumbo, y el presbítero D. Santiago Mannet, con el vigía…</t>
  </si>
  <si>
    <t>Lauriston</t>
  </si>
  <si>
    <t>…David., El consejo de guerra que ha de juzgar el 6 de este mes al contra-almirante Linois, ex-gobernador de la isla de Guadalupe, y al barón Boyer, será pre sidido por el teniente general Lauriston, par de Francia, comandante de la primera división de infantería de 4$. guardia Real. Mr. de Sesmaisons, coronel ae estado mayor de la misma guardia , hará de relator, y Mr. Sartelon, indi viduo de la cámara de los diputados, será el fiscal. Dentro de pocos d…</t>
  </si>
  <si>
    <t>Lavaíette</t>
  </si>
  <si>
    <t>…1816, y que se apliquen á la subsistencia de los caballeros. Idem 2 de Enero de 18 i&lt;T. Con fecha de 28 del pasado escriben de Bruselas lo siguiente: Se asegura de positivo que el conde Lavaíette pasó antes de ayer por esta ciudad. Pare ce que llevaba uniforme, y que durante su corta permanencia aqui visitó á un oficial extrangero. Según las últimas noticias de Londres no se hará á la vela hasta pasados dos meses el navio de línea que debe llevar á St…</t>
  </si>
  <si>
    <t>Lavedan, Antonio</t>
  </si>
  <si>
    <t>Antonio Lavedan</t>
  </si>
  <si>
    <t>…cirugía de Viena, director de las farmacopeas militares, y del supremo cuerpo de cirugía militar &amp;c.: traducido del latín aj castellano de la última edición, y aumentado por el Dr D. Antonio Lavedan, profesór de medicina, cirujano de egército, de cámara de S. M. Católica, alcalde examinador perpetuo de cirugía del ex-tribunal'del proto-medicato , socio de las Reales academias de medicina de Madrid y Sevilla, y director de lá Real academia de cirugía de V…</t>
  </si>
  <si>
    <t>Lázaro, Francisco</t>
  </si>
  <si>
    <t>Francisco Lázaro</t>
  </si>
  <si>
    <t>…s por tercios de los fondos de propios, con la obligación de asistir á los vecinos de balde en todo lo respectivo á cirugía y partos. Los pretendientes dirigirán sus me moriales á D. Francisco Lázaro, secretario de ayuntamiento, hasta i.° de Majo próximo. Aventuras deTelémaco, hijo de Ulises: obra escrita en francés por el limo. Sr. Fenelon, arzobispo de Cambray, traducido al castellano por D. Fernando Nico lás de Rebolleda. Hay tres ediciones, una de 4 t…</t>
  </si>
  <si>
    <t>Lázaro, Juan</t>
  </si>
  <si>
    <t>Juan Lázaro</t>
  </si>
  <si>
    <t>…herta, principado de Cataluña, profesor de medicina : hace 10 años que no se sabe de él: su última residencia fue en Albaladejo de la Mancha: cuya noticia se servirán co municar á D. Juan Lázaro, regente de la calcografía de la imprenta Real/quien tiene asuntos interesantes que comunicarle, ó á sus parientes en caso de haber muerto. Real cédula de S. M. y señores, del consejo, por la cual se manda reconocer por créditos legítimos contra el estado tod…</t>
  </si>
  <si>
    <t>Lazcano, Josef Ignacio</t>
  </si>
  <si>
    <t>Josef Ignacio Lazcano</t>
  </si>
  <si>
    <t>…de la Torre, notario mayor que fue del tribunal eclesiástico de esta plaza, entre Doña María Antonia de la Torre, hermana del finado, que solicitaba se le declarase su heredera, y D. Josef Ignacio Lazcano, de este comercio, nombrado albacea en cierta cédula que fue encontrada entre ios papeles del difunto, se pro veyó en 14 de Koviembre de! año próximo pasado sentencia definitiva, por la cual se depiara válida la cédula hallada entre los papeles del difunto, y…</t>
  </si>
  <si>
    <t>Lazcano, Nicanor</t>
  </si>
  <si>
    <t>Nicanor Lazcano</t>
  </si>
  <si>
    <t>…ias rancherías y pue blos , apresando al teniente de rebeldes Felipe Pico, que era el que los con ducía , el cual fue pasado por las armas. Al mencionado brigadier Llano participa D. Nicanor Lazcano des de la hacienda dicha de la Barranca , con fecna de 16 de Octubre, que por orden del capitán D. Miguel Barragan pasó á la hacienda de S. Vicente para dar auxilio á la fuerza que había alii, y que en ella supo el suceso desgra ciado que causó la prisión del…</t>
  </si>
  <si>
    <t>Leal, Juan García</t>
  </si>
  <si>
    <t>Juan García Leal</t>
  </si>
  <si>
    <t>…los pue blos del centro y tierra de Campos, el mas á propósito para las compras de pieles y materiales. La persona ó compañía que quiera tratar de este arriendo, podrá hacerlo con D. Juan García Leal, agente de negocios, que vive calle del Olivo alto, nú mero i.°, esquina á la del Viento, de nueve á diez de la mañana, y de dos á tres de la tarde. El magisterio de primeras letras de la villa de Coveña, distante cuatro leguas de esta corte, se halla vacante…</t>
  </si>
  <si>
    <t>Lebzeltern</t>
  </si>
  <si>
    <t>…l Emperador de Austria , y caballerizo mayor del reino LombardoVéntto. Ayer se presentó al Padre Santo, y tuvo la honra de entregar las credenciales deS. M. I. y R. Se cree que el caballero Lebzeltern irá á Petersbur-go en calidad de embajador de Austria. Continúan los grandes preparativos para recibir aquí al Emperador de Austria. Parece que la cantidad destinada por el Príncipe Regente de Inglaterra para erigir un monumento ai difunto-cardenal duque de Y…</t>
  </si>
  <si>
    <t>Lebzeultern</t>
  </si>
  <si>
    <t>…peramos aquí dentro de 15 dias al Príncipe Leopoldo, de quien se dice que luego que verifique su casamiento con la archiduquesa Cíementina, se vol verá á Ñapóles con su esposa. El caballero Lebzeultern acaba de recibir orden de trasladarse á Rusia en calidad de ministro plenipotenciario cerca de aquella corte. Antes de ayer llegó aqui de Florencia el embajador de Saxonia cerca de nuestra corte. Se espera por momentos que llegue á esta capital el feld-marisc…</t>
  </si>
  <si>
    <t>Ledesma, Concepción</t>
  </si>
  <si>
    <t>Concepción Ledesma</t>
  </si>
  <si>
    <t>…olanco; á ios de Espino y Ortiz , Reyes, Alvarado, y D. Francisco Saina do, y ni de auxiliares de S. Sebastian D. Francisco Rósete, igualmente que • al teniente-justicia de Espino D. Concepción Ledesma , que a pesar de su avanzada edad de mas de 6o años se batió con furor aun después de recibi das tres graves heridas. Todas las tropas, asi europeas como del pais, se han hecho dignas A que V. S. les dispense alguna gracia. De los muchos he chos de valor indi…</t>
  </si>
  <si>
    <t>Leeches, Jacinto Gaona y</t>
  </si>
  <si>
    <t>Jacinto Gaona y Leeches</t>
  </si>
  <si>
    <t>…admitirán las que se hicieren siendo arregladas. En virtud de providencia del Sr. D. Joaquín Almazan, del Consejo de S. M., y teniente de corregidor de esta villa, refrendada por D. Jacinto Gaona y Leeches, escribano de su número, se han mandado sacar á pública subasta dos casas sitas en esta corte, la una en las calles de Sta. Agueda y Sta. Brígida, núm. 16, manz. 333, que tiene de sitio 2107 pies, y se halla tasada en 28500 rs. vn.; y otra en La calle del Ros…</t>
  </si>
  <si>
    <t>Leen</t>
  </si>
  <si>
    <t>…que haya lugar, pues por auto de 22 de Mavo último asi se tiene manda do, y que se inserten copias de este edicto en ía gaceta y diario de e?&gt;ta cote. En virtud de providencia del Sr. D. Leen de ia Cántara Cano, del consejo de S. M., teniente primero de corregidor de esta heroica v lia, v por ia tscr’hnr a del número de D. Pascual Seco, se ha mandado sacar á.pública subasta por ícrodi.o de 30 dias un corral, sito extramuros etc 1 ponido de Lmha¡.i…</t>
  </si>
  <si>
    <t>Lefevbre-Desnouettes</t>
  </si>
  <si>
    <t>…s criados andan sin libreas: concurre á pocas tertulias, y solo visita á los franceses. Ultimamente hizo un viage á Fiiadelfia, en el cual le acom pañaron el mariscal Grouchy y el general Lefevbre-Desnouettes. En Laudsdowne, donde pasó algún tiempo, te hizo compañía el general Ciausel___ Regnault de S. Juan d’Angely vino últimamente aquí de Chariestown, des pués de haber comprado muchas tierras en la Carolina meridional. Escribe mucho ,y de tiempo en tiempo public…</t>
  </si>
  <si>
    <t>Legarde</t>
  </si>
  <si>
    <t>…serie de todas las medallas de oro acuñadas durante su pontificado. Este presente iba acompañado de una carra, que será un monumento perpe tuo de honor para la casa de.Dunazzo. El general Legarde, comandante de Nimes, ha sido condecorado por el Rey de Prusia con la orden del Aguila-Roía de segunda clase en recompen sa de su conducta durante las turbulencias de aquella ciudad. S. M., cuyo corazón está siempre dispuesto á la beneficencia, acaba de desti…</t>
  </si>
  <si>
    <t>Leis, Gregorio Suarez de</t>
  </si>
  <si>
    <t>Gregorio Suarez de Leis</t>
  </si>
  <si>
    <t>…, y endosada para los de la primera: seis dadas en Cádiz á favor de los señores Gargollb y hermanos, endosados al Sr. D. Manuel María Adriaensens: una dada en Santiago á favor del Sr. Don Gregorio Suarez de Leis, endosada al Sr. D. Joaquín Antonio de Quintana; y otra dada en Cartagena á favor de Doña María Antonia López , vecina de Madrid. Lo que se avisa al público para que los interesados en estos papeles pue dan acudir á la dirección general de correos, donde acre…</t>
  </si>
  <si>
    <t>Leiva, Antonio</t>
  </si>
  <si>
    <t>Antonio Leiva</t>
  </si>
  <si>
    <t>…me de la vida de cada uno de dichos varones se venden cada uno á 50 rs. vn., y cada estampa suelta i 80. Los cuadernos y retratos que contienen son los siguien tes : cuaderno i.°: D. Antonio Leiva, Ambrosio Morales, el P. Juan de Mariana, Fr. Lope Félix de Vega Carpió, D. Antonio Solis, y D. Nicolás Antonío.zrCuaderno 2.0: el cardenal Gil Albornoz, Gonzalo Fernandez de Córdoba , el gran du que de Alba, Arias Montano, D. Francisco Quevedo y Villegas, y…</t>
  </si>
  <si>
    <t>LemoS, Manuel Bernardino de</t>
  </si>
  <si>
    <t>Manuel Bernardino de LemoS</t>
  </si>
  <si>
    <t>«*■ ... gracias al Príncipe Regente, lo cual fue acordado por unanimidad de votos. PORTUGAL. Lisboa $ de Febrero. Habiendo cuidado con el mayor zelo el sargento mayor D. Manuel Bernardino de LemoS de destruir en el Alentejo los tobos tan perjudiciales á los ga nados, ha recibido la satisfacción de que el gobierno le dé las debidas gracias por medio del comandante de aquella provincia D. Joaquín de la Costa y Silva, cuyo oficio escomo sigue: „ Habiendo…</t>
  </si>
  <si>
    <t>Leniz, Antonio Rodríguez</t>
  </si>
  <si>
    <t>Antonio Rodríguez Leniz</t>
  </si>
  <si>
    <t>…de toda contribución y carga concejil, y goza de los demas provechos de vecindad, sin cortar algún otro emolumento de que disfrutará. Los pretendientes dirigirán sus metroria’es a D. Antonio Rodríguez Leniz, secre tario del ax untamiento; en la inte ¡cencía de que han de tener la Real aprobación correspondiente, y de que su previsión se verificará el dia jp del corriente. Se desea saber el paradero de D &gt;na Ezequi il de la VegaCelis, hija de D. Fran cisco y de D…</t>
  </si>
  <si>
    <t>Leo</t>
  </si>
  <si>
    <t>…r secretado del patronato- D. Joaquín Escudero llamó á- los que habían sido premia dos con respecto á su clase y mérito, que fueron con los premios- prime ros D. Joaqurn Cañed'o , D. Leo na rdo-García , D. Bernardo Cadenas, Don Joaquín Vargas y D. Mantiél Ribera: con los segundos D. Juan García Cefedonó’ Casado, D. Francisco. Canillas, D-. Máximo de Vargas y Don‘Ge»Bíuo Salgado , D. Pedia Gómez y D. Pedro Miguel; y con los tetcetoi</t>
  </si>
  <si>
    <t>León</t>
  </si>
  <si>
    <t>…del traslado que les está conferido, y demas acciones que les competan; con aperci bimiento que de no hacerio les parará el perjuicio que haya lugar. En virtud de providencia dei Sr. D. León de la Cámara'Cano, del consejo de S. M., teniente primero de corregidor de esta villa, refrendada de D. Tomas de Sancha y Prado, escribano de su número, se hace saber á todos los acreedores de la testamentaría de la Excma. Sra. Doña Teresa Salazar y Morales,…</t>
  </si>
  <si>
    <t>…a lo gratos que le han sido, tanto para satisfacción del interesado , cuan to para acrisolar ademas su crédito que puede haber sufrido por el arresto. En virtud de providencia del Sr. D. León de la Cámara Cano, del consejo de S. M., primer teniente corregidor de esta heroica villa, refrendada del escribano del número da la misma IX Pascual Seco, se han mandado sacar á pública subasta por término de 30 dias dos casas sitas en la calle de la Hoz baj…</t>
  </si>
  <si>
    <t>32 Por providencia del Sr. D. León de la Cámara Cano, del consejo de S. M., pri mer teniente corregidor de esta villa, refrendada del escribano del número D. Pas cual Seco, se ha señalado para el remate de dos casas sitas en esta corte, una en la calle de Cabestreros, nútn. 40 de la manzana 68…</t>
  </si>
  <si>
    <t>…stanciación y determinación de causas de Estado, se ha servido concederle los honores de su secretario con el sueldo que obtiene en la misma comisión. En virtud de providencia del Sr. D. León de la Cámara Cano, del consejo de S. M., teniente primero de corregidor de esta villa, se cita, llama y emplaza á los tenedores de 58 vales Reales de diversas creaciones que se hallan retenidos judicial mente á instancia de Doña Juana Bertumui, viuda de .D. F…</t>
  </si>
  <si>
    <t>…publique en la gaceta para su satisfacción, y que en orden á sus pro puestas se dé la competente instrucción para que recaiga la oportuna resolu ción de S. M. Por providencia del Sr. D. León de la Cámara Cano, del consejo de S. M., te niente corregidor de esta villa, se ha mandado anunciar al público el remate cele brado de una tierr/'huerta, sita en las afueras de la puerta de la Vega (vulgo Segovia), bajando á mano izquierda del puente del mism…</t>
  </si>
  <si>
    <t>…, donde sé despacha por ahora, se dé un impreso gratis, que, contendrá lo suficiente pata'que pueda formar idea todo facultativo qué intente administrarlo; - ! Por providencia del Sr. D. León de la Cámara Cano, del consejo de S. M., te niente primero de corregidor de esta villa, refrendada del escribano del número de la misma D. Juan Antonio de Urraza, se ha señalado el domingo 24 del cor riente á ias 9 de su mañana en la posada de S. S. para cele…</t>
  </si>
  <si>
    <t>…us afanes y trabajos anteriores y contarán este dia por el mas venturoso de los de su vida. - — —i—-—• ■ - - — - - - --------------------------'—r-| i En virtud de providencia del Sr. D. León de la Cámara Cano, del conseja de S. M., teniente primero de corregidor de esta villa, y por la escribanía del núme ro de D. Pascual Seco, se han mandado sacar á pública subasta por i 5 dias mas dos casas sitas en la calle de la Hoz baja, señaladas con los nú…</t>
  </si>
  <si>
    <t>…l despacho de la imprenta Real. Se subscribe en dicho despacho, y en las provincias en todas las ad ministraciones principales y agregadas de correos. En virtud de providencia del Sr. D. León de la Cámara Cano, del consejo de S. M., primer teniente corregidor de esta villa, refrendada del escribano del número de la misma D. Antonio López de Salazar, se cita, llama y emplaza á D, Josef Montobbio, para que en el término de 10 dias comparezca á su ju…</t>
  </si>
  <si>
    <t>…e sirvió S. M. Cristianísima condecorarle con la flor de Lis, y el Rey nuestro Señor se ha dignado concederle su Real permiso para que use de esta condecoración. En el juzgado del Sr. D. León de la Cámara Cano, del consejo de S. M., pri mer teniente y corregidor interino de esta hrrnLa vü!a de Madrid , y por la escriba nía del número de D. Claudio Sanz, se han formado autos sobre la pertenencia de un vale Real de 150 pesos de t.° de Setiembre de 1…</t>
  </si>
  <si>
    <t>…ecretaría del señor Pipón, establecida en Lisboa en Pozo Novo; pero se debe entender que este aviso tendrá solamente efecto en el dicho mes ¡de Abril. En vÍTtud de providencia del Sr. D. León de la Cámara Cano, del consejo de S. M., primer teniente corregidor de esta villa de Madrid, refrendada de Don Antonio López de Salazar, Escribano del número de la misma, se ha mandado con vocará junta á los acreedores de Justo Custodio Gómez, vecino del luga…</t>
  </si>
  <si>
    <t>…el término de 30 ¿fias, contados desde el 24 del corriente, con apercibimien to de que pasado sin h iberio verificado les parará el perjuicio.que haya lugar. Por providencia riel Sr. D. León de la Cámara Cano, del consejo de S. M., primer teniente corregidor de esta villa, se ha señalado para el remate de una casa sita en ella y su calle de la Magdalena, con fach.ída á la plazuela de Antón Martin, señalada con el mlm. 15, maz. 155 , ccn 93if pies…</t>
  </si>
  <si>
    <t>…ido muchas averías, pues hemos visto desaparecer muchas caberas cotí sombreros elásticos, sin embargo que nos ha hecho un fuego con el mayor tesón.” . En virtud de providencia del Sr. D. León de la Cámara Cano, del consejo eje S. M., primer teniente y corregidor interino de esta villa, refrendada de D. Claudio Sanz, escribano de S. M., y del número de la misma, se ha señalado para la junta de acreedores á la testamentaría de D. Mauro López el vier…</t>
  </si>
  <si>
    <t>…amen te efecto en el dicho mes de Mayo. En los autos de dimisión de bienes hecha por la casa titulada bajo el nombre de D. Francisco Sacristana é hijos, en que está entendiendo el Sr. D. León de la Cá mara Cano, del consejo de S. M., corregidor interino y teniente primero, por la escribanía de D. Ramón de Milla Cuellar, en junta de acreedores celebrada en este dia á la presencia judicial, se ha acordado, entre otras cosas, convocar á junta ge nera…</t>
  </si>
  <si>
    <t>…n guindo en 6 : cuatro escardas á 10: 12 almendros á 10; y una casilla en la huer ta en igoo, siendo el importe total 58086 rs. vn. Quien quisiere hacer postura acuda ante el Si'. D. León de la Cámara Cano, del consejo de S. M., teniente cor regidor de esta villa, por la escribanía de su número que egerce D. Juan Raya, y está señalado para su remate el dia 2 2 de este mes á la puerta de la audiencia del mismo Señor en el pórtico de la Real cár…</t>
  </si>
  <si>
    <t>5^4 En la junta de acreedores de Justo Custodio Gomer, reciño y labrador del lugar de Alcorcon, celebrada ante el Sr. D. León de la C+mara Cano, del consejo de S. M., primer teniente corregidor de esta villa, en i.° del corriente mes de Mayo, se acordó entre otras cosas que para liquidar los cred tos de todos y cada uno de los interesados en ellos presenten los Jo jumentos justifica…</t>
  </si>
  <si>
    <t>…ursado dicho término se cancelarán las lianzas de acreedor de mejor-derecho que se hubiesen otor gado, egecutíndose después los ptgos sin dicho reato. En virtud de providencia del Sr. D. León de la Cámara Cano, del consejo de S. M., primer teniente corregidor de esta villa, refrendada del escribano del núme ro D. Antonio López de Salazar, y para hacer pago á acreedores, se Ha mandado sacar á pública subasta por término de 30 días la dehesa titulad…</t>
  </si>
  <si>
    <t>…ucir sus acciones; apercibidos que no comparecien do pasado dicho término, se procederá á lo conveniente en justicia, y les parará el perjuicio que haya lugar. Por providencia del Sr. D. León de !a Cámara Cano, de! consejo de S. M., te niente primero de corregidor de esta villa, y corregí lor inteiino de ella, confirma da por egecuTorias de risía y revista del consejo supremo de S. M , se ha mandado que O. Matías Pecina, cecinó de esta corte /cese…</t>
  </si>
  <si>
    <t>…n las que se hicieren siendo arregladas. A instancia del representante del monte pió de viudas y pupilos de corregido res y alcaldes mayores del reino se han formado autos ante el Sr. D. León de la Cámara Cano, del consejo de S. M., primer teniente y corregidor interino de esta heroica villa de Madrid, y por la escribanía del número de D. Claudio Sanz, en razón de que se declaren de su pertenencia cuatro vales Reales de 600 pesos, tres de Ja creac…</t>
  </si>
  <si>
    <t>…ví Jo S. M. mandarlo así; y de su Real orden se lo digo á V. S. para su inteligencia. Dios guarde á V. S. muchos años. Pala* ció i o de Junio de 1816. En virtud de providencia del Sr. D. León de la Cámara Cano, del consejo de S. M., teniente primero de corregidor y corregidor interino de esta heroica vil.a, y po. la escribanía del número de Ib. Pascual Seco, se ha mandado sa ar á púb'ica subasta por término de 30 días una c. sa , sita en esta pobl…</t>
  </si>
  <si>
    <t>…dose que de no verificarse la presentación de di chos interesados, procederá la Dirección general á tomar las providencias que tenga por convenientes. En virtud de providencia del Sr. D. León de la Cámara Cano, dd consejo de S. M., teniente primero de corregidor de esta villa ¡ic Mad id , se ha mandado sa car á pú'jlica subasta por término de 30 días» contados desde ¿o del pasado , para hacer pago á un acreedor, una casa sita en esta corte y su ca…</t>
  </si>
  <si>
    <t>…a acudan dentro de dicho termino ante ci expresado señor juez por la escribanía de cámara de la sala del cargo de D. Miguel Gilvo García. Por providencia de 27 de Junio último del Sr. D. León de la Cámara Cano, del consejo de S. M., teniente primero de corregidor de esta villa, en los autos de testamentaría pendientes en la escribanía del número que está á cargo del Sr. Don Ra mon García Ximenez, del consejo de S. M., su secretario , por fallecimi…</t>
  </si>
  <si>
    <t>…e Mar zo último, á D. Josef Fuentes González Bustillo, regente que ha sido de la Real audiencia de Quito, en considera :ion de sus méritos y servicios. A virtud de providencia del Sr. D. León de 1» Cimira Cirio, del cornejo de S. M., corregidor interino de esta villa, y en contorjvdid de lo acordado en Ja junta celebrada en 28 de Abril de este año por los acreedores á la testamentaría de ia Excnn. Sra. Doña Teresa Sdazar y Morales, marquesa que fu…</t>
  </si>
  <si>
    <t>…u calle de Cabestreros, señalada con el núm. 8 de la m mz. 66, que contiene de area plana 1908 pies y ^ , y está tacada en 44249 rs* vn- Quien quisiere hacer postura acuda ante el Sr. D. León de la Cámara Cano, del consejo de S. M., teniente corregidor de esta villa, por la escribanía de su número que egerce D. Juan Raya, dentro de 20 dias, contados desde 13 del corriente. Para la junta de los acreedores é interesados en los bienes del último seño…</t>
  </si>
  <si>
    <t>…eraria de D. To rnas de Sancha y Pr,do, hasta el dia 29 de este mes , en que se celebrará el remate en la audiencia de S. S. de 12 á una de su mañana. En virtud de providencia del Sr. D. León de la Cámara Cano, teniente corre gidor, y corregidor interino de Madrid, dada á instancia de la compañía de Jongistds de esta corte, se cita á todos ios acreedores á la misma compañía para junta ge neral que ha de celebrarse el dia 10 de Agosto próximo i las…</t>
  </si>
  <si>
    <t>…e su admisión han de sufrir ea Sevilla por la propia junta facultativa el correspondiente examen y merecer sobresaliente, ó por lo menos buena censura. Pendiendo en el juzgado del Sr. D. León de la Cámara Cano, del consejo de S. M., corregidor interino, y teniente primero de esta villa, y escri anít del nú mero de ella del cargo de D. Vicente de Ja Costa, el abintestato y juLio de acree dores de D. Manuel Sánchez de Dalp, á instancia de estos, y d…</t>
  </si>
  <si>
    <t>…al orden lo co munico á V. para su irueligencia y cumplimiento en la parte que le corres ponde. Dios guarde á V. muchos años. Madrid de Julio de 1816. Ea virtud de providencia del Sr. D. León de la O'mara Cano, del Consejo db S. M., teniente primero de corregidor de esta heroica villa, su lecha r8 del pasa do, se ha mandado sacar i pública subasta por término de 30 dias una parte de casa en el lugar de VaHecas, propia de Dofia Isabel Fernandez , d…</t>
  </si>
  <si>
    <t>…o la, que hicieren fJench» arregladas. A instancia del represen» a ;Ve del monte pió de viudas y pupilos de corregido res y alcaldes mayores del reino se han formado autos ante ei Sr. D. León de la Cámara Cano, del Consejo de S„ M., primer teniente y corre .:¡do.- int; rico de esta heroica villa de Madrid, v por la escribanía del. número de D. Claudio S.nz, en razop &lt;!c que se declaren de su pertenencia cuatro vales Reales de 600 pe-sos de la crea…</t>
  </si>
  <si>
    <t>…Toledo, cuya venta fue anunciada en la gaceta y diario de if y 18 chl mes último, se hi señalado el dia 19 del próximo mes de Setiembre á las 12 de su mañana en la au diencia del Sr. D. León de la Cámara Cano, del Consejo de S. M., teniente pri mero de corregidor, y corregidor int riño de esta heroica villa. No habiéndose podido adquirir la menor noticia acerca del niño, cuva pérdida se anunció en la gaceta del sábado 3 del presente, y en los dia…</t>
  </si>
  <si>
    <t>…adroño, sha en término de la villa de Cabeza del Buey, partido de la Serena, provincia de Extremadura, que se publicó en el diario de 3 de este mes, se na vuelto a señal ,r por ei Sr. D. León de la Cámara Cano, del Con sejo de S. M., teniente primero de corregidor de esta villa, en providencia de 21 del mismo para su remate e&gt; dia 4 d: Setiembre próximo á la una de su mañana en la audiencia de S. S. Quien quisó re hacer postura hasta dicho dia acu…</t>
  </si>
  <si>
    <t>…su calle de Cabestreros, señalada con el m'im. 8 de la manz. 66, que contiene de area plana 1908 | pies, y está tacada e* 44249 rs. vn. Quien quisiere hacer postur i acuda ante el Sr. D. León de la Cámara Cano, del Consejo de S. M., teniente corregidor de esta,villa, por la escribanía de su número que-egjrce D. Juan Rara, y está señalado para su remate el dia 23 de este mes á las 1 2 á la puerta de la audiencia de dicho señor. El partido de médico…</t>
  </si>
  <si>
    <t>…ijos de Antonio y de I"ran chea S.inz , tnv.b’en difuntos, naturales el Antonio de esta misma corte , y la Fran&lt; isca de Valdepeñas de la Sierra, para que acudan en el juzgado del Sr. D. León de la Cámara Cano, y por la escribanía del número de D. Claudio Sanz, dentro del preaho término de 30 días precisos y perentorios á deducirle y exponerle por me dio de procurador con poder bastante; con apercibimiento de que pasado dicho tér mino sin haber co…</t>
  </si>
  <si>
    <t>…peta en justificación de sus respectivos créditos; con apercibimiento de que pasado dicho término sin haber comparecido les parará el perjuicio que haya lugar. Por providencia del Sr. D. León de la Cámara Cano , del Consejo de S. M., corregidor interino de esta heroica villa, y su teniente primero de corregidor, re frendada del infrascrito escribano de S. M , y habilitado en virtud de Red cédula para despachar la escribanía del número de D. Joaquí…</t>
  </si>
  <si>
    <t>…. rrrCuatro estampas de devoción, dibujadas por Doaf Mariano Maella, y grabadas por D. Manuel Salvador Carmona y T). Joaquín Ballester, á 8 rs. ( Se continuará Por providencia del Sr. D. León de la Cámara Cano, del Consejo de S. M., teniente corregidor de esta villa, se ha mandado volver á sacar á subasta, y señala do parí su remate el dia 11 del próximo mes de Octubre de once á una de su ma ñana en su audiencia, la casa anunciada en la gaceta de…</t>
  </si>
  <si>
    <t>…e Tercilla, que vive ca lle dé la Concepción Gerónimá , manzana 160, numero 3 , cuarto principal; previniéndose que pasado dicho término no serán participantes de este socorro. El Sr. D. León de la Cámara Cano., del Consejo de S. M., teniente primero de corregidor de esta villa, ha vuelto á señalar el dia 10 del corriente á las doce j media de su mañana en su audiencia para el remate de la dehesa titulada del_ Ma droño; sita en término dé la villa…</t>
  </si>
  <si>
    <t>1128 POR LA SECRETARIA DEL DESPACHO DE HACIENDA. Honores del Supremo Consejo de Hacienda. Con antigüedad á D. Francisco Mateo Marchámalo, asesor de la super intendencia , y á D. León de la Cámara Cano, teniente corregidor de esta he roica villa. Idem del tribunal de Contaduría mayor A D. Casiano Manuel González de Castro, contador y asesor de tempo ralidades de España é Indias. Plaza supernumeraria sin sueldo en el tribunal del Excusado A…</t>
  </si>
  <si>
    <t>…semana. Habiéndose reclamado en el año de 1808 58 vales Rea'es de distintas creacio nes por Doña Juana Bertomiu, y después por Doña María Dur&gt;n , su heredera, en la audiencia del Sr. D. León de-la Camara Cano , del Consejo de S M. , primer te niente corregidor de esta villa, y escribanía del número de D. Sant ago E'tepar, se pidieron á los señores directores del Crédito púbíico remitiesen al juzgado ios que constaban de una relación presentada po…</t>
  </si>
  <si>
    <t>…o de la Serena, provincia de Extremadura, la que se halla tasada en 705© rs., y se halla rematada en 4719 rea les vellón en moneda metálica y 519 en vales Reales; y ha señalado el Sr. D. León de la Cámara Cano, del Consejo de S. M., teniente primero de corregidor de esta villa para su remate efdia 30 del corriente á las 12 y inedia de su mañana en la audiencia de S. S. Por providencia dül Sr. D. Josef Salvador López del Pan, del Consejo de S. M.,…</t>
  </si>
  <si>
    <t>…talu ña , con todo el sueldo y honores de oidor. En junta de acreedores del concurso formado á los bienes del estado del mar quesado del Villar en 6 del corriente en la posada de! Sr. D. León de la Cámara Cano, primer teniente de corregidor de esta heroica villa, juez del expresado con curso, se h.-i acordado y mandado por el mismo señor juez se vuelva á convocar á nueva junta para el dia i.° de Diciembre de este año por medio de los papeles pú bl…</t>
  </si>
  <si>
    <t>…uida orden española de Carlos iri supernumeraria , ínterin vaca la pensionada de asig nación á dicha secretaría que le corresponde por su antigüedad. F.n virtud de providencia de! Sr. D. León de la Cámara Cano, del Consejo de S. M., teniente primero de corregidor de esta villa, se sacan á pública subasta por término de 30 dias dos casns sitas en el lugar de Carabanchel de abajo, la una en Ja calle de la Sombra, y la principal señalada con el núm.…</t>
  </si>
  <si>
    <t>…cisco Herrera, á efecto de que-en el término preciso de 30 diascontados desde el 29 del pasado, acudan; á. usar de sus acciones en el juicio de su testamentaría pen diente ante el Sr. D. León de la Cámara Cano, del Consejo de S. M., teniente cor regidor de esta villa, y por la escribanía de su número que egerce D. Juan Raya. Doce cabezas .de ¡estudiosa'a los dibujantes , sacadas*de Tas obras de Rafael de Ürbino, grabadas por María dei ..Carmen Sai…</t>
  </si>
  <si>
    <t>…56 rs., y manifestará á quien quiera verlo D. Francisco Galindez, del comercio de esta corte, con tienda en la plazuela de Sto. Domingo. Quien quisiere hacer postura acuda ante el Sr. D. León de la Cámara Cano, del Consejo de S. M. en el supremo de Hacienda, teniente corregidor de esta villa, por la escribanía de su número que egerce D. Juan Raya. Se solicita saber el paradero de D. Francisco de Paula Ruiz y Rando, briga dier de los Reales egérc-i…</t>
  </si>
  <si>
    <t>…eno, pelo negro, mucha patilla y el cuerpo bien formado. Quien supiere su paradero se servirá dar razón en la calle de Juanelo, núm. 21 , cuarto bajo. En virtud de providencia del Sr. D. León de la Cámara Cano, del Consejo de S. M. en el supremo de Hacienda, y primer teniente de corregidor de esta heroica villa, refrendada por el escribano del número D. Joaquín González de Castro, se ha señalado para nueva junta de acreedores al concurso del estad…</t>
  </si>
  <si>
    <t>…ecesitar. El tomo 3.0, que es correspondiente al presente año, saldrá á luí en los meses primeros del próximo de 1817. Se hallará con el i.° en el despacho de la imprenta Real* El Sr. D. León de la Cámara Cano, del Consejo de S. M., ministro honorario en el Real y supremo de Hacienda, teniente corregidor interino de esta villa de Madrid, ha transferido para el dia 8 de Febrero de 1817 á la hora de las nueve de la mañana en las casas de su morada l…</t>
  </si>
  <si>
    <t>…saber para que concurran los que lo sean, 4 fin de resolver lo conveniente; en el supuesto de que al que no lo verifique le parará el perjuicio que haya lugar. Por providencia del Sr. D. León de la Cámara Cano, del Consejo de S. M., te niente primero de corregidor de esta villa de Madrid, y por la escribanía del nú mero y ayuntamiento défi cargo de D. Santiago de Estepar, 4 instancia del Pi prior del convento de S. Felipe el Reai, orden de 3. Agus…</t>
  </si>
  <si>
    <t>…ncia por no sufrir la dominación del gobierno intruso , han hecho sumamente sensible su pérdida , y su memoria será eterna para cuantos conocieron sus virtudes. Por el juzgado del Sr. D. León de la Cámara Cano, del Consejo de S. M. en el supremo de Hacienda, corregidor interino y teniente primero, y escribanía del nú mero de D. Vicente de la Costa, se han mandado sacar á pública subasta por tér mino de 30 días las porciones de tierra siguientes: u…</t>
  </si>
  <si>
    <t>León, Andrés de</t>
  </si>
  <si>
    <t>Andrés de León</t>
  </si>
  <si>
    <t>…mas Zerain i^oo rs. D. Francisco Beltran de Guevara 160. D. Rafael Crespo ico. D. josef Herrera 120. D. Juan Carrillo y Aguayo 70. D. Miguel Mu ñoz 320. D. Rafael Juanicotena 1$. D. Andrés de León 100. D. Antonio Ru iz 60. D. Angel del Riego 100. Geraido de la Fuente ^o. D. Juan de Pa nlagua 60. El colegio de escribanos 1500. D. Juan Xerez Palomo 40. D. Ber nabé Notario 160 D. Juan Xerez y Montes 40. D. Francisco Carrillo del Valle, administrador gener…</t>
  </si>
  <si>
    <t>León, Isabel Pcnce de</t>
  </si>
  <si>
    <t>Isabel Pcnce de León</t>
  </si>
  <si>
    <t>…iciados de Sta. María de Ronda un vale Real de 150 peso^: los vecinos de la villa de Sahagun 2236 rs. y 32 mrs. en dinero, y un recibo de 541 r&lt;. y 16 mrs. de intereses de vales : Doña Isabel Pcnce de León, vicii a de l beda , ha cedido 27010 rs. y 20 mrs. que se la debían de réditos de jnr&lt; s: Pon Santos de Rebles, vecino de la villa de Segura de la Sierra, provincia de M urcia, 2® rs. vn. en un recibo de 50 reses lanares que entregó al cgéicito: la comunidad…</t>
  </si>
  <si>
    <t>León, IX</t>
  </si>
  <si>
    <t>IX León</t>
  </si>
  <si>
    <t>…Real y supremo consejo de S. M. ha mandado se publique por 8 dús mas, á cuya virtud se ha hecho una puja de i9 rs. en la propia moneda. Quien qui siere hacer mej ra acuda ante el Sr. IX León de la Cámara Cano, del consejo de S. M. , teniente corregidor de esta villa , por la escribanía de su numero que egerce D. Juan Raya, y estí señalado para el segundo remate el día 2 2 de este mes á las 1 2 en la audiencia del mismo señor; y al propio tiempo s…</t>
  </si>
  <si>
    <t>León, Josef María de Mieses Ponce de</t>
  </si>
  <si>
    <t>Josef María de Mieses Ponce de León</t>
  </si>
  <si>
    <t>…ones y otros documentos interesantes, cuyos mayorazgos están fundados en Ciudad-Rodrigo, Zamora y las villas de Fuente La Peña y Canta La Piedra, y poseia en el año pasado de 1787 D. Josef María de Mieses Ponce de León, residente en la isla y ciudad de Sto. Domingo de América, acudirá á D. Manuel Villa Do mínguez Becquer, escribano de los reinos y de provincia de la Real audiencia de la ciudad de Sevilla. La pila de lana merina de la cabaña del hospital del Rey, cerca de Bu…</t>
  </si>
  <si>
    <t>León, Josef Pastor de</t>
  </si>
  <si>
    <t>Josef Pastor de León</t>
  </si>
  <si>
    <t>…do* ’ A lo que contestó S, MV'esb tar satisfecho de los sacrificios hechos por aquellos naturales, y descoso de acreditarles haber dado cumplimiento ¿ su comisión. , . t El P. Dr. D. Josef Pastor de León , presbítero de la Real congregación del oratorio de S. Felipe Neri de Lima ,.y comisionado .de,ella para felicitad á S. M. en su nombra, tuvo la honra de practicarlo pí&amp;Ucameqte el dia id del pasado en los términos siguientes: ■ ,,Señor: La Real congregación…</t>
  </si>
  <si>
    <t>León, Juan Martínez</t>
  </si>
  <si>
    <t>Juan Martínez León</t>
  </si>
  <si>
    <t>…Navio al primer piloto graduado de teniente de Fragata D. Juan Navarrete. A la graduación de tenientes de Fragata d los que lo están de alféreces de Navio D. Agustín Berlinguero, D. Juan Martínez León, D. Francisco de la Torre y D. Antonio Angarea. Para la graduación de alféreces de Navio d los que lo son en propiedad de Fragata D. Miguel Moreno y D. Pedro Juan Barceló. A la graduación de aférez de Fragata al primer piloto prdetico D. Antonio Armengual. OF…</t>
  </si>
  <si>
    <t>León, Mateo Ruiz de</t>
  </si>
  <si>
    <t>Mateo Ruiz de León</t>
  </si>
  <si>
    <t>…abildo eclesiástico de la iglesia catedral de Jaén : otra de la ciudad de Montilla; otra de la Real maestranza de Granada; y otra da la villa del Moral de Calatrava , compuesta de D. Mateo Ruiz de León y Don Juan del Corro; todos los cuales, en nombre de los pueblos ó corporaciones</t>
  </si>
  <si>
    <t>León, Nicolás de</t>
  </si>
  <si>
    <t>Nicolás de León</t>
  </si>
  <si>
    <t>…ieron la honra de felicitar á S. M. por so con tratado y augusto enlace el Excmo. Sr. duque de Montemar, presidente del consejo de Indias, D. Manuel de Godoi, vecino de Cazorla, y D. Nicolás de León, vecino de esta corte ; el primero de los cuales dijo: „Señor: La ciudad de Cazorla, cuya fidelidad á V. M. manifiestan aun</t>
  </si>
  <si>
    <t>León, Pió Rafael Sánchez de</t>
  </si>
  <si>
    <t>Pió Rafael Sánchez de León</t>
  </si>
  <si>
    <t>…ue, Villafranca de los Caballeros1, Villaharta , Consue gra , Herencia, Medina del Campo y el Toboso, tuvo la honra de felicitar á S. M. y Ai R. el vicario general de ellos el Dr. D. Pió Rafael Sánchez de León: otra de la villa de Camuñas, compuesta de D. Manuel María More no, D. Juan Manuel Díaz , D. Eusebio Romero , D. Juan Antonio López de la Oliva, D. Manuel Sánchez, D. Alonso María Sahagun y Chacón, y D. Lorenzo Romero: otra del ayuntamiento y clero de Villaru…</t>
  </si>
  <si>
    <t>León, Ü.</t>
  </si>
  <si>
    <t>Ü. León</t>
  </si>
  <si>
    <t>33° En virtud de providencia del Sr. Ü. León de la Cámara Cano, del consejo de S. M., primer teniente corregidor de esta villa , se cita, llama y emplaza á D. Juan Carabalio y Vera, ultimo tenedor de cuatro vales de 600 pesos de i.° de Setiem bre de 1809, señalados con los números 9771 , 133657, 138689…</t>
  </si>
  <si>
    <t>Leonor</t>
  </si>
  <si>
    <t>…su cuerpo incorrupto. La Señora Doña Teresa de Lara, esposa de D. Fernando el 11. Los Sres. Infames Don García y D Fernando , hijos dd Señor Rev D. Fernando el 11 La Sra. In fanta Doña Leonor, hermana del Sr. Rey S. Lernando. La Sra. Infanta Do ña María, hija dei Sr. Rey S. Fernando, vace incorrupta en este Real pan teón. Hay otros sepulcros en que deícansan la condesa Doña Inés, de la</t>
  </si>
  <si>
    <t>…rtud que no quiso ser abadesa: Doña Blanca, hija de D. Alonso iii, Rey de Portugal: Doña Blanca, hija del Infante D. Pedro: Doña Dulce, hija de los P^eyes D. Alonso y Doña Teresa: Doña Leonor, hija de D. Fernando el iv: Doña María de Aragón, hija de D. Fernando v de Aragón: Doña Elvira , hija de los Reyes de Navarra: Doña Leonor de Castilla, nieta de D. Pedro el Jus ticiero: Doña Ana de Austria, hija de D. Juan de Austria: Doña Isabtl de Molina, h…</t>
  </si>
  <si>
    <t>Leoti</t>
  </si>
  <si>
    <t>…nes que hagan siendo arre-, gladas; en el concepto de que debe principiar el arriendo desde i.° de Mayo de este año hasta fin de Marzo del siguiente de 1817. En el juzgado del Sr, D. Leoti de la Cámara Cano, del consejo de S. M. « pri mer teniente corregidor de esta heroica villa de Madrid &amp;c., y por la escribanía numeraria de D. Tomas de Sancha y Prado, se halla radicado el juicio universal de testamentaría de la Excma. Sra. Dona Teresa Salaza…</t>
  </si>
  <si>
    <t>Lerena, Juan de</t>
  </si>
  <si>
    <t>Juan de Lerena</t>
  </si>
  <si>
    <t>…Ciscar, D. Francisco Ristori y D. Santiago Soroa. A alféreces de Navio los de Fragata D. Luis Romero, D. Josef Sevilla, D. Félix Martínez, D. Ildefonso Yoldi, D. Josef del Solar, D. Juan de Lerena, D. Pedro Teruel, D. Ber nardo Roca, D. Luis Roca, D. Manuel de Llanos, D. Juan Cervino y Don Miguel del Solar. jEn el cuerpo de Ingenieros. Para el grado de ingenieros en gefe al en segundo D, Vicente Manterola y D. Joaquín María Perl., A ingeniero en segund…</t>
  </si>
  <si>
    <t>Leria, Leonardo de</t>
  </si>
  <si>
    <t>Leonardo de Leria</t>
  </si>
  <si>
    <t>…anegas de trigo. El mariscal de campo D. Juan Potous y Moxica su paga del presente mes de Diciembre. ----Los pueblos del corregimiento de las Alpujarras 6313 rs. vn. en dinero-----D. Leonardo de Leria , prebendado de la santa iglesia colegial de Zafra, 145 54 rs. vn. de su ministros hechos á las tropas. En la villa de Puebla de Cazalla, provincia y partido de Sevilla, se venden las fincas siguientes, correspondientes á; la testamentaría del Excmo. Sr. D. P…</t>
  </si>
  <si>
    <t>Lerin, Antonio Josef Santevaez y</t>
  </si>
  <si>
    <t>Antonio Josef Santevaez y Lerin</t>
  </si>
  <si>
    <t>…: para la de la debela d ’* ¡ro blados del Castañar á D. Francisco Fernandez Colavida: para la d Cu vico de la Torre á D. Josef Cuenca Saiz: para la de la Palma, reino J S^vl a. á D. Antonio Josef Santevaez y Lerin : para la de Monraíbar . aitio d* C rdoba, ¿ D. Juan Josef López: para la de Cea á D. Vicente i vz Sánchez: para la de Buendia á D. Felipe Mingojuan: para la de Sal.«s u&gt; I fuves i D. Ped.o Puma rejo y Velarde : para la de Pedraza á D. SanJti; &gt; Orne y Garay…</t>
  </si>
  <si>
    <t>Lernando, Rey S.</t>
  </si>
  <si>
    <t>Rey S. Lernando</t>
  </si>
  <si>
    <t>…Señora Doña Teresa de Lara, esposa de D. Fernando el 11. Los Sres. Infames Don García y D Fernando , hijos dd Señor Rev D. Fernando el 11 La Sra. In fanta Doña Leonor, hermana del Sr. Rey S. Lernando. La Sra. Infanta Do ña María, hija dei Sr. Rey S. Fernando, vace incorrupta en este Real pan teón. Hay otros sepulcros en que deícansan la condesa Doña Inés, de la</t>
  </si>
  <si>
    <t>Lerva, Manuel</t>
  </si>
  <si>
    <t>Manuel Lerva</t>
  </si>
  <si>
    <t>…Grado de capitán á D. Pedro Mateos , teniente del batallón de la Albuhera. Grado de teniente á De Juan Canelles, subteniente del batallón déla Albuhera. ; Grado de, subteniente á .D. Manuel Lerva, cadete del regimiento de Granada. La propiedad del empleo de alférez á D. Jaime Bach, sargento primero graduado de alférez de dragones de la Union. Grado de sargento, primero á Luis Ponce, sargento segundo del regi miento de Granada; y á Salvador Bautista, s…</t>
  </si>
  <si>
    <t>lS8 hombres á las órdenes del cadete de Granada D. Manuel Lerva, que preten dió el servicio mas expuesto para que se adelantase en guerrilla, continuan do el resto de la fuerza, hasta que oyendo las cajas enemigas y dos cañona zos, que nos parecieron anuncio de embarque, echamos al trote atropellan do por los obstáculos y…</t>
  </si>
  <si>
    <t>Les, Vicente de</t>
  </si>
  <si>
    <t>Vicente de Les</t>
  </si>
  <si>
    <t>…. 1503^6 de la creación de i.°-de Setiembre de 1806 , endosado por D. Pascual de Celada: otro de 150 pesos con el núm. 226296 de la creación de i.° de Enero de 1806, endosa do por D. Vicente de Les.: cuatro de 300 pesos con los núms. 28266, 22198, 32925 y 31904 de la creación de i.° de Setiembre de 1806, y otro de 30P pesos con el núm. .431801 de la creación de i.° de Mayo .de 1807, endosa dos por la viuda de Pasanau c hijo. Intereses de vales. De uno d…</t>
  </si>
  <si>
    <t>Li</t>
  </si>
  <si>
    <t>…os que quisie ren pretender dirigirán sus solicitudes al ayuntamiento y junta de diputación de veinteícu ttro por medio de D. Josef María Bnnifaz, procurador síndico general, y de D. Li 1r » Calder »n, comisionados para recibir memoriales y tomar los oportu nos informes ; previniéndose que el nombramiento de médico se ha de hacer &lt;1 dit 14 de Jubo del có rlente año por la mañana en la sala capitular. Se huí» vacante la plaza de maestro de pr…</t>
  </si>
  <si>
    <t>Li-r, Franco</t>
  </si>
  <si>
    <t>Franco Li-r</t>
  </si>
  <si>
    <t>…de mayor D. Félix Alonso y Calza y D^ Joaquín Mar Duel Carvajal, diputado del común, se dignaron también S. M. y A. R. admitir una diputación de la villa de Begijar., compuesta de D. Franco Li-r nares, D. Manuel Fernandez , D. Lorenzo de Cozar y D. Pedro Blanco, Io« cuales manifestaron los sentimientos de amor y lealtad que animaban á lo« vecinos de aquella villa hacia las augustas Personas de S. M. y A. R. Habiendo llegado aquel mismo dia las;Reales…</t>
  </si>
  <si>
    <t>Liaño, Manuel</t>
  </si>
  <si>
    <t>Manuel Liaño</t>
  </si>
  <si>
    <t>…ron prisioneros de guerra en Francia el mariscal de campo D. Fernando Poulle, los capitanes D. Josef Coupigni y D. Agustín de Mena, los primeros tenientes marques de Torrer nueva, D. Manuel Liaño, D. Josef Joaquín de Craivenkel, D. Teodoro Goiffieux, y el segundo teniente marques de Bassecourt, oficiales del expre sado cuerpo de Reales Guardias Walonas; ha tenido á bien S. M. declarar á todos los nominados oficiales libres de todo cargo , y acreedores…</t>
  </si>
  <si>
    <t>Lima, Vicente Sánchez</t>
  </si>
  <si>
    <t>Vicente Sánchez Lima</t>
  </si>
  <si>
    <t>…uques. En las cartas números 126 y 127 remite los partes que le han sido diri gidos por el comandante de la columna volante D. Julián Vayer y el capi tán de húsares de Fernando vn D. Vicente Sánchez Lima, procedente de la división del mando del brigadier D Pedro Ruiz de Porras, cuyas tro pas obraban de acuerdo, de los que resulta la destrucción de los insurgentes en Chinia, y los ríos Suin y Canea * haber sido aprehendidos los rebeldes Amador, Ribon, Cardites…</t>
  </si>
  <si>
    <t>…obación de S. M., se publican á continuación para satisfacción de los interesados. Grado de teniente coronel á D. Julián Bayer, capitán del batallón de cazadores de Extremadura; á D. Vicente Sánchez Lima, capitán de húsares de Fernando vu , y á D. Antonio Fominaya , capitán del fijo de Cartagena. Grado de capitán á D. Pedro Mateos , teniente del batallón de la Albuhera. Grado de teniente á De Juan Canelles, subteniente del batallón déla Albuhera. ; Grado de,…</t>
  </si>
  <si>
    <t>…ntos interesantes de Mompox , embocaduras de Nechí y Simiti, cuya última fuerza se dispo nía á entrar en Ocaña según los posteriores partes que he recibido, avanzan do e! teniente coronel D. Vicente Sánchez Lima, que manda la del Nechí, sobre Zaragoza y Cáceres: este oficial ha trabajado incesantemente, y lo re comiendo á V. E.; ío mismo que al de la propia clase D. Julián Bayes, es pitan del de cazadores de Extremadura, que b*tió y derrotó á los enemigos en Chima, s…</t>
  </si>
  <si>
    <t>Linares, Fermin Gil de</t>
  </si>
  <si>
    <t>Fermin Gil de Linares</t>
  </si>
  <si>
    <t>…Ortiz, digni dad de la catedral de Barcelona ; D. Melchor de Rocabruna, abad de Besalú; D. Santiago Diez Rodríguez, rector del lugar de Matiago en el obispado de Ciudad-Rodrigo ; D. Fermin Gil de Linares, fiscal de la audiencia de Extremadura; D. Fernando Gutiérrez, vecino de Campeche; D. Josef Moreno Martínez , contador de la tesorería gen. ral ;;D. Pedro Vázquez Balles teros, ministro de la Audiencia de Aragón ; D. Josef Ruiz de Copegni, vocal que fue de la…</t>
  </si>
  <si>
    <t>Linch, Arturo</t>
  </si>
  <si>
    <t>Arturo Linch</t>
  </si>
  <si>
    <t>…Juan de Panigo para comurica: c un asunto que le int 1 *sa por D. Ventura de Imaña, vecino y del co mercio de Cádiz, calle del Husillo alto, níim 56. Se desea saber el paradero iL D. Arturo Linch, que parece existió en las ciu dades de Sevilla y SanKicar de Barraméda por los años de 1740, ó á cualquiera de sus herederos, con cbj ?o de cierta noticia interesante que tiene que comunicarles D Balt usar Josct Riso, secretario del consulado de Sanlúcar de…</t>
  </si>
  <si>
    <t>Linois</t>
  </si>
  <si>
    <t>…. Este último está sin co municación. En dicha cárcel militar se hallan actualmente presos los genera les Belliard , Ornano, Cambronne, Qrouot , Debelie, Dufour, Decaen, el contra-almirante Linois y su hijo, los coroneles Boyer y Faudoas. La sentencia dada contra el conde de Lavalette se egecutó en estatua el dia 9 del corriente según la forma ordinaria. En la plaza de la casa de ayuntamiento ha estado pendiente de un poste el tiempo prefijado por la l…</t>
  </si>
  <si>
    <t>…cias matemáticas Cárnot, Josef Bonaparte, y Monge, conde de Peluse: de 4a cuarta clase ds;bellas artes Mr. David., El consejo de guerra que ha de juzgar el 6 de este mes al contra-almirante Linois, ex-gobernador de la isla de Guadalupe, y al barón Boyer, será pre sidido por el teniente general Lauriston, par de Francia, comandante de la primera división de infantería de 4$. guardia Real. Mr. de Sesmaisons, coronel ae estado mayor de la misma guardia ,…</t>
  </si>
  <si>
    <t>284 . ■ ' dúos de las dos cámaras, y varios generales y oficiales superiores de todas armas. Mañana deben ser juzgados definitivamente el almirante Linois y el ge neral Boyer. Se ha visto hoy en el palacio de las Tullecías por primera vez á Mr. de Villedeiul, antiguo ministro de Luis xvi, que estaba en Inglaterra. La guardia nacional de Lila ha ofrecido á.S. M. la Cantidad de 20924 francos; ademas de lo cual no…</t>
  </si>
  <si>
    <t>Linoisy</t>
  </si>
  <si>
    <t>…Worsley, que quería reducir este número á 100® hombres, fue adoptado el proyecto de los ministros. FRANCIA. París jj de Marzo« El consejo de guerra nombrado para juzgar al contra-almirante Linoisy al coronel Boyer, ha declarado inocente al primero y culpable al segundo de insubordinación y rebelión, condenándole en consecuencia á la pena de muerte. El ministro-del Interior, vista la nomina de los empleados municipales que el prefecto del departamento d…</t>
  </si>
  <si>
    <t>Lis, Vicente Bdtran de</t>
  </si>
  <si>
    <t>Vicente Bdtran de Lis</t>
  </si>
  <si>
    <t>…los privilegios concedidos á la Real Compañía de Filipinas, ratificados en la Real orden circulada en 13 de Octubre de 1814. 9.0 Que los géneros que esten permitidos introducir á D. Vicente Bdtran de Lis y á la Compañía de Navegación del Guadalquivir queden sujetos ai tiem po que se registren á su entrada afsello, que deberá ser particular para los géneros de cada uno de estos privilegiados, bajo la misma pena que se desig na en el capítulo 3.0, para evitar l…</t>
  </si>
  <si>
    <t>Lis, Vicente Reltran de</t>
  </si>
  <si>
    <t>Vicente Reltran de Lis</t>
  </si>
  <si>
    <t>…érmino fijo para expebder las existencias. Que sin embargo de estas terminantes disposiciones , y á la som bra de los permisos concedidos en el ano próximo pasado y el corriente á D. Vicente Reltran de Lis, á la Compañía del Guadalquivir y á D. Gui llermo Glass, de Sevilla , se-han hecho y están haciendo de continuo por</t>
  </si>
  <si>
    <t>Lisbona, León</t>
  </si>
  <si>
    <t>León Lisbona</t>
  </si>
  <si>
    <t>…mani festar sus dos factores oxigeno é hidrógeno. Estos mismos componentes los combinó de nuevo, y se recompuso el agua, completando asi su análisis de un modo incontestable. El 8 D. León Lisbona explicó la naturaleza química, propiedades y combinaciones del ácido hidroclórico, clore y ácido dórico. Extraídos estos ácidos por l^s medios generalmente empleados, demostró la simplicidad del clore, los factores del ácido dórico, el oxigeno y clore, y tamb…</t>
  </si>
  <si>
    <t>Lison, Josef Escudero y</t>
  </si>
  <si>
    <t>Josef Escudero y Lison</t>
  </si>
  <si>
    <t>…Octubre. Este ayuntamiento ansioso de manifestar su íntimo y sincero amor y lealtad á sus legítimos Soberanos, luego que fue informado por el general gobernador político y militar D. Josef Escudero y Lison de que la Reina nuestra Señora y Serma. Sra. Infanta habían arribado felizmente al puerto de Cádiz , conforme con los deseos de este fidelísimo pueblo, acordó se ilumi nase la ciudad en las tres noches consecutivas para celebrar tan fausto acon tecimiento; y…</t>
  </si>
  <si>
    <t>Liverpoobá</t>
  </si>
  <si>
    <t>…os cogieron 20 de los amotinados, y dispersaron entera mente á los demas. Lord corregidor, acompañado de-sir William Curtís y otros del ayun tamiento, pasó ayer á la secretaría de lord Liverpoobá tratar del asunto de' las prisiones; y habiendo presentado en la secretaría los informes que habiapodido adquirir sobre los alborotos , se siguió una larga consulta.’A las tres1 ae la tarde volvió lord corregidor á la casa de la ciudad , donde estuvo ocu pado…</t>
  </si>
  <si>
    <t>Liverpool</t>
  </si>
  <si>
    <t>…os en el nuestro. Sin em bargo debo hacer presente que no entiendo exista algún motivo de acusación contra el lord Kinnaird. Lord Holland se dio por satisfecho con la respuesta de lord Liverpool, mayormente habiendo este manifestado no haber acusación que pudiese com prometer el honor de su amigo. ' FRANCIA. Parts j8 de Febrero. El ministro secretaría de Estado dél departamento de la Policía gene ral del reino ha dado orden para buscar y arrestar, en…</t>
  </si>
  <si>
    <t>243</t>
  </si>
  <si>
    <t>…n contra. Ayer en la cámara de los pares el marques de Landsdown habló de cier tos rumores que se habian esparcido en el público, sobre los cuales hubiera hecho varias preguntas á lord Liverpool, si se hubiese hallado presente , pa ra saber si las cantidades que la Francia debía pagar á la Inglaterra en lugar de cesiones territoriales pertenecen al estado ó al Soberano individualmente, á quien atribuyan el proyecto de apropiárselas. En la cámara de l…</t>
  </si>
  <si>
    <t>…ruso la ha publicado por entero para hacer ver que reina entre las dos cortes la mejor inteligencia. Se repite la noticia de una mudanza en el ministerio. Dícese que se reti rarán lord Liverpool y lord Simouth ; que el primero será reemplazado por lord Castlereahg, quien ascenderá á la dignidad de par, y que el segundo será substituido por el marques de Wellesley, debiendo suceder Mr. Canning á lord Castlereagh. Idem 22. El fcónde de Donoughmore hizo…</t>
  </si>
  <si>
    <t>…al, en el sitio lla mado Spa-fields , una reunión sediciosa de gentes del populacho, con cuyo mo tivo se juntaron en casa de lord Sidinouth, ministro del Interior, lord Bathursr , lord Liverpool, Mr. Wellesley-Pole y Mr. C. Long, y hubo dife rentes comunicaciones entre aquel ministerio y el Príncipe Regente. Durante</t>
  </si>
  <si>
    <t>Lizarza, Fernando</t>
  </si>
  <si>
    <t>Fernando Lizarza</t>
  </si>
  <si>
    <t>…° de Octubre de 1816. El Exento. Sr. Secretario del Despacho de Marina ha recibido los partes . siguientes del comandante de las fuerzas marítimas de Guanana el te niente de navio D. Fernando Lizarza: .,, Éxcmo. Sr.: Habiendo sabido que en el caño de Tigre y los adyacen tes t inmediato al sitio de Tabasca, en donde los insurgentes tienen su cuar tel general , había varias embarcaciones destinadas á traerles socorros de las colonias extrangeras, dispuse qu…</t>
  </si>
  <si>
    <t>Llamas, Josef de</t>
  </si>
  <si>
    <t>Josef de Llamas</t>
  </si>
  <si>
    <t>…esta villa, dada por la escribanía del número de D. Cristóbal de Vicuña, se cita, llama y emplaza á D. Ramón Aguilar y No guera, D. Simón de Amaga, D. Josef Vicente de Iraz.ibal, D. Josef de Llamas, Dona Josefa lgnacia de Muxica , I). Juan Bautista de Torres y D. Juan Simón de A muga , tenedores de nueve vales Reales de 300 pesos, de Mayo de 808, señaiados con los números 423341, 430446, 430726, 434266, 436122, 439757, 440896, 440894 y 447748, para que…</t>
  </si>
  <si>
    <t>Llamas, Sancho de</t>
  </si>
  <si>
    <t>Sancho de Llamas</t>
  </si>
  <si>
    <t>…dula de 6 de Junio de 1793 * compuesto de D. Manuel de Lardizaval y D. Bernardo Rierza por el Consejo de Castilla; el Conde de Torre Muzquiz y D. Bruno Vallnrino por el de Indias; D. Sancho de Llamas y D. Juan Antonio Fernandez de Quesada por el de Hacienda , nombrando por Fiscal á D. Bernardo Mozo Rosales, Fiscal antes, y ahora Ministro del Consejo de Hacienda; y para Secretario con voto á D. Anacleto Fagoaga y Dutari, Ministro de la Chancillería de Granada, con plena jurisdicción…</t>
  </si>
  <si>
    <t>…=r Yo D. Alfonso de Ibarra, Secretario del Rey nuestro Señor, lo hice escribir por su mandado =El Almirante Duque de Vera zúa. == Don Víctor Rascón. = D. Josef Martines de Bustos ^D. Sancho de Llamas, ss D. Amonio AlcaU Gali&amp;no. En atención á los dilatados y buenos servicios d.' D Josef Ramón Caxide Tabeada , tesorero de egército que era del de Castilla la Viej- , y comi sario ordenador honorario, se ha servido S. M. conferirle la ’O dad de tal comisario…</t>
  </si>
  <si>
    <t>Llano</t>
  </si>
  <si>
    <t>…e Cóporo, extraídos de varias rancherías y pue blos , apresando al teniente de rebeldes Felipe Pico, que era el que los con ducía , el cual fue pasado por las armas. Al mencionado brigadier Llano participa D. Nicanor Lazcano des de la hacienda dicha de la Barranca , con fecna de 16 de Octubre, que por orden del capitán D. Miguel Barragan pasó á la hacienda de S. Vicente para dar auxilio á la fuerza que había alii, y que en ella supo el suceso desgra c…</t>
  </si>
  <si>
    <t>…cautelas ne cesarias á las órdenes del Excmo. Sr. D. Joaquín de la Pezuela, á quien le di cuenta en el mismo acto por extraordinario. ,,Ha pasado también por las armas el teniente coronel Llano á 12 de los cabecillas, y el coronel Abeleira á 18 de los mismos; de manera que si hubiese uno ú otro mas dé los*de esta clase prófugos, los propios indios han de entregarlos; pues hasta el pérfido Esquivel y Mariano Galvez, que pudie ron fugarse,el primero r…</t>
  </si>
  <si>
    <t>Llano, Ambrosio de</t>
  </si>
  <si>
    <t>Ambrosio de Llano</t>
  </si>
  <si>
    <t>…e por fallecimiento de D. Fr. Francisco Ronset, á Fr. Ber nardo del Espíritu Santo , provincial de Carmelitas descalzos de México; pa ra el de Chiapa, vacante por fallecimiento de D. Ambrosio de Llano , á Don Salvador Samartin, prebendado de la catedral de Guadalajara: para el de la Pa z, vacante por renuncia de D. Remigio de la Santa y Ortega, á D. Diego Antonio Navarro Martin de Villodres. Asimismo se ha servido S. M. conferir plaza de oidor en la Real a…</t>
  </si>
  <si>
    <t>Llano, Ciríaco de</t>
  </si>
  <si>
    <t>Ciríaco de Llano</t>
  </si>
  <si>
    <t>…logrando qui tarle el caballo , una carabina, una pistola y un machete, con cuya presa iba el expresado comandante á gratificar al citado cabo Silva por su distinguida acción. El brigadier D. Ciríaco de Llano refiere, con fecha de 18 de Octubre, que sabedor de que los rebeldes conducían prisionero para Cóporo al capitán de Realistas de la hacienda de la Barranca L&gt;. Martin Montero de Arritola con otros dos, hizo salir la madrugada del 17, con el objeto de libertar…</t>
  </si>
  <si>
    <t>Llano, Fernando Queipo de</t>
  </si>
  <si>
    <t>Fernando Queipo de Llano</t>
  </si>
  <si>
    <t>…debe hacerlos algún dia útiles á sí mismos y al Estado. Madrid de Marzo. El dia 11 de este mes cumplimentaron á S. M. en nombre de la Real maes tranza de Ronda D. Pedro Cevallos, D. Fernando Queipo de Llano y Don Domingo Ramírez de Arellano. con el plausible motivo de su concertado matrimonio con la Serma. Sra. Infanta Doña María Isabel Francisca, y en seguida lo hicieron al Sr. Infante D. Carlos por su ajustado casamiento con la Serma*Sra.Infanta Doña María Francisca de Asís ; y asi…</t>
  </si>
  <si>
    <t>…pañado de los Excelen tísimos Sres. marques de Campo Sagrado, secretario de Estado y del despa cho universal de la Guerra, del marques de Feria, su gentilhombre de ser vicio, y de D. Fernando Queipo de Llano, gentilhombre y secretario de S. A.; del genti hombre con entrada D. Joaquín Palacios, y del mayordo mo de semana D. Ramón Valdés: S. A. se dignó examinar y enterarse muy detenidamente del objeto y trabaj) en que se ocupa cada una de las seccio nes en que se…</t>
  </si>
  <si>
    <t>…de resultar el bien y la prosperidad de sus amados vasallos. El dia 7 del presente felicitaron á SS. MM., en nombre del Pveal cuer po de maestranza caballería de Ronda, el Excino. Sr. D. Fernando Queipo de Llano y D. Domingo Ramírez Areliano, individuos de la misma , en los términos siguientes: ,,Señor: El Real cuerpo de maestranza caballería de Ronda nos comisio na para que tengamos la honra de exponer á L. R. P. de VV. MM. la su ma satisfacción con que se halla al ver efectuado…</t>
  </si>
  <si>
    <t>Llano, Josef de</t>
  </si>
  <si>
    <t>Josef de Llano</t>
  </si>
  <si>
    <t>…blico, tengo la satisfacción de representar á V. E, haber Terminado en mi concepto aquellas conmociones. „Tan feliz suceso es debido á las armas del Rey, mandadas por el te niente coronel D. Josef de Llano en la capital de Larecaja y sus pueblos in mediatos , y al coronel D. Josef Bernardo Abeleira, como también á ,mis pro clamas aprobadas por V. E., y á los ulteriores medios que he tomado. ,,Ellos han despreocupado á la multitud de indios de las seducciones ca…</t>
  </si>
  <si>
    <t>Llanos, Blas</t>
  </si>
  <si>
    <t>Blas Llanos</t>
  </si>
  <si>
    <t>…e para el citado ofiJa'l. Observaciones médico-políticas sobre la estimación, vicios y defectos que han tenido y tienen las profesiones y profesores del arte de curar, por el Lie. D. Blas Llanos, profesor de medicina en esta corte &amp;c. Esta obrita, aunque de poco vo* lumen, presenta el cuadro de los males y perjuicios que la ignorancia y los abusos han producido en la salud común y particular aun en los pueblos y tiempos mas ílustrados.’En ella se anu…</t>
  </si>
  <si>
    <t>Llanos, Manuel de</t>
  </si>
  <si>
    <t>Manuel de Llanos</t>
  </si>
  <si>
    <t>…io los de Fragata D. Luis Romero, D. Josef Sevilla, D. Félix Martínez, D. Ildefonso Yoldi, D. Josef del Solar, D. Juan de Lerena, D. Pedro Teruel, D. Ber nardo Roca, D. Luis Roca, D. Manuel de Llanos, D. Juan Cervino y Don Miguel del Solar. jEn el cuerpo de Ingenieros. Para el grado de ingenieros en gefe al en segundo D, Vicente Manterola y D. Joaquín María Perl., A ingeniero en segundo al ordinario D, Diego de Parra, En el cuerpo de brigadas de artillerí…</t>
  </si>
  <si>
    <t>Llanos, Victoriano López</t>
  </si>
  <si>
    <t>Victoriano López Llanos</t>
  </si>
  <si>
    <t>…onio Sotelo , D. Manuel Zaragoza , D. Felipe Roldan , Don Antonio Urzais y D. Juan Mesías: el de alféreces de fragata á los guardias marinas D. Juan Mozo, D. Segundo Díaz Herrera, D. Victoriano López Llanos, D. Josef Salcedo, D. Francisco Osorio , D. Manuel Ibarra, D. Ma nuel Ortiz Canelas y D. Francisco S* Pedro: el de teniente de fragSta gra duado en su clase de contra-maestre á D Sebastian Garrido:el de ayudante de contra- maestre de construcción á D. Manuel…</t>
  </si>
  <si>
    <t>Llar, Francisco Antonio Fernandez</t>
  </si>
  <si>
    <t>Francisco Antonio Fernandez Llar</t>
  </si>
  <si>
    <t>…in ha berlo hecho les pirará el perjuicio que haya lugar. En los dias 23 de Febrero y 5 de Marzo de este año se pusieron en el correo general de esta corte dos pliegos rotulados á D. Francisco Antonio Fernandez Llar, presbítero, residente en Cádiz. El primero contenía un Real título por duplicado de dignidad de arcediano de Valladolid de Mechoacan á Favor de D. Manuel de la Bar cena, y el segundo otro Real título, también duplicado, de dignidad de chantre de la misma san…</t>
  </si>
  <si>
    <t>Lledó, Gabriel</t>
  </si>
  <si>
    <t>Gabriel Lledó</t>
  </si>
  <si>
    <t>…ienvenga y D. Juan del Villar López. A la graduación de alféreces de Fragata á los primeros contramaestre* D. Josef del Pino, D. Domingo Pineirua, D. Justo López, D. Andrés Cerda, D. Gabriel Lledó, D. Josef Tuells y D. GabrieTSousa. CUERPO DE MEDICO'CIRUJANOS DE LA REAL ARMADA. Honores de médico consultor al primer médico-cirujano de la matrícula de Malaga D. Josef Salamanca. Honores de primer profesor médico-cirujano al médico-cirujano aprobado D. Alo…</t>
  </si>
  <si>
    <t>Lledó, Josef</t>
  </si>
  <si>
    <t>Josef Lledó</t>
  </si>
  <si>
    <t>…cia, D. Eugenio García, canónigo, y su arcediano titular, con honores de la Rota,D. Francisco Gar cía Jara ,canónigo, y dignidad de chantre de la misma ,y juez de la Nuncia tura , D. Josef Lledó , canónigo también de ella, y consejero de Ordenes, y O. Juan López Pelegrin , capellán de honor de S. M., y canónigo de la pro pia iglesia; y el primero dijo: ^eñor: El cabildo de la santa iglesia de Cartagena de Murcia , que debe á Dios el singular benefici…</t>
  </si>
  <si>
    <t>Llera, Mariano Escando y</t>
  </si>
  <si>
    <t>Mariano Escando y Llera</t>
  </si>
  <si>
    <t>…n Maza y Paz á la de chantre de la misma, á D. Josef Serrano'Sánchez; y para la dignidad de arcediano de la santa iglesia catedral de Valladolid de Mechoacan, por fallecimiento de D. Mariano Escando y Llera , á D, Ma nuel de la Barcena. . ; Igualmente se ha servido S. M. nombrar para una plaza de oidor de la audiencia de Charcas á JD. Teodoro Andrés de, Regules Viilasantc, vacante por traslación de D. Manuel Plácido de Berriozabal á ídcaldc del crimen de •la de…</t>
  </si>
  <si>
    <t>Lleven</t>
  </si>
  <si>
    <t>…de los Soberanos del Norte. Ha llegado un correo de gabinete con pliegos importantes de lord Cathcart , embaidor en Petersburgo , y también los ha traído del Gobierno ruso para el conde Lleven. El correo pasó por Berlin, y solo ha tardado 16 dias. ESPAÑA. Cor uña 6 de Agosto. Rsfe Real consulado, en cumplimiento de lo prevenido por S. M. en el artículo 6.° del método de estudios á que se arreglan las cátedras de ma temática y navegación, que costea…</t>
  </si>
  <si>
    <t>…rd Beresford, procedente del Brasil. ’ • • ' El Príncipe Regente díó el dia 4 un granbanquete, en el que se hallaron el duque de Cambridge , el conde y la condesa de Bathurst , el conde Lleven y su esposa, el embajador de España, el conde de Fise, Mr. y madama Arbuthnot, y otros varios personages. *. El lord corregidor de Londres, acompañado del ayuntamiento con toda la comitiva y ceremonia de tan ilustre cuerpo, se ha presentado al Príncipe Regent…</t>
  </si>
  <si>
    <t>Llórente, Juan Antonio</t>
  </si>
  <si>
    <t>Juan Antonio Llórente</t>
  </si>
  <si>
    <t>…la historia razonada de la gloriosa revolución de España , constará de dos tomos en 8.°: en el primero se refuta la obra titulada Anales de la Inquisición de España, compuesta por D. Juan Antonio Llórente; y en el segundo se refuta el decreto y manifiesto de las cortes de Cádiz para su supresión. El mérito principal de esta obra consiste no solo en dar una razón histórica de las juntas causas que tuvieron los Rér yes para establecer la Inquisición y conservarl…</t>
  </si>
  <si>
    <t>…ma, con sus respectivos guiones para gobierno de los encuadernadores. Los subscriptores í la obra titulada la Inquisición justamente restablecida, ó im pugna, ion de los anales de D. Juan Antonio Llórente, y del manifiesto de las cor tes de Cádiz, acudirán á recoger los dos tomos á la librería de Perer. En esta obra se da razón de los justos motivos que tuvieron los Reyes católicos para establecer la 1 nquisicion, y conservarla sus sucesores; de las causas cél…</t>
  </si>
  <si>
    <t>Lo</t>
  </si>
  <si>
    <t>…s tinajas correspondientes. Las personas que quisiesen comprarla pueden tratar con D. Manuel Francisco del Castillo, en Madrid, calle de Postas, ó en la misma villa de Mojados con D. Lo renzo Valdés, escribano de ella. Un vecino de la ciudad de Guayaquil, en el Perú, solicita saber si viven en España Doña Catalina Ximenez y Doña Rosa Vizcaína, para comunicarles un asunto que les interesa, de que las instruirá D. Ventura de Imana, vecino y de…</t>
  </si>
  <si>
    <t>Ló, Antonio</t>
  </si>
  <si>
    <t>Antonio Ló</t>
  </si>
  <si>
    <t>…de otro de 150 pesos de la propia crea ción número 197748, para que en el término de 30 dias, contados desde 26 del corríante, comparezcan á su juzgado y escribanía del número de D. Antonio Ló pez de Salazar á deducir las acciones y derechos que les competa en las diligencias de reclamación que se ha hecho de dichos vales; y pasado dicho término sin haber lo hecho, sin mas citarles ni emplazarles se procederá á lo que corresponda, y les parará el p…</t>
  </si>
  <si>
    <t>Ló, Diego</t>
  </si>
  <si>
    <t>Diego Ló</t>
  </si>
  <si>
    <t>1286</t>
  </si>
  <si>
    <t>…nsiguiente D. Pedro Nicolás del Valle, que concurrió á la Junta sin representación de su Consejo por no haberse expre sado esta circunstancia en el nombramiento , debió preceder á D. Diego Ló pez Badillos, que tampoco la tenia de su respectivo Cpnsejo. Por estas con sideraciones , y cumpliendo el Consejo con proponer á V. M. la reglá gene ral que evite en lo sucesivo iguales contestaciones, es de parecer de que V. M. podrá servirse mandar que el R…</t>
  </si>
  <si>
    <t>Ló, Luis</t>
  </si>
  <si>
    <t>Luis Ló</t>
  </si>
  <si>
    <t>…ico para su inteligencia. Por providencia del Sr. D. Josef Salvador López del Pan , del consejo de S. M. alcalde.d*e casa y corte, dictada el día 6 del corriente, y refrendada por D. Luis Ló pez de Castro, escribano de Provincia y comisiones de la misma, se ha señalado para el remate de una.huerta de secano, con su casa de moderna planta, compuesta de las oficinas correspondientes, de caber j8 fanegcas y 2 celemines, con varios ar boles frutales,…</t>
  </si>
  <si>
    <t>Ló, Manuel</t>
  </si>
  <si>
    <t>Manuel Ló</t>
  </si>
  <si>
    <t>…nía del número de D. Miguel Gonzalo. En el juzgado del Sr. Bk, Josef Manuel de Arjona , del Consejo de S. M., su alcalde d? casa y corte, y escribanía de provincia y comisiones de D. Manuel Ló pez de R ivas, se h tilín radicados los autos de testamentaría formados por los res pectivos fallecimientos de Braulio Aícazar, Martina Barragan, su muger, y María García, madre de esta, vecinos que fueron de los lugares de Carabanchel alto y bajo: y í instan…</t>
  </si>
  <si>
    <t>…cardenal CottsaLvi, R. arzobispo de Valencia, R. obis po de Cuenca, R. obispo de Cádiz, y á los Sres. Secretarios del Despa cho de Marina D. Josef Vázquez Figueroa, y de Hacienda D. Manuel Ló pez Araujo. r- f &lt; Cruces supernumerarias i A D. Antonio Colomer de Prades, natural de Morelfe; D. Vicente María Aguiar , dignidad de la catedral de Mondoñedo ; D* Juan JosefiFagoaga, ve cino de México ; D. Juan PedraGómez, natural de Talavera de la Reina; D.…</t>
  </si>
  <si>
    <t>Lobato, Pedro Brenes</t>
  </si>
  <si>
    <t>Pedro Brenes Lobato</t>
  </si>
  <si>
    <t>…e Quesada á D. Dionisio González: para la de Palma del Rio á D. Cristóbal Benitez: para ía de Salas de los Infantes á D. Sandalio de Or ne y Garav : para la de Villalba de Alcor á D. Pedro Brenes Lobato: para la del Viso de Alcor á D. Antonio María de Rodas: para la de las Peñas de S. Pedro de nueva creación á D. Fernando Antonio Navarro : para la JsSacedon á D. Mariano Robledo: para la de Villablino á D. Josef García Al fonso: para la de la villa del Cerro…</t>
  </si>
  <si>
    <t>Lobau</t>
  </si>
  <si>
    <t>…s inmediaciones, y de Lepelletier, que se sabe estaba en las cerca nías de Lieja, y en cuya ciudad se reunían los desterrados de mas nombre. Brice, Despres, Sarrazin , Courtin, el general Lobau y algunos otros están todavía aquí; pero se espera que en breve recibirán la orden de salir. Se sabe que el general Vandamme, que estaba en Gante, ha recibido también orden de salir de alli. Los embajadores y ministros extrangeros, asi como los individuos de…</t>
  </si>
  <si>
    <t>Lobera, Mariano</t>
  </si>
  <si>
    <t>Mariano Lobera</t>
  </si>
  <si>
    <t>…á nombre de la ciudad de Calatayud , el Excmo. Sr. duque de Híjar, el coronel graduado de los Reales egércitos D. Luis Carpintero, gobernador militar y político de dicha ciudad , D. Mariano Lobera, consejero de guerra jubilado, y D. Ma riano Beaumont y Bretón ,abogado de los Reales Consejos,y regidor perpe tuo del mismo pueblo; quienes dijeron á S. M.: ,,No ha habido dia mas feliz para Calatayud que el que asegura la pros peridad de España en la sucesi…</t>
  </si>
  <si>
    <t>Lobo, Tomas</t>
  </si>
  <si>
    <t>Tomas Lobo</t>
  </si>
  <si>
    <t>…la Real Orden Española de Carlos i'i. Tendrcislo entendido, y dis pondréis lo necesario á su cumplimiento. =r Rubricado de la Real mano. =: En Palacio á 20 de Febrero de 1816. = A D. Tomas Lobo. 2.0 Deseando acreditar á D. Pedro Cevallos, mi primer Secretario de Estado y del Despacho universal, lo satisfecho que me hallo de sus buenos y particulares servicios, y de su amor y fidelidad constante á mi Persona^ y atendiendo también á sus distinguidas c…</t>
  </si>
  <si>
    <t>Loewenhielm, Gustavo</t>
  </si>
  <si>
    <t>Gustavo Loewenhielm</t>
  </si>
  <si>
    <t>…duque Miguel los acompañaron hasta cierta distancia. Orillas del Vístula 1$ de Setiembre. •./. &gt;♦. Después del restablecimiento de la paz general, la corte de Suecia comi sionó al conde Gustavo Loewenhielm para felicitar &amp;‘S. M. el Emperador de Rusia , y este Monarca envió por su parte á Stockolmo al mayor general Pau lo dé Súchteien, hijo primogénito de su ministro plenipotenciario en Suecia.</t>
  </si>
  <si>
    <t>Loizaga, Casimiro de</t>
  </si>
  <si>
    <t>Casimiro de Loizaga</t>
  </si>
  <si>
    <t>…Miranda , grande de España de primera clase , mayordomo mayor de S.M, &amp;c.; D. Josef de Arteaga, capitán general de Castilla la Nueva, gen tilhombre de Cámara con egercicio &amp;c., y D. Casimiro de Loizaga, diputadoí'en corte; el primero de ios cuales arengó á SS. MM. diciendo entre otras cosas lo siguiente: «V ,,La constante lealtad y amor á sus Soberanos caracterizan á Vizcaya, .cuya actual generación ha excedido, si posible fuera, en repeler las inmen sas hu…</t>
  </si>
  <si>
    <t>Lombera, Cirios Hauria de</t>
  </si>
  <si>
    <t>Cirios Hauria de Lombera</t>
  </si>
  <si>
    <t>…en Andalu cía; D. Antonio del Rio, teniente de los Reales egércitos,regidor del ayun tamiento de dicha ciudad; D. Josef Callejón y Chacón ,maestrante del Real cuerpo de Granada, y D. Cirios Hauria de Lombera, secretario segundo deí mismo ayuntamiento; quienes manifestaron á S. M, y A. los sentimien tos del amor y acendrada lealtad que animaban á aquellos habitantes. Con fecha de 30 de Setiembre dirigieron el alcalde mayor y ayuntamien to de la ciudad de Medinasid…</t>
  </si>
  <si>
    <t>Londoño, Ramón</t>
  </si>
  <si>
    <t>Ramón Londoño</t>
  </si>
  <si>
    <t>…cinto Marcaida y D,.Francisco Topete: el,de tenientes de navio á los tenientes de fragata D. Simón Ponce y D. Ignacio Chacón r el de te nientes de fragata á los alféreces de navio D. Ramón Londoño , D. Manuel Mieres y D. Juan Bautista Martínez: el de tenientes de fragata graduados á los alféreces de navio D Vicente Sánchez Cerquero y D. Josef Cabezas, pi loto de la clase de primeros'de la armada: el de alféreces de navio á los de fragata D. Juan Montan…</t>
  </si>
  <si>
    <t>Longfort</t>
  </si>
  <si>
    <t>…re hizo ayer en la cámara de los pares la pro puesta de que el parlamento tomase en consideración á principios de la se sión próxima las peticiones de los católicos de Irlanda. El conde Longfort se opuso á la propuesta, diciendo que no convenía fijar época para esta discusión, pues asi podría acontecer que se empezase in tempestivamente y en circunstancias poco favorables á los mismos católicos. El duque de Susex (hijo del Rey) habló enérgicamente en…</t>
  </si>
  <si>
    <t>López, Alfonso</t>
  </si>
  <si>
    <t>Alfonso López</t>
  </si>
  <si>
    <t>…calde de segundo voto, 400. D. Diego Ramírez, regidor síndico procura dor general, 60. Bartolomé Garijo, regidor segundo, 100. D. Sebastian Ra fael Camacho, diputado primero, 150. D. Alfonso López, diputado segun do, 50. D. Bartolomé de Castro 400. D. Juan Blas Herrera, escribano de ayuntamiento, 100. D. Juan Luis Jurado 300. D. Martin de Castro 300. D. Josef de Prado 500. D. Andrés Jurado 200. D. Rafael Zamorano 200. D. Juan Zamorano 300. D. Alfonso Z…</t>
  </si>
  <si>
    <t>López, Ana de Castro</t>
  </si>
  <si>
    <t>Ana de Castro López</t>
  </si>
  <si>
    <t>…ra 300. D. Alfonso Jurado 100. D. Fran cisco Molina 100. D. Lorenzo Molino 100. D. Agustín Perez de la Las tra 100. Doña María Josefa Jurado 100. D. Sebastian de Castro López 300. Doña Ana de Castro López 100. Juan de Murez iod. Doña María Josefa Zamorano 200. Doña Luisa Espinosa 200. D. Pedro Juan de Molina 200. Doña Catalina Zamorano 370. D. Juan Blas Zamorano 60. D. Rafael de Blancas 60. D. Andrés Ramírez Sousa .60. D, Antonio Melero 60. D. Pablo del Valle…</t>
  </si>
  <si>
    <t>López, Antonio</t>
  </si>
  <si>
    <t>Antonio López</t>
  </si>
  <si>
    <t>…aHecas, propia de Dofia Isabel Fernandez , de aquella vecindad, que se halla tasada en 8350 rs. Quien quisiere hacer postura acuda ante dicho señor juez y escribanía del número de D. Antonio López de oalazar, que se admitirán sien do arregladas. Por providencia del Sr. D. León de la Cámara Cano, del Consejo de S. M., primer teniente corregidor de esta villa, refrendada del escribano del número Don Antonio López de SaTazar, se ha señalado para el remate…</t>
  </si>
  <si>
    <t>López, Blas</t>
  </si>
  <si>
    <t>Blas López</t>
  </si>
  <si>
    <t>…anuel Cono uno: D. Fernando Carrillo uno: D. Josef Cantalapiedr» uno: D. Tomas Medina uno: D. Josef Salinas uno: D. Fernando Acuña uno: D. Nicolás Suarcz dos: D. Josef Robles uno: D. Blas López cuatro: el mar ques de Villadangos dos : e! marques de Castrojanillos dos: D. Josef Quiño nes dos: D. Claudio Quijada dos: D. Bernardo Escovar dos: D. Manuel Lorenzana uno : el provisor dos : los señores Jclís y compañía dos : D. Ma nuel Castaáon dos: D. Jose…</t>
  </si>
  <si>
    <t>López, Diego</t>
  </si>
  <si>
    <t>Diego López</t>
  </si>
  <si>
    <t>…manifestó sur grata benignidad con la bondad que le es característica. El mismo dia 22 tuvieron la honra de felicitar á S. M. el conde de Tep »**» marques de Pradoalegre y el Lie. D. Diego López, quien arengando S. M. dijo entre otras cosas: ,,Animada la villa de Coinde la mas acendrada fidelidad, no hubo sacri ficio que no emplease para sostener la sama causa, y lograr la restitución de su Rey. Ni la fer qidad de los invasores ni la astucia del Gobi…</t>
  </si>
  <si>
    <t>López, Félix Máximo</t>
  </si>
  <si>
    <t>Félix Máximo López</t>
  </si>
  <si>
    <t>…es al Estado y i sí mis tóos. Un tomo en 8.° Se hallará en las librerías de Villa, plazuela de Sto. Domingo, y de Hurtado, calle de las Carretas. Variaciones para forte-piano, por D. Félix Máximo López; primer organistá de la Real capilla de S. M. Católica; muy bien grabadas, y estampadas con el ma yor esmero en cuatro hojas de papel fino: su precio 8 rs. Véndense en la librería de Orea, calle de la Montera. EN LA IMPRENTA REAL.</t>
  </si>
  <si>
    <t>López, Fernando</t>
  </si>
  <si>
    <t>Fernando López</t>
  </si>
  <si>
    <t>…referido día 25. Se desea saber el paradero de D. Juan Ruti, capitán del regimiento de suizos del coronel D. Cárlos Reding. Si alguno supiese de su paradero se servirá avisarlo á D. Fernando López, calle de Boteros, níuns. 7 y 8. En la villa de S. Asensio, sita en la Rioja, se halla vacante la plaza de orga nista: su dotación es 8 rs. diarios, pagados mensualmente con toda puntualidad. Los aspirantes á dicha plaza dirigirán sus memoriales á D. Clemente…</t>
  </si>
  <si>
    <t>López, Francisco</t>
  </si>
  <si>
    <t>Francisco López</t>
  </si>
  <si>
    <t>…a de los ojos de Guadiana , compuesta de su alcalde mayor D. Salvador Gramage , de; su alcalde ordinario D. Juan García Tasamero, de su cura párroco D. Ma tías González Soler y de D. Francisco López; y otra de la villa de Dos Bar rios, representada por D. Jorge Ferrer, D. Josef Crespo de la Serna y Don Francisco Ruiz; todos los cuales en nombre de los vecinos de los pueblos que representaban tuvieron la honra de prestar á S. M. y A. R. el hoinenage de su…</t>
  </si>
  <si>
    <t>López, Gaspar</t>
  </si>
  <si>
    <t>Gaspar López</t>
  </si>
  <si>
    <t>…ioneros algunos de sus compañeros,con cuya presa volvía á San Felipe. Del coronel Itúrbide se insertan dos oficios: en el primero remite el parte que le dió el comandante de Silao D. Gaspar López sobre la expedi ción que hizo á la sierra de Ibarra en combinación con otras divisiones, y el fruto que logró en varias correrías fue apresar dos rebeldes, y recoger al gún ganado. En el segundo acompaña el parte que con fecha 8 de Octubre en el pue blo de Do…</t>
  </si>
  <si>
    <t>López, Josef</t>
  </si>
  <si>
    <t>Josef López</t>
  </si>
  <si>
    <t>…robado D. Alonso Pacheco* A segundo cirujano con la graduación de primero de la Real Armada al cirujano auxiliar D. Josef Rodríguez. Honores de primer cirujano al segundo jubilado D. Josef López.</t>
  </si>
  <si>
    <t>López, Josef Antonio Martínez Cepeda y Bartolomé</t>
  </si>
  <si>
    <t>Josef Antonio Martínez Cepeda y Bartolomé López</t>
  </si>
  <si>
    <t>…nstruidos tan to en la lectura de autores-castellanos y latinos, como en escribir varias cla ses de letra. Después de" lo cual, y para dar fin al acto declararon en dos dis cursos D. Josef Antonio Martínez Cepeda y Bartolomé López Girón , de edad de ocho años, la-s máximas políticas y morales que debe observar la ju ventud con relación á los padres, maestros y autoridades legítimas, en cum plimiento de lo prevenido y mandado por nuestro augusto v el mas amado decios Monarcas el Sr. D.…</t>
  </si>
  <si>
    <t>López, Josef Salvador</t>
  </si>
  <si>
    <t>Josef Salvador López</t>
  </si>
  <si>
    <t>…tiene de sitio 6597! pies, tasada en 358693 rs., y fue rematada en 320® á dinero metálico sonante. La persona que quisiere hacer mejora lo egeeutará ante el señor alcalde de-corte D. Josef Salvador López dei Pan, y escriba nía de provincia de D. Luis López de Castro, donde se admitirán las que hagan, siendo arregladas; y se señala para el tercer remate el citado día y á las i 2 de su mañana en la audiencia de dicho señor y expresada escribanía. Por providenci…</t>
  </si>
  <si>
    <t>López, Juan</t>
  </si>
  <si>
    <t>Juan López</t>
  </si>
  <si>
    <t>…is Jurado 300. D. Martin de Castro 300. D. Josef de Prado 500. D. Andrés Jurado 200. D. Rafael Zamorano 200. D. Juan Zamorano 300. D. Alfonso Zamorano 300. D. Luis de Herrera 320. D. Juan López 200. D. Mateo del Prado 200. D. Sebastian de Castro Jura do 200. D. Andrés Antonio Herrera 300. D. Alfonso Jurado 100. D. Fran cisco Molina 100. D. Lorenzo Molino 100. D. Agustín Perez de la Las tra 100. Doña María Josefa Jurado 100. D. Sebastian de Castro Ló…</t>
  </si>
  <si>
    <t>López, Juan Antonio</t>
  </si>
  <si>
    <t>Juan Antonio López</t>
  </si>
  <si>
    <t>…i R. el vicario general de ellos el Dr. D. Pió Rafael Sánchez de León: otra de la villa de Camuñas, compuesta de D. Manuel María More no, D. Juan Manuel Díaz , D. Eusebio Romero , D. Juan Antonio López de la Oliva, D. Manuel Sánchez, D. Alonso María Sahagun y Chacón, y D. Lorenzo Romero: otra del ayuntamiento y clero de Villarubia de los ojos de Guadiana , compuesta de su alcalde mayor D. Salvador Gramage , de; su alcalde ordinario D. Juan García Tasamero,…</t>
  </si>
  <si>
    <t>López, Juan Josef</t>
  </si>
  <si>
    <t>Juan Josef López</t>
  </si>
  <si>
    <t>…avida: para la d Cu vico de la Torre á D. Josef Cuenca Saiz: para la de la Palma, reino J S^vl a. á D. Antonio Josef Santevaez y Lerin : para la de Monraíbar . aitio d* C rdoba, ¿ D. Juan Josef López: para la de Cea á D. Vicente i vz Sánchez: para la de Buendia á D. Felipe Mingojuan: para la de Sal.«s u&gt; I fuves i D. Ped.o Puma rejo y Velarde : para la de Pedraza á D. SanJti; &gt; Orne y Garay ; y para la del Valle de Ay ala á D. Vicente Diaz de O.arte. Por…</t>
  </si>
  <si>
    <t>López, Juan Tomas de Silva y</t>
  </si>
  <si>
    <t>Juan Tomas de Silva y López</t>
  </si>
  <si>
    <t>uy$ denes Militares para la vara de alcalde mayor de la villa de Montanches, va cante por dimidon de D. Pedro Jacobo Pizarro , al asesor de guerra del go bierno militar de Sevilla D. Juan Tomas de Silva y López: para la del go bierno de la villa de Infantes, que lo está por promoción de IX Josef Andrés de A rellano a la de Pedro-Mu ñoz, á D. Antonio Gregorio. Nogués: para la de la villa de Uclés, vacante por fallecimiento de D. Antonio Celedonio Lorente, á D. Juan C…</t>
  </si>
  <si>
    <t>López, Justo</t>
  </si>
  <si>
    <t>Justo López</t>
  </si>
  <si>
    <t>…graduados de Fragata D. Manuel Bienvenga y D. Juan del Villar López. A la graduación de alféreces de Fragata á los primeros contramaestre* D. Josef del Pino, D. Domingo Pineirua, D. Justo López, D. Andrés Cerda, D. Gabriel Lledó, D. Josef Tuells y D. GabrieTSousa. CUERPO DE MEDICO'CIRUJANOS DE LA REAL ARMADA. Honores de médico consultor al primer médico-cirujano de la matrícula de Malaga D. Josef Salamanca. Honores de primer profesor médico-cirujano…</t>
  </si>
  <si>
    <t>López, María Antonia</t>
  </si>
  <si>
    <t>María Antonia López</t>
  </si>
  <si>
    <t>…D. Manuel María Adriaensens: una dada en Santiago á favor del Sr. Don Gregorio Suarez de Leis, endosada al Sr. D. Joaquín Antonio de Quintana; y otra dada en Cartagena á favor de Doña María Antonia López , vecina de Madrid. Lo que se avisa al público para que los interesados en estos papeles pue dan acudir á la dirección general de correos, donde acreditando su pertenen cia se les entregará. Las personas que tuvieren que repetir contra la testamentaría del di…</t>
  </si>
  <si>
    <t>…a orden de D. Santiago Bermejo sobre Rougemont de Lowemberg, de París: otra de 500 pesos fuertes dada en Cartagena en io.de Agosto de 1808 por Juan Francisco Martin á la or den de Doña María Antonia López sobre D. Josef Romero Campo , de Cá diz : otra de 1800 rs. dada en Cádiz á 29 de Noviembre de 1808 por Ra món Manuel Laífore á orden de D. Feliciano Antonio de Puyada sobre D. Santiago Angel de Velasco: otra de 160 id, dada en Vitoria á 11 de Enero de 18 it p…</t>
  </si>
  <si>
    <t>López, Martin</t>
  </si>
  <si>
    <t>Martin López</t>
  </si>
  <si>
    <t>…co. Presidió la junta e! Sr. D. Josef Navarrete, ministro de la Rota , y sub director de la Real sociedad , quien abrió la sesión manifestando el objeto de ella. Fueron examinados D. Martin López , D. Marcelo Sevillano , D. Josef Trespuentes y D. Teiesforo Abascal, los cuales hicieron los egeroicios que prescribe el reglamento de esta escuela , en cuyo intermedio el socio protec tor de la misma D. Ramón Risei leyó un discurso relativo á las utilidades…</t>
  </si>
  <si>
    <t>López, Mauro</t>
  </si>
  <si>
    <t>Mauro López</t>
  </si>
  <si>
    <t>…y corregidor interino de esta villa, refrendada de D. Claudio Sanz, escribano de S. M., y del número de la misma, se ha señalado para la junta de acreedores á la testamentaría de D. Mauro López el viernes 24 del corriente á las 8 de su mañana, en la posada de S. S., que la tiene en la plazuela del Cordon, casa de Alfaro, cuarto principal; lo que se hace saber á dichos acreedores para que concurran á ella: entendidos que de no concurrir les parará el…</t>
  </si>
  <si>
    <t>López, Narciso</t>
  </si>
  <si>
    <t>Narciso López</t>
  </si>
  <si>
    <t>…imiento de la Union Pedro Ra mírez y Manuel Martínez, y al sargento segundo Miguel Mancha. „No puedo pasar en silencio la valiente conducta en este dia de mis ayudantes de órdenes D. Narciso López y D. Diego Padilla, que se esforza ron fuera de los límites de su deber. ,, Estoy muy reconocido á los prontos auxilios que me ha remitido des de ValeHcia con oportunidad el coronel del regimiento de la Union subins pector general D. Juan Francisco Mendivil, habiendo contribuid…</t>
  </si>
  <si>
    <t>López, Nicolás</t>
  </si>
  <si>
    <t>Nicolás López</t>
  </si>
  <si>
    <t>…por ahora á participarle que quedan sujetos á nuestro So berano tres fuertes inexpugnables por naturaleza con 90 piezas de grueso calibrej como manifestará á V. E. mas por meijor D. Nicolás López, comaa^</t>
  </si>
  <si>
    <t>López, Pablo</t>
  </si>
  <si>
    <t>Pablo López</t>
  </si>
  <si>
    <t>…por la feliz unión y enlace de S. M. y su Sr. Hermano el Serrao. Sr. Infante D. Carlos Mana con las excelsas Infantas de Portugal. El dicho ayuntamiento compuesto de los regidores D. Pablo López, el capitán D. Dionisio Amelo, D. Máximo de Avila y D. Rafael Bautista Ca ntara , y los diputados D Manuel Ahugetas, D. Vicente Cárdenas, D. Joscí Rodriguez y D. Francisco Fernandez Calvillo , y el sindico persenero Don Bernardo González, con su procurador sí…</t>
  </si>
  <si>
    <t>López, Pelayo Rubido Pardo y</t>
  </si>
  <si>
    <t>Pelayo Rubido Pardo y López</t>
  </si>
  <si>
    <t>£02 primeras letras á cargo del maestro D. Pelayo Rubido Pardo y López, que demostró su exquisito cuidado en desterrar ios abusos en la pronunciación, enseñando á leer los niños con sentido y ortografía, en cuya ciase fue pre miado D. Josel Nogueira: se vieron los escritos de los de esta clase, y ana liza Joí con mi lurez se adj…</t>
  </si>
  <si>
    <t>López, Rafael</t>
  </si>
  <si>
    <t>Rafael López</t>
  </si>
  <si>
    <t>…osos sus ataqttes fue también velocísima su fuga Desapareció en un momento por aquellas lla nuras; y él será exterminado del todo inmediatamente que llegue la columna del teniente coronel D. Rafael López, partida desde Aragua para estos pun tos el 19 del presente. Los rebeldes han dejado en el campo mas de 100 muertos y otros tantos caballos. El número de sus heridos por noticias cier tas es doble mayor; siendo del de los primeros dos de los cabecillas llamad…</t>
  </si>
  <si>
    <t>López, Ramón</t>
  </si>
  <si>
    <t>Ramón López</t>
  </si>
  <si>
    <t>…duación de subtenientes dd primer regimiento Real de Marina d los sargentos primeros D. Cárl os Valero, D. Josef de Cárdenas, D. Josef Usero, D. Domingo Apodaca, D. Benito Molina, D. Ramón López y D. Manuel Perea. En el tercer regimiento A D. Andrés Rodríguez. EN EL CUERPO DE PILOTOS. DEPARTAMENTO DE CADIZ. A tenientes de Navio los primeros pilotos graduados de tenientes de Fragata D. Juan Dieguez Miguez y D. Andrés Ramos. Vara la graduación de tenientes de Fragata d…</t>
  </si>
  <si>
    <t>López, Sebastian de Castro</t>
  </si>
  <si>
    <t>Sebastian de Castro López</t>
  </si>
  <si>
    <t>…ra do 200. D. Andrés Antonio Herrera 300. D. Alfonso Jurado 100. D. Fran cisco Molina 100. D. Lorenzo Molino 100. D. Agustín Perez de la Las tra 100. Doña María Josefa Jurado 100. D. Sebastian de Castro López 300. Doña Ana de Castro López 100. Juan de Murez iod. Doña María Josefa Zamorano 200. Doña Luisa Espinosa 200. D. Pedro Juan de Molina 200. Doña Catalina Zamorano 370. D. Juan Blas Zamorano 60. D. Rafael de Blancas 60. D. Andrés Ramírez Sousa .60. D, Antonio…</t>
  </si>
  <si>
    <t>López, Tomas</t>
  </si>
  <si>
    <t>Tomas López</t>
  </si>
  <si>
    <t>…tamiento de Valencia de S. Juan 16: el de ia villa de Grajal 10. „ Particulares de la cuidad de León. D. Antonio Fernandez un par de zapatos: D. Manuel Rodríguez , boticario, uno: D. Tomas López 1 2 rs.: Don Josef Chicarro un par de zapatos : D. Fausto Escaja uno: D. Gerónimo Gó mez uno: D. Fernando Pareja uno: D. Martin Ginoves 10 rs.: D. Santiago Gallego un par de zapatos: D. Manuel Alonso uno: D. Antonio Chalanzon uno:D. Santiago Treve uno: D. Jua…</t>
  </si>
  <si>
    <t>López, Vicente</t>
  </si>
  <si>
    <t>Vicente López</t>
  </si>
  <si>
    <t>…de estampas de la calle Mayor, frente á la casa del conde de Oñate, se venden las tres estampas de la Virgen de la Cueva Santa y Niño Jesús y San ta Clara, dibujada la primera por D. Vicente López, primer pintor de cámara de S. M., y todas grabadas en cuartilla regular y figura oval por D. Francisco Jordán, á 2 rs. cada una. EN LA IMPRENTA REAL.</t>
  </si>
  <si>
    <t>…l Rey D. Car los iv, grabado por Selma, á 6 rs. ~Ochenta estampas, que forman un cuaderno, de los caprichos de Goya, grabadas por él mismo, á 200 rs.rzUn viacrucis, in ventado por D. Vicente López, y grabado por D. Miguel Gamborino, á 40 rs. {Se continuará.') En virtud de providencia del Excmo. Sr. Capitán general de Castilí? la Nue va , dada con acuerdo de su auditor de guerra en 23 de Agosto de este año en los autos de abintestato que se siguen1 en s…</t>
  </si>
  <si>
    <t>Lor-.-z, Juan Mar.ueí</t>
  </si>
  <si>
    <t>Juan Mar.ueí Lor-.-z</t>
  </si>
  <si>
    <t>…ventaja que solo se consigue en fuerzas dd verdade ro valor tan acreditado en él. El teniente y subteniente de Castilla D. [o‘ef Le bato y ID. Benito Rubín, y el idem de la Union D. Juan Mar.ueí Lor-.-z, *t han prru.d'1 igvalv.cme 1 den. También me intereso con V. S. para cue les oís pense las, gradas que tenga á bien al comandante de la segunda colum na móvil 1). Raimundo Marques; á los de la tercera D. Jo^ef Antonio Mar tínez y JD. L michino I turrado; al…</t>
  </si>
  <si>
    <t>Loren</t>
  </si>
  <si>
    <t>…o Rojas, batidor de oro: todos, percibieron las mismas cantidades y en ;la$ mismas épocas que los anteriores. Barquillo, D. Vicente Zalle, confitero; D. Francisco Agudo, cirujano; D. Loren zo San Martin, librero y estampador; Pedro Toro, carretero; Juan Pomar y Leonardo Escudero, pasamaneros: todos percibieron las mismas cantidades y en las propias épocas que los anteriores, excepto el cirujano Agudo, á quien por tener tomados 1600 rs. solo le…</t>
  </si>
  <si>
    <t>…almente de su alcalde mayor D. Manuel de Sto. Do mingo y Herrera y de D. Agustín Gómez de Aranaa y Carrillo: otra de la villa de Baena, que se componía también de ?u alcalde mayor D. Loren zo Casaux , dé D. Alfonso Josef de Vida, regidor de La misma villa , y de D. Josef Jurado Caballero, síndico procurador general de la misma: otra de la villa de Luque, de la que fueron individuos su alcalde mayor D. Fernando Rod riguez y Luque, alcalde ordina…</t>
  </si>
  <si>
    <t>Lorente, Antonio Celedonio</t>
  </si>
  <si>
    <t>Antonio Celedonio Lorente</t>
  </si>
  <si>
    <t>…Infantes, que lo está por promoción de IX Josef Andrés de A rellano a la de Pedro-Mu ñoz, á D. Antonio Gregorio. Nogués: para la de la villa de Uclés, vacante por fallecimiento de D. Antonio Celedonio Lorente, á D. Juan Crisóstomo de Frías; y para la de Miguelturra , de nueva creación, á D. Manuel María Cabrera Ruiz. D. Pedro J osef Lazon, coronel de las milicias del partido de Huanta en la provincia de Huainanga, ha hecho al R,ey nuestro Señor el donativo de 2842…</t>
  </si>
  <si>
    <t>Lorenzana</t>
  </si>
  <si>
    <t>…l cristiana, los sacramentos, la oración, las ceremonias y usos de la Iglesia: escritas en francés por el P. Francisco Amado Pouget; traducidas en caste llano con acuerdo del Emo. Sr. Lorenzana , cardenal arzobispo de Toledo, por Don Francisco Antonio de Escartin: sexta impresión. Lleva á su frente una pastoral del mismo señor cardenal, por la cual recomienda á los párrocos y clero el referido car tecismo para el us» de su ministerio é instrucción d…</t>
  </si>
  <si>
    <t>Lorenzana, Ignacio</t>
  </si>
  <si>
    <t>Ignacio Lorenzana</t>
  </si>
  <si>
    <t>…cual Suarez uno: D. Lidro Benitoa uno: D. Ramón Arquello dos : D. Pedro Gastaniaga uno: D. Juan Bros dos: D. Manuel Chicarro ocho reales: D. Benito Hermosino dos pares de zapatos: D. Ignacio Lorenzana dos. D. Manuel Mercadillo uno: D. Ma nuel Rodríguez uno: D. Manuel Yolis dos: D. Bernardino 1 erremos uno: D. Valentín Bustamante dos: D. Joaquín Suarez uno: D Juan de Dios dos: D. Bernardo Bustamante uno: D. Donato Cañas dos: la viuda de Chicarro uno. Total…</t>
  </si>
  <si>
    <t>Lorenzana, Joaquín de Herrera y</t>
  </si>
  <si>
    <t>Joaquín de Herrera y Lorenzana</t>
  </si>
  <si>
    <t>…o Gundian, relator de la comisión de causas de Estado de la Coruña. A ¡mis mo se ha dignado S M conceder honores de juez de! tribunal Real y Apos tólico de la grada del Excusado á D. Joaquín de Herrera y Lorenzana, ca nónigo de la santa iglesia de León , y juez subdelegado decano del tribunal de Cruzada , Subsidio y Excusado de la misma diócesis. El dia 2 de Setiembre í Jas cuatro de la tarde se dará principio a! curso de Taquigrafía, ó del arte de escribir con tanta v…</t>
  </si>
  <si>
    <t>Lorenzana, Manuel</t>
  </si>
  <si>
    <t>Manuel Lorenzana</t>
  </si>
  <si>
    <t>…Josef Robles uno: D. Blas López cuatro: el mar ques de Villadangos dos : e! marques de Castrojanillos dos: D. Josef Quiño nes dos: D. Claudio Quijada dos: D. Bernardo Escovar dos: D. Manuel Lorenzana uno : el provisor dos : los señores Jclís y compañía dos : D. Ma nuel Castaáon dos: D. Josef R*eovar dos: D. Ruperto Cea dos: D. Aniceto Cavero uno: D. Tomas Ríos uno: D. Francisco Val le jo dos : el cura de San Salvador Pala del Rey uno: el de S. Marcelo uno…</t>
  </si>
  <si>
    <t>Lorenzo</t>
  </si>
  <si>
    <t>1413 B. Josef, D. Lorenzo, I). Antonio, Dona María de la Concepción, Doña Gertrudis, Doña María de Jesús, D. Francisco, D. Juan,* D. Manuel y Don Ramón López Perez, naturales de la Havana. Y habiendo fallecido el refe rido su padre D. Antonio López Gómez en el mismo año de 1802 al tie…</t>
  </si>
  <si>
    <t>Lorenzo, Francisco</t>
  </si>
  <si>
    <t>Francisco Lorenzo</t>
  </si>
  <si>
    <t>…uchos años. Palacio 3 de Febrero de 1816. La comisión nombrada por la Real sociedad económica de esta corte para examinar dos máquinas neumáticas , construidas de nueva planta por D. Francisco Lorenzo, pasó á su habitación á reconocerlas con toda escru pulosidad , y en su concepto tienen conocidas ventajas respecto de las cons truidas en París y Londres en estos últimos tiempos. — Se encuentra en ellas un movimiento que está en contacto con la segunda válv…</t>
  </si>
  <si>
    <t>…lo bien acabadas que se hallan, confirman sólidamente el mérito artístico de su autor, ya bien conocido por la sociedad en otras ocasiones.---La comisión opina debe manifestarse á D. Francisco Lorenzo que las expre sadas máquinas neumáticas han merecido la aprobación de la Real sociedad, y que le mirará siempre con particular predilección por sus adelantamientos, y para estimularle á ulteriores descubrimientos en su ramo.__ La sociedad, para dar un testimo…</t>
  </si>
  <si>
    <t>…o mínguez, pastelero; Mariano Ancón, platero; Isidro Soblechero, confitero Juan Belínar p zapatero:todos percibieron las mismas cantidades y en igua les épocas. ’ y . ' * Avapies. D. Francisco Lorenzo, maquinista; Juan Rodríguez,guarnicionero; Lo renzo Beciarte, maestro de obra prima; Rosendo Obispo ^tahonero ; Juan de la Iglesia, guarnicionero; Francisca Toledo, viuda de cerragero: todos percí-, bieron las mismas cantidades y en las mismas épocas. „ &gt;u\ ■…</t>
  </si>
  <si>
    <t>Losada, Josef</t>
  </si>
  <si>
    <t>Josef Losada</t>
  </si>
  <si>
    <t>12 11 diputado general por él reino de Galicia , y el mayordomo de semana, coro nel de los Reales egércitos , D. Josef Losada ; y eí primero dijo: ,,Señora : i l ayuntamiento de la ciudad de laCoruña ,una de las compren didas en vuestro reino de Galicia , que sin exceptuar la mas pequeña población se ha distinguido siempre por la fidelidad, amor y respeto á sus legítimos So beranos…</t>
  </si>
  <si>
    <t>Losada, Luis María</t>
  </si>
  <si>
    <t>Luis María Losada</t>
  </si>
  <si>
    <t>…e dicha arma Don Amadeo de Silva. También se ha servido S. M. nombrar coronel del regimiento provincial de Cuenca al sargento mayor del de Salamanca, graduado de teniente coro nel D. Luis María Losada* . ~</t>
  </si>
  <si>
    <t>Loureiro, Josef María</t>
  </si>
  <si>
    <t>Josef María Loureiro</t>
  </si>
  <si>
    <t>9°t primer maestra director D. Cayetano Fernandez Villamil. Faeron exami nad en aritmérica D. Josef Perez, D. Juan Pablo Rodríguez, D. Josef María Loureiro, D Florencio Pereira, D. Benito Pereira, D. Cosme Arias, D. Juan RoJriuuez , I). Josef Abad, D. Manuel Vicario, D. Josef Vicente Veigi, D Josef Alonso, D. Juan Vega, D. Manuel Rodríguez Almeiras j D. Cayetano Cruz. En geometría D. Josef Pujadas, D. Fermín Gal…</t>
  </si>
  <si>
    <t>Loweubieím, Gustavo de</t>
  </si>
  <si>
    <t>Gustavo de Loweubieím</t>
  </si>
  <si>
    <t>…o plenipotenciario á la confederación helvética :S.E. permanecerá en Franc fort antes de ir á Suiza. Hamburgo 22 de Marzo. Escriben de Stockolmo que la legación extraordinaria del conde Gustavo de Loweubieím íái;ió de allí para‘Petersburgo. Se componía ademas delembajador, del secretario Brandel, que irá'de París á Perersbtirgo, de los con des Carlos y Alejandro de Wachtmeister, del conde Rosen , del teniente co ronel Stiernschanz ,y del teniente de la guardia Gu…</t>
  </si>
  <si>
    <t>Lozano, D Juan</t>
  </si>
  <si>
    <t>D Juan Lozano</t>
  </si>
  <si>
    <t>…e á sus enemigos, y admirable á todos.” El dia 2 del corriente tuvo el honor de besar la mano á S. M. y cumpli mentarle en su Real cámara á hombre de la ciudad de Guadix el Excmo. Sr. D Juan Lozano de'Torres, ministro honorario del supremo consejo de Es tado, con elsiguiente discurso: ,,Señor: La ciudad de Guadix ha tenido la bondad de distinguirme entre sus oriundos, confiriéndome el honroso encargo de felicitar á v. M. con el plausible motivo de su co…</t>
  </si>
  <si>
    <t>Lozano, Josef</t>
  </si>
  <si>
    <t>Josef Lozano</t>
  </si>
  <si>
    <t>…en principios de Di ciembre de 2808 ; y no habiéndose vuelto i saber de su existencia, se suplica á la persona que tenga noticia de ella ó su fallecimiento se si. va comunicarlo á D. Josef Lozano, escribano de la comandancia general de Rentas de la ciudad de Badajoz. Se desea saber el paradero del capitán de egército D. Juan de Panigo para comurica: c un asunto que le int 1 *sa por D. Ventura de Imaña, vecino y del co mercio de Cádiz, calle del Husill…</t>
  </si>
  <si>
    <t>…Gómez 10. Doña Margarita Martin 20. D. Santos Avoin Coronel en efectos y dinero 360. D. Manuel Cisneros 200. D. Anto nio Echenique 140. D. Josef Perez 40. D. Fructuoso Tejedor 30. D. Josef Lozano 30. D. Victorio Valtierra 30. D. Lorenzo de Seras 30. El coman dante de las armas 138. El contador y subalternos 60. El tesorero de ren ta' 23. ES administrador de rentas 23. D. Pedro Azaituno 30. El corregidor interino 24. 1). ‘Ensebio Hernández 70. D. Vicen…</t>
  </si>
  <si>
    <t>Lozano, Pablo</t>
  </si>
  <si>
    <t>Pablo Lozano</t>
  </si>
  <si>
    <t>…pilla y asistencia al facistol; los edictos finalizan á últimos de Junio. Colección de las partes mas selectas de los mejores autores de pura latinidad, con notas castellanas, por D. Pablo Lozano: 3 tomos en 8.° marquida: nuera im presión corregida con el posible cuidado. Se hallará en la librería de Calleja, calle de las Carretas; en Zaragoza en la de Polo y Monge; en Granada en la de Gsbaldon ; en Oviedo en la de Longoria; en Valladolid en la de Rod…</t>
  </si>
  <si>
    <t>Lucas, Julián de</t>
  </si>
  <si>
    <t>Julián de Lucas</t>
  </si>
  <si>
    <t>…sticia, quedando á su favor el estado sa-erdof.il, comento de S. Francis o y hos pital, siendo de su cirgo la rasura. Los pretendientes podrán dirigir sus instancia* por medio del Sr. Julián de Lucas, a'caldv de primer voto, hasta fin del corriente. EN LA IMPRENTA REAL.</t>
  </si>
  <si>
    <t>Lucía, Antcrnio</t>
  </si>
  <si>
    <t>Antcrnio Lucía</t>
  </si>
  <si>
    <t>jnf borlada mi expedición : para el efecto nombré á los capitanes D. Barto lomé Calvet, D; Mariano Rendon y al subteniente graduado D. Antcrnio Lucía, quienes con 50 hombres de la segunda compañía de infantería y 300 de los vecinos de los pueblos interiores de este partido que me acom pañaban, salieron de este campamento con destino á la Florida el dia 20 á las dos de la mañana; y sin embargo de distar 14…</t>
  </si>
  <si>
    <t>Ludd</t>
  </si>
  <si>
    <t>…a invención donde quiera que las hallan, porque estas ahor ran un gran número de. brazos. Estos conjurados obedecen á un gefe hasta ahora desconocido, y á quien llama el pueblo el general Ludd: para estrechar su unión usan de terribles juramentos, y ninguno de ellos ha descubierto^ hasta ahora el se creto de la compañía. Este desorden dura de cinco ó seis años a esla parte.</t>
  </si>
  <si>
    <t>Luí</t>
  </si>
  <si>
    <t>…f Salvador López del Pan, del consejo de S. M., alcalde de su Real casa y corte, pronunciada en 28 del pasado, y refren dada por el escribano de provincia y comisiones de la misma D. Luí» López de Cas tro, por la cual se cita, llama y emplaza á todos los acreedores del Sr. D. Ramón Antonio Sierra, caballero de la Real y distinguida orden de Cirios ni, que hasta el dia no se han mostrado parte, para que en el preciso término de 30 dias, conta…</t>
  </si>
  <si>
    <t>Lui</t>
  </si>
  <si>
    <t>…sta por término de 30 dias, contados desde esta publicación, para pago de acreedores, tres casas contigua* pertenecientes á la testamentaría y ocurrencia de acreedores de! difunto Sr. D. Lui* Fernandez Gonzalo del Rio, situadis en esta corte en la unn?. 353, la una princi pal en la calle de Jacometrezo, donde hice fachada, y vuelve á Jas de la Salud f Tres Cruces, señalada con el núm. i.°: comprende su sitio 12309 pies cuadrados superficiales, ta…</t>
  </si>
  <si>
    <t>Luis</t>
  </si>
  <si>
    <t>…l’de Cpeáta.,-gradas de S. Felipe el Realé Estampa nueva de S. Luis Qonzaga, de la compañía de Jesús, dibujada ppr Don Antonio Guerrero, y grabada en, cuartilla de marca mayor por D. Luis híoseret. Se vende con otras muchas de igual tamaño eñ el almacén de estampas de la calle Mar yor, frente á la casa del conde de Oñate, á 3 rs. cada una en negro y á ió ilumi nadas. c SUPLEMENTO</t>
  </si>
  <si>
    <t>…Artillería en premió de su constante aplicación , aprovechamiento y buena conducta eo la academia Trulitar de Segovia; á Tos caballeros cadetes D. Eaureano, ü£uloaga y del Arco , D. Luis ,C^s.ti.llá y de Castilla ,, D. Fran-, ciscó Castilla y/4e Castilla p.j.Bartoloméy Spldevilla D. Andrés Calera, yiRosas., D.; juáin itiéVI&gt;ios.1Dig^"rdenMojíes, D., Jo§ef Vernaci y; Aguado ,&lt; D. Rasrion tQrtii rdatMon$eUía.n¡ól D. ¡Pedro: . Whirte» y Fleming,…</t>
  </si>
  <si>
    <t>Lujan, Juan</t>
  </si>
  <si>
    <t>Juan Lujan</t>
  </si>
  <si>
    <t>…pocas, y que ocupará el lugar distinguido que por su clima feraz y por las virtudes y genio de sus habitantes merece obtener en tre las naciones de Europa. Acto continuo el alumno D. Juan Lujan, teniente del regimiento del In fante D. Carlos, disertó sobre la siguiente proposición: el comercio colonial no ha sido útil solamente á algunos comerciantes particulares , sino á todas las clases del estado. Lo egecutó oportunamente. En seguida algunos de l…</t>
  </si>
  <si>
    <t>Lumeras, Joaquín</t>
  </si>
  <si>
    <t>Joaquín Lumeras</t>
  </si>
  <si>
    <t>D. Felipe Crespo , D. Blas Domínguez, D. Joaquín Lumeras, D. josef García, D. Lázaro Canillas y D. Tomas Asensio. D. Manuel Fernandez, D. Bernardo de la Iluerga y D. Andrés Redonzo lo fueron igualmente con unos lazos de distinción. Todas estas condecoraciones, colocadas en ricas bandejas, con las medallas de plata…</t>
  </si>
  <si>
    <t>Luna, Francisca de León y</t>
  </si>
  <si>
    <t>Francisca de León y Luna</t>
  </si>
  <si>
    <t>…es los d ^s médicos conducidos en cabañerías. La plaza se proveerá por dos años y lo que falta de este. &gt; Las per-onas que tuvieren que repetir contra la testamentaría del difunto Don Francisca de León y Luna, capiran de navio de la Real armada, que falleció en Marzo de iryi , acu dirán por sí ó por sus apoderados en el término de dos meses* contid i desde e-ba publicación, á la ciudad de Cádiz al señor marques de Casa En-r rile á deducir sus acciones con los docu…</t>
  </si>
  <si>
    <t>Luna, Manuel García</t>
  </si>
  <si>
    <t>Manuel García Luna</t>
  </si>
  <si>
    <t>…e. Esto, pues, me decidió á meditar la combinación de que tengo dado cuenta á V. E., á cuyo efecto pasé las órdenes mas terminantes y precisas, encargando su egecucion al teniente coronel D. Manuel García Luna, comandante general de los Llanos. Las tropas salieron puntualmente á los parages indicados. El 25 de Febrero marcharon batiendo el valle de la Pascua; el 2 de Marzo forzaron el paso de Quebrada honda, donde el capitán de la Union , segundo de estas fuerzas D…</t>
  </si>
  <si>
    <t>Luna, Manuel García de</t>
  </si>
  <si>
    <t>Manuel García de Luna</t>
  </si>
  <si>
    <t>…rages mal sanos, en que han sufrido todo género de privaciones, por lo que son muy dignos de la consideración de V. E. para que les acuerde las gracias que crea justas el teniente coronel D. Manuel García de Luna, y su segundo el capitán D. Jomas García, A quien se debe la egecucion de mi combinación, sin por esto rebajar el méri to á los demas individuos, que todos, todos se han portado con emuLGon. y llenado mis deseos, considerándoles por tanto merecedores de su e…</t>
  </si>
  <si>
    <t>Luna.’, Manuel García de</t>
  </si>
  <si>
    <t>Manuel García de Luna.’</t>
  </si>
  <si>
    <t>…irme en su resolución, lo gró realizar mis deseos , y egecutar la combinación del mismo modo que le había prevenido, según que lo manifiesta el parte siguiente del citado teniente coronel D. Manuel García de Luna.’* Comandancia general de los Llanos, „En mi último parte desde Espi no el 17 del corriente (Marzo) anuncié á V. S. que á mi llegada .1 a/jue! pueblo supe por su teniente-justicia la verdadera posición del enemigo. Éi es taba en la punta ocupando la derecha del…</t>
  </si>
  <si>
    <t>Luque, Antonio de</t>
  </si>
  <si>
    <t>Antonio de Luque</t>
  </si>
  <si>
    <t>…esta provincia en 12 del mismo mes, á saber: Córdoba. D. Francisco Josef Benitez 160 rs. D. Manuel Martínez de Te jada 160. D. Josef de Luque 100. D. Rafael de Medina y Luque 60. Don Antonio de Luque 20. D. Bartolomé Repiso 60. Josef Lucena 4. D. Juan de Fio res 60. El gremio de especieros 760 rs. y 10 inrs. El mariscal de camoo D. To mas Zerain i^oo rs. D. Francisco Beltran de Guevara 160. D. Rafael Crespo ico. D. josef Herrera 120. D. Juan Carrillo y Ag…</t>
  </si>
  <si>
    <t>Luque, Josef de</t>
  </si>
  <si>
    <t>Josef de Luque</t>
  </si>
  <si>
    <t>…2 de Julio de 1815,circulada por el señor Intendente de esta provincia en 12 del mismo mes, á saber: Córdoba. D. Francisco Josef Benitez 160 rs. D. Manuel Martínez de Te jada 160. D. Josef de Luque 100. D. Rafael de Medina y Luque 60. Don Antonio de Luque 20. D. Bartolomé Repiso 60. Josef Lucena 4. D. Juan de Fio res 60. El gremio de especieros 760 rs. y 10 inrs. El mariscal de camoo D. To mas Zerain i^oo rs. D. Francisco Beltran de Guevara 160. D. Rafa…</t>
  </si>
  <si>
    <t>Luque, Rafael de Medina y</t>
  </si>
  <si>
    <t>Rafael de Medina y Luque</t>
  </si>
  <si>
    <t>…ulada por el señor Intendente de esta provincia en 12 del mismo mes, á saber: Córdoba. D. Francisco Josef Benitez 160 rs. D. Manuel Martínez de Te jada 160. D. Josef de Luque 100. D. Rafael de Medina y Luque 60. Don Antonio de Luque 20. D. Bartolomé Repiso 60. Josef Lucena 4. D. Juan de Fio res 60. El gremio de especieros 760 rs. y 10 inrs. El mariscal de camoo D. To mas Zerain i^oo rs. D. Francisco Beltran de Guevara 160. D. Rafael Crespo ico. D. josef Herrera 1…</t>
  </si>
  <si>
    <t>M, Andrés Fernandez</t>
  </si>
  <si>
    <t>Andrés Fernandez M</t>
  </si>
  <si>
    <t>794 D. Josef Mariano Beristain, D. Joan Sarria, D. Juan Gunboa y ÍDres.ic. D. Andrés Fernandez M.drid, deán, chantre, maestreescuelas y tesore ro de la misma santa iglesia, en vista de la causa instruida á este rebe de por la jurisdicción anida, la notoriedad y enormidad de sus crímenes, que lian * mente confesaba, y por los curies se habia hecho indigno…</t>
  </si>
  <si>
    <t>M, Embajador de S.</t>
  </si>
  <si>
    <t>Embajador de S. M</t>
  </si>
  <si>
    <t>…y cumplimiento.” Y la trasladamos á V. para que le tenga como corresponde; y del re cibo se servirá darnos aviso. Dios guarde á V. muchos años. Madrid 26 de Diciembre de 1816. El Sr. Embajador de S. M. siciliana en esta corte, y el encargado de ne gocios del Rey nuestro Señor en la deNápoies, han comunicado oficialmen te que la epidemia que afligió á la ciudad deNoya algunos meses , y que por las medidas que se tomaron no se extendió á ningún otro punto, se…</t>
  </si>
  <si>
    <t>M, Fausto</t>
  </si>
  <si>
    <t>Fausto M</t>
  </si>
  <si>
    <t>…Villena &amp;c., D. Andrés Ollcr , del consejo de S. M., alcaldeSa, de su Real casa y corte, D. Benito losada Pernaldo de Qtirós, teniente coronel agregado al regimiento de Borbon, y D. Fausto M^sót, regidor perperuo de dicha ciudad, tuvo el honor de felicitar á S. M. con motivo de su contratado augusto enlace; habiendo arengado el primero á 5. M. en los tér minos siguientes: ,,Señor: La fidelísima ciudad de Cervera, en el prircipado de Cataluña, de…</t>
  </si>
  <si>
    <t>M, Fernando</t>
  </si>
  <si>
    <t>Fernando M</t>
  </si>
  <si>
    <t>…smo tuvo la honra de cumplimentar á S. M. la M. N. y L. ciudad de Toro v su ilustre ayuntamiento , representada po¡ su corregí* dor D. J uan de Dios Alonso y Herrera , y los Sres. D. Fernando M rino y TJlloa , caballero cadete del Real cuerpo de Guardias de la Persona deS. M., y D. Laureano Melena y Nava , caballero gu trdia del mismo cuerpo; de ios que el primero dijo entre otras oosas lo siguiente:</t>
  </si>
  <si>
    <t>M, J. A. S.</t>
  </si>
  <si>
    <t>J. A. S. M</t>
  </si>
  <si>
    <t>…quirir un pleno conocimiento del arte de escribir letra española, con arreglo al sistema de enseñanza de D. Torcuato Torio de la Riva, adaptables á las escuelas de las aldeas, por D. J. A. S. M : su precio 5 rs.: puede ir en carta----Catecismo de historia sagrada para servir de suplemento á los de los Padres Ripalda y Astete: contiene desde la creación del mundo basta la venida del Espíritu Santo: su precia 12 cuartos. Se venden en la librería de Vi…</t>
  </si>
  <si>
    <t>M, Jacobo</t>
  </si>
  <si>
    <t>Jacobo M</t>
  </si>
  <si>
    <t>…del consejo de Estado, y secretario de Estado y del despacho de Hacienda , D. Antonio Correa, teniente general de los Reales egórcitos y gentilhombre de cámara con egercicio, y el Sr. D. Jacobo M aria de Parga, ministro del supremo consejo de Hacienda y comisiona do Real en París; el primero de los cuales dijo: ,,Cuando V. M. volvió» á sentarse en el trono de que le arrebató la per fidia, la nación española vió colmados sus votos con aquel inexplicabl…</t>
  </si>
  <si>
    <t>M, Pedro González de</t>
  </si>
  <si>
    <t>Pedro González de M</t>
  </si>
  <si>
    <t>…Cuadeir.i* y.°: D. llago de Mr imada , el car-te nal Silíceo, Partí -’orré ele C¿ r^r ?a, 1). A? ionio Covartubias v Leiva , Antea:.o Fcie/’, ) D. Jrsrf Pe! ur.raf u. c. rro 1 o : D. Pedro González de M. mloza, D. Meh fum de Macan..? , h r. I ra-c nc- &gt; X imene/. de Cisnerc s, Vasco N.:fmz de VjIu-m, D. J sef Carrilio de Albornoz , y li wiiiji'iylsj de AUrcon. »— C^iiÁviCrTiO i i * ^u*iu íltc* lídrrkiindo ciw</t>
  </si>
  <si>
    <t>M., O.</t>
  </si>
  <si>
    <t>O. M.</t>
  </si>
  <si>
    <t>…ortante vida guarde el cielo para felicidad de su monarquía.” En pocos momentos por las disposiciones tomadas anteriormente quedó erigida la pirámide con la inscripción siguiente: D. O. M. La ciudad de Alcalá de Henares dedica este monumento a la memoria de las valientes tropas de S. M. el Sr. D. Fernando vii, mandadas por Don Juan Martin , el Empecinado, mariscal de campo de los Reales ejércitos, en reconoiimiénio haber salvado d sus mirado es de…</t>
  </si>
  <si>
    <t>Ma</t>
  </si>
  <si>
    <t>…ue tengo el honor de mandar; como igualmente los de dicho teniente coronel D. Manuel de la Concha, y realistas fieles de este distrito; y en particular del teniente de este,cuerpo D. Ma tías Carranco, que fue el que tuvo la dicha de pillar á este monstruo, según los informes que acabo de recibir. „Las tropas, llenas de contento por tan gloriosa jornada, y en vista de sus apreciables deseos , se hacen dignas de que recaiga en ellas la superio…</t>
  </si>
  <si>
    <t>…el qué les correspon de en una casa existente en la población de dicha ciudad, calle del Postigo , la cual previas las solemnidadésdegalés-cómpró átccháé reservativo chch^ señor á Don Ma nuel de Baños. - ri Se cita, llataa;y emplaza1á D. Alonso Victorio de la Concha, para que dentro .dé; 30 dias primeros siguientes al en que se anuncie por gaceta comparezca por sí, ó por procurador conpcido con poder bastante, ante el Sr. D. Andrés Oller, .^e…</t>
  </si>
  <si>
    <t>…oronel D. Manuel Zequeira, gobernador in terino de Sra. Marta, y al de la misma clase D, Gonzalo de Aramendi , co mandante militar interino del Valle Dupar, el grado de coronel: á D. Ma nuel Carmona, capitán del regimiento infantería de la Victoria, D. Donato Ruiz de Sta. Cruz , idein de granaderos del regimiento del Rey, D. Miguel Andrés Fresno , capitán graduado de húsares de Fernando vn, D. Simón Sicilia, capitán del regimiento del Rey, y…</t>
  </si>
  <si>
    <t>…ías: el de alféreces de fragata á los guardias marinas D. Juan Mozo, D. Segundo Díaz Herrera, D. Victoriano López Llanos, D. Josef Salcedo, D. Francisco Osorio , D. Manuel Ibarra, D. Ma nuel Ortiz Canelas y D. Francisco S* Pedro: el de teniente de fragSta gra duado en su clase de contra-maestre á D Sebastian Garrido:el de ayudante de contra- maestre de construcción á D. Manuel Abaida , capataz de carpin teros de Ribera: el de oficial primero…</t>
  </si>
  <si>
    <t>…olver á consulta de la Junta de Protección del museo de ciencias que se abra el curso de botánica en su Real jardín, donde empezarán á darse las lecciones públicas mañana 7 por el profesor D. Ma riano Lagasca. El Sr. D. R amon Satue, del consejo de S. M., alcalde de su Real casa y corte, á quien está cometida la egecucion de una Real fiicultgd, ha señalado el día 25 de Mayo, á Jas cinco de la tarde, en la sala primera de señores alcaldes, para el rem…</t>
  </si>
  <si>
    <t>…apital de la provincia de la Mancha, mi patria, me han autorizado y diputado para cumplimentar á V. M. (como lo egecuto) por su feliz enlace con la Serma. Sra. Infanta de Portugal Doña Ma ría Isabel , cuyas prendas notorias prometen á esta monarquía los mayores bienes, y con este reconocimiento la ciudad y su vecindario no retardan tan justa como debida felicitación, ofreciendo á vuestros Reales pies sus vidas y haciendas, como lo acreditaron…</t>
  </si>
  <si>
    <t>…ques de Castrojanillos dos: D. Josef Quiño nes dos: D. Claudio Quijada dos: D. Bernardo Escovar dos: D. Manuel Lorenzana uno : el provisor dos : los señores Jclís y compañía dos : D. Ma nuel Castaáon dos: D. Josef R*eovar dos: D. Ruperto Cea dos: D. Aniceto Cavero uno: D. Tomas Ríos uno: D. Francisco Val le jo dos : el cura de San Salvador Pala del Rey uno: el de S. Marcelo uno: el de Renueva uno: el de Sta. Ana uno: el tesorero del cabildo…</t>
  </si>
  <si>
    <t>…de la religión y de la literatura. El dia primero habiéndose presentado 50 alumnos del colegio Andresiano bajo la dirección de su maestro el P. Dionisio de la Virgen del Carmen , D. Ma nuel Pérez , uno de ellos, dio ¡dea de lo que iban á. practicar sus compañe</t>
  </si>
  <si>
    <t>…ribuyó no poco á aumentar el placer y la alegría general, como que en ella se veia un rasgo permanente de la innata munificencia del Rey nuestro Señor. Agraciada por S. M. la Sra. Doña Ma ría Dolores Borreiro de Cánovas, como una de las que compusieron la jun ta patriótica de señoras de Cádiz , para usar un brazalete de oro con la cifra de su Real nombre esmaltada, que debe llevar ceñido al brazo izquierdo en memoria de la gratitud de S. M. á…</t>
  </si>
  <si>
    <t>…tán D. Nicolás Córdoba, con la orden de que tomase la dirección por mi izquierda, dejando en la plaza fonnada la demas tropa al cuidado del acreditado teniente coronel de egército D. Ma nuel del Valle. Luego que salí de la población encontré ya situados en sur a-rabales al gunos fusileros que habian descendido del cerro , quienes al aproximarse al morro de la Recoleta rompieron el fuego resueltos á sostenerse por el apoyo que comtituian en l…</t>
  </si>
  <si>
    <t>…M.; y le manifiesta al mismo tiem po la viva satisfacción que le ha causado la acertada resolución de V. M. en orden á su contratado enlace con la Serma. Sra. Infanta de Portugal Doña Ma ría Isabel Francisca. „ El cabildo dt Baza , Señor, en aquella época sangrienta en que !a leal tad española luchaba coitra la tiranía para conservar el trono del mas ama do de sus Reyes , en tamo que dirigía al cielo sus dolientes ciamores, ofre ció y present…</t>
  </si>
  <si>
    <t>…ausó al rector y cabildo de beneficiados de vuestra villa de Valls, en el principado de Cataluña, la noticia del concer tado enlace de V. M. con la Serma. Sra. Infanta de Portugal Doña Ma ría Isabel Francisca excedió, si puede decirse sin exageración, ai que manifestó a V. M. cuando tuvo la satisfacción de besar vuestra Real manó el año de 1814, en que V. M., como el mas.deseado de los Reyes, volvía á ocupar, nuevamente;el solio de sus augusto…</t>
  </si>
  <si>
    <t>…mayores, no pudieron menos de bendecir la sabia Providencia que les proporcionó la base mas solida de felicidad ; pe ro hoy que advierten y admiran su dichoso y deseado enlace con Doña Ma ría Isabel, hija de los ilustres Reyes de Portugal, y el del Sermo. Sr. In fante D. Carlos con Doña María Francisca de Asís, se glorían al consi derar satisfechos ya sus votos, y llenos completamente sus deseos. ¡ Quiéra el cielo que el cetro español se perpe…</t>
  </si>
  <si>
    <t>…untamiento y clero de Villarubia de los ojos de Guadiana , compuesta de su alcalde mayor D. Salvador Gramage , de; su alcalde ordinario D. Juan García Tasamero, de su cura párroco D. Ma tías González Soler y de D. Francisco López; y otra de la villa de Dos Bar rios, representada por D. Jorge Ferrer, D. Josef Crespo de la Serna y Don Francisco Ruiz; todos los cuales en nombre de los vecinos de los pueblos que representaban tuvieron la honra d…</t>
  </si>
  <si>
    <t>…as voces de viva Fernando, únicas que se oían en medio de su mayor conflicto, se presenta en este dia á cumplimentar á V. M. por su feliz unión con la augusta Reina nuestra Señora Doña Ma ría Isabel; y no cesará de suplicar al Todopoderoso conserve ambas vidas dilatados años, como único centro donde están reunidas, y fuente de donde han de dimanar todas las dichas á sus fidelísimos vasallos.” , En seguida felicitaron los mismos comisionados al…</t>
  </si>
  <si>
    <t>…el mismo, francas de porte, dirigi das unas y otras á D. Joscf de Brun, librero, frente ¿ S. Felipe el Real. JSota. En la gaceta del jueves último, pág. 1202, lín. 12 , donde dice D. Ma riano Saldaría, léase Sardana. EN LA IMPRENTA REAL.</t>
  </si>
  <si>
    <t>…os que lp§ hayan de obtener. . V. Por orden del imperial y Real tribunal de justicia en Mitán se- notifica' k Pedro Josef Francisco Antonio Del la porta, hijo de D. Norberro. y de Doña Ma riana dé Glancer, qué nació en dicha ciudad eh 19 de" Julio de 17 5 5 y que en Junio de' 1801 servia tíe militar en ‘ Espáña , .haberle presentado * a nte este tribunal por Josef, Mariana'ana Luisa y Rosa , hermano y hermánas 'Oiivierj, domiciliados en Casalm…</t>
  </si>
  <si>
    <t>—r ~ r cual se mandaba sobreseer de todo punto en dicha causapor no producir mérito ninguno para causar mas instancia,, declarando al. expresado D. Ma^ nuel Febrer absuelto y libre de todo cargo» P9r desvanecido ; completamente los mencionados; mo^s icomo sa d^licadeza- se propu&amp;o;; haber justi ficado en to^ forma sus grados, y empleos militases** acreditando sus servi cios , pundonorosa ¿,i?irepi4mibje' qo…</t>
  </si>
  <si>
    <t>Ma, Isabel</t>
  </si>
  <si>
    <t>Isabel Ma</t>
  </si>
  <si>
    <t>…s para gobierno de los encuadernadores. Epitalamio del Rey nuestro Señor D. Fernando vit y d^su augusto Hermano el Sr. Infante D. Carlos con las Sermas. Sras. Infantas de Portugal Doña Isabel Ma ría Francisca y Doña María Francisca de Asís. Calebrábale un ¡anciano pastor de 73 años entre las cumbres de los Pirineos en el día 4 de Setiembre de 1810. Se vende á 2 rs. en la librería de Sojo, calle de las Carretas: puede ir en carta. Estampa en cuartilla…</t>
  </si>
  <si>
    <t>Ma, Joaquín</t>
  </si>
  <si>
    <t>Joaquín Ma</t>
  </si>
  <si>
    <t>…ento; y del recibo se servirá darnos ei correspondiente aviso. Dios guarde á V. muchos años. Madrid 29 de Octubre de 1816. En atención á los servicios, méritos y circunstancias de D. Joaquín Ma rica y Butrón , del Consejo de S. M , su Secretario con egercicio* y de la Real junta de facultades de viudedades, oficial mayor de la secretaría de la Cámara de Gracia y Justicia y Estado de Castilla, se ha dignado el Rey nuestro Señor condecorarle con la cr…</t>
  </si>
  <si>
    <t>Ma, Josef</t>
  </si>
  <si>
    <t>Josef Ma</t>
  </si>
  <si>
    <t>…pronunciada por el Consejo de generales, ha teaido ¿ bien resolver que se publique en el egército con arreglo á ordenanza. El Rey á consulta de la cámara se ha dignado conceder á D. Josef Ma</t>
  </si>
  <si>
    <t>…nes certámenes ó academias. Madrid /p de Julio. En los dias 17 , t8, 20, 22 , 25 y 26 de Junio próximo pasado hubo egercicios públicos de historia natural farmacéutica, en los que D. Josef Ma ría Hernández , D. Manuel Saldiña, D. Pedro Navas, D. Antonio de la Barrera, O Pedro Mezquia y D. Francisco Guzman, discípulos de este Real colegio de Farmacia de S. Fernando, manifestaron su grande aplicación</t>
  </si>
  <si>
    <t>Ma, Manuel</t>
  </si>
  <si>
    <t>Manuel Ma</t>
  </si>
  <si>
    <t>…ro Señor por su concertado enlaoe con la Serma. Seño ra Infanta de Portugal Doña Isabel Francisca , y besar su Real mano, en nombre del ayuntamiento de la ciudad de Valladolid, el Sr. D. Manuel Ma ría Junco, del consejo de S. M. en el supremo de las Indias, D. Manuel Gil Reynoso, regidores , y D. Vicente Federico, procurador síndico general de la misma ciudad; y el primero dirigió á S. M. el discurso siguiente: ,, Señor: Vuestra M. V. y M. L. ciudad de…</t>
  </si>
  <si>
    <t>Ma, Simón</t>
  </si>
  <si>
    <t>Simón Ma</t>
  </si>
  <si>
    <t>…lia, y les exhortó nuevamente ¿ que continúen sin cesar instruyendo á sus hijos en el santo temor de Dios, que es el prin cipio de la sabiduría, y en seguida el procurador síndico general Simón Ma fias de Mesa pronunció un corto discurso dando gracias á nombre de su coimín al ilustre ayuntamiento y al maestro y maestra por su zelo y vigilan cia , que los hacen acreedores á los mayores elogios ; lisonjeándose al ver progresar la educación pública bajo l…</t>
  </si>
  <si>
    <t>Ma, Tomas</t>
  </si>
  <si>
    <t>Tomas Ma</t>
  </si>
  <si>
    <t>…mendador de Carrion en la orden de Calatrava , y D. Rafael de Urries Bucareli, hijos de los Excmos. Sres. marqueses de A\erve, 1) Fernando Garai, O. Jaime Sa la-, D. V ¡cente Kna, D. Tomas Ma teo y D. Bienvenido Cortés, seminarútas en el mfmo colegio, D. Mariano Nogués, D Pedro Nogués , D Pedro Ortiz, D. Joaquín Miranda, D. Pe dro Navarro, D. Juan Josef Lahorda, D- Lorenzo Biscasillas, D. Antonio Ttmprado, D. Martin Jucez, D. Josef La&gt;, D. Josef M…</t>
  </si>
  <si>
    <t>Macazaga, Antonio</t>
  </si>
  <si>
    <t>Antonio Macazaga</t>
  </si>
  <si>
    <t>…nes en acero, é hincado de estos en matrices de cobre, de donde pueda surtirse el obrador de fundiciones de dicho Real establecimiento, á los "jóvenes pensionados D. Mariano Díaz, D. Antonio Macazaga, D. Matías Hidalgo y D. Lorenzo Barrio, á consecuencia de lo estipulado por dicho D. Josef en la condición tercera de su contrata, fecha 30 de Marzo de i8if, y precedido el informe que por escrito hace en esté acto, asistiendo al mismo los Sres. administrador…</t>
  </si>
  <si>
    <t>Macazaga, Josef de</t>
  </si>
  <si>
    <t>Josef de Macazaga</t>
  </si>
  <si>
    <t>…16 y Real imprenta de S. M., habiéndose señalado por el juez subdelegado de la misma la hora de las 9 de la mañana del propio diapara la distribución de los premios ofrecidos por D. Josef de Macazaga, encargado de la dirección de la escuela y obra dor de construcción de punzones en acero, é hincado de estos en matrices de cobre, de donde pueda surtirse el obrador de fundiciones de dicho Real establecimiento, á los "jóvenes pensionados D. Mariano Díaz, D.…</t>
  </si>
  <si>
    <t>Macedo, Josef</t>
  </si>
  <si>
    <t>Josef Macedo</t>
  </si>
  <si>
    <t>…dinario, y D. Ignacio Ortiz González, di putado del común, juez comisario de la santa hermandad de Ciudad-Real: otra de la ciudad de Monroro, compuesta de su alcalde mayor el Lie. Don Josef Macedo y de D. Antonio Piedrahita , regidor decano de su ayuntamien to ; y otra de la villa de ia Rambla, que componían D. Antonio de Hernu da' y D. Josef de Porras; todos los cuales tuvieron la honra de manifestar á S. M. y A„ la satisfacción que animaba á aquellos…</t>
  </si>
  <si>
    <t>Machado, Francisco</t>
  </si>
  <si>
    <t>Francisco Machado</t>
  </si>
  <si>
    <t>…ante de marina de Cumaná, ai Excmo. Sr. secretario de Estado y del Despacho universal del mismo ramo lo que sigue. Con fecha de 14 de Diciembre me dice desde Pampatar en Margarita D. Francisco Machado lo que copio: Consecuente á la orden de V. S. de 23 de Noviembre último pase á este puerto de Pampatar, y de acuerdo con el comandante de su castillo tomé el mando de la escuadrilla, compuesta en la actualidad de ocho buques, á saber: una polacra con ocho cañ…</t>
  </si>
  <si>
    <t>Machado, Justo de</t>
  </si>
  <si>
    <t>Justo de Machado</t>
  </si>
  <si>
    <t>…jero en el supremo de Hacienda D. Jacobo María de Parga, el secretario de la embajada de S. M. en la corte de Francia D. Manuel Gqnzalcz Salmón, y el cónsul general en aauel reino D. Justo de Machado, para comisarios de la comisión mixta que debe entender en París en concur rencia con los comisarios franceses en arreglar y preparar la parte dispositi va de las obligaciones sobre pagos y reintegros. Es su Real voluntad que cuantos tuviesen reclamaciones qu…</t>
  </si>
  <si>
    <t>Machón, Juan Josef García de Santiago y</t>
  </si>
  <si>
    <t>Juan Josef García de Santiago y Machón</t>
  </si>
  <si>
    <t>…LICA. Grandes Cruces. Al Teniente general D. Antonio Amar, y al R. obispo de Guadalajara de Indias D. Juan Cruz Ruiz de Cabañas. Comendadores. El conde de Santiago de Calimaya, el coronel D. Juan Josef García de Santiago y Machón , ei coronel D. Luis del Aguila, el brigadier de la Real Armada D. Santiago de Irisarri, el brigadier D. Torcuato Trugillo, el capítan de Navio D. Domingo Monteverde, el canónigo de la santa iglesia de To ledo D. Isidoro Sainz de Alfaro, el brigadier D. Josef…</t>
  </si>
  <si>
    <t>MachucaD, Josef Vargas</t>
  </si>
  <si>
    <t>Josef Vargas MachucaD</t>
  </si>
  <si>
    <t>…niente de Navio D. Josef Morales, D. Francisco Berminghan, D. Pedro Mareilla, D. Josef Buitrago, D. Josef Resusta y D. Pe dro Micheo. A tenientes de Fragata los alféreces de Navio D. Josef Vargas MachucaD. Josef López Sagredo, D. Francisco Ro dríguez Gelabert, D. Mateo Albornoz, D. Josef Oiozaga, D. Francisco Gascón, D. Tomas Ciscar, D. Francisco Ristori y D. Santiago Soroa. A alféreces de Navio los de Fragata D. Luis Romero, D. Josef Sevilla, D. Félix Martíne…</t>
  </si>
  <si>
    <t>Mae, Midas Mariano</t>
  </si>
  <si>
    <t>Midas Mariano Mae</t>
  </si>
  <si>
    <t>786 En seguida pasaron al cuarto de S. A. y tuvo la bondad dé dispensarles igual gracia. El mismo dia tuvieron la honra de presentarse á S. M. y besar su Real mano D. Midas Mariano Mae»rre , D. Josef Santiago Remires, D. Román Romero y D. Tomas de Trúpita , comisionados por el ayuntamiento de la villa de Valdeolivas; con cuyo motivo dijo el primero: ,,Señor: El ayuntamiento de la villa de Valdeolivas se presenta ¿los Reales pies de V. M. ¿…</t>
  </si>
  <si>
    <t>Maffei, Cayetano MafFeo</t>
  </si>
  <si>
    <t>Cayetano MafFeo Maffei</t>
  </si>
  <si>
    <t>…pretendientes dirigirán sus memoriales, con el mérito que tuviesen, al ayuntamiento de aquel pueblo en todo el presente mes de Julio. Conviniendo saberse el destino ó paradero de D. Cayetano MafFeo Maffei, te niente que era del regimiento de infantería de Ñipóles al servicio de España, del cual su familia no ha tenido noticia alguna desde 27 de Setiembre de 1808 , día en que cobró en Madrid la pensión mensual que le pasaba su madre. Si algún caballe ro oficia!…</t>
  </si>
  <si>
    <t>Mag'awly</t>
  </si>
  <si>
    <t>…vamente en muchos periódicos como poco confor me á los verdaderos intereses de la Suiza. ITALIA. Parma 8 de Noviembre, Se ha fijado en los parages públicos un decreto del ministro conde Mag'awly, en que manifiesta á ios habitantes de los ducados de Parma y dePlasencia la imprudencia y absurda conducta de los que, sin medios de subsis tencia, abandonan su patria para buscar, como creen, mejor suerte entre los anglo-americanos. Muchos de estos desgraci…</t>
  </si>
  <si>
    <t>Mag, Josef Bruno</t>
  </si>
  <si>
    <t>Josef Bruno Mag</t>
  </si>
  <si>
    <t>…es de Casa-boca , y marques de Corpas. Mayordomos de semana Al barón de Carondelet, al conde de Casa-Rojas, á D. Antonio de Agüe ra y Mollinedo , D. Gaspar María Soler y Arcayo, y D. Josef Bruno Mag dalena. Ayudas de cdmara A D. Nicolás Arguelles , D. Domingo Izquierdo y Morales, D. Francis co Hernández y Nogues y D. Joaquín Montujar y Larrea. NOTA. Las gracias que se han expedido por la secretaría del Despacho de Guerra se publicarán en otra gaceta. EN…</t>
  </si>
  <si>
    <t>Magallanes, Fernando</t>
  </si>
  <si>
    <t>Fernando Magallanes</t>
  </si>
  <si>
    <t>…otaciones son la de,7^. rs, aúpales el de mé dico , y 300 ducados el del cirujano, pagados unos y otros del fondo de propios. Quien quisiere hacer solicitud dirigirá su memorial á D. Fernando Magallanes, es cribano de ayuntamiento; en inteligencia de que el partido de médico se ha de pro veer á los 20 dias de esta publicación, y el de cirujano en todo el mes de Noviembre. Apuntamientos sobre el mejor modo de enseñar y estudiar las ciencias, dirigi dos á Feli…</t>
  </si>
  <si>
    <t>Maggarelli</t>
  </si>
  <si>
    <t>IÓ.7" breve del Papa, en que declara nulo, él matrimonio entre el Príncipe Realde Wurtemberg y la Princesa Carlota de Baviera. El enviado austríaco conde Maggarelli ha llegado á esta capital, é inme diatamente se ha presentado al Emo. cardenal pro-secretario de Estado. Siguen preparándose los alojamientos para el Emperador dé Austria y su comitiva. Génova i6~de Enero, Los reclutas italianos que se hicieron para el servic…</t>
  </si>
  <si>
    <t>Magro, Marcelino</t>
  </si>
  <si>
    <t>Marcelino Magro</t>
  </si>
  <si>
    <t>…que huian de las balas y de las bombas; estas últimas y algunas balas de 36 pasaron á la otra par te de la ciudad,, y mataron á algunos fugitivos.” ESPAÑA. Ame do 7$ de Setiembre. D. Marcelino Magro, catedrático de latinidad de esta ciudad, y socio de la Real academia latina matritense, presentó á sus discípulos á examen pú blico en el 11 del.corriente, verificándolo por sus respectivas clases sobre ele mentos de humanidades: tos espectadores manifestaro…</t>
  </si>
  <si>
    <t>MaI</t>
  </si>
  <si>
    <t>…ba D. Antonio Rafael Guerra, individuo del mismo cabiido , y comhario de guerra honorario, el cual cumplimentó) á S. M. por su luí uro enlace con k Serma. Sra. Infanta de Portugal Doña MaI:abf,l en los términos siguientes: ,,Señor : El cabildo de caballeros jurados del" nobilísimo ayuntamiento de la ciudad de Córdoba me ha distinguido con la honrosa comisión de vex&gt;¡r á ofrecer á V. R. M. el parabién por su acordado matrimonio con S. A, R. la S…</t>
  </si>
  <si>
    <t>Maicas, Inocencio</t>
  </si>
  <si>
    <t>Inocencio Maicas</t>
  </si>
  <si>
    <t>…Miranda, D. Pe dro Navarro, D. Juan Josef Lahorda, D- Lorenzo Biscasillas, D. Antonio Ttmprado, D. Martin Jucez, D. Josef La&gt;, D. Josef Martin, D. Manuel Laredo, D. Gaspar Gailat, D. Inocencio Maicas, D. A: mnio Cebollero, D. Pedro Juste y D. Francisco López. Dio principio ul egcrcicio D. Maria no Nogués con un elegante discurso latino, que mereció los aplausos: luego una porción de los cenantes, habiendo presentado la colección de autores prosaicos que s…</t>
  </si>
  <si>
    <t>Maicoím, Pultney</t>
  </si>
  <si>
    <t>Pultney Maicoím</t>
  </si>
  <si>
    <t>…e continuaba reducido á los límites que se le han prefijado, sin querer recibir visita alguna, ni aun la de los comisarios de las potencias que habían llegado de Inglaterra con el caballero Pultney Maicoím. Ayer se dijo aquí que la escuadra de lord Exmouth estaba ya delante de Argel; pero nos parece muy prematura esta noticia. Se teme que empiece de nuevo la guerra en la India contra el Napaul. El Duque de Cambridge debe salir de Londres en la primera semana de…</t>
  </si>
  <si>
    <t>Maire</t>
  </si>
  <si>
    <t>…festó que los ministros estaban trabajando en un plan, según el cual acaso no seria necesario el empréstito. A petición de mas,de 70 individuos del cuerpo municipal de Londres, el lord Maire (corregidor) convocó ayer para una junta del mismo cuerpo, á fin de tratar de üna petición, que ha de presentarse al parlamento sobre el es tablecimiento militar, solicitando su reducción, como también la disminución en los gastos públicos. Un oficial de la e…</t>
  </si>
  <si>
    <t>Mairíand</t>
  </si>
  <si>
    <t>…es al general Maúland , comisario de S. M. en estas islas, recelando que el modo de pensar del autor fuese conforme á las opiniones del ministerio ingles. Para evitar disgustos el general Mairíand ha negado en una proclama que sean estos los sentimientos del Gobierno. PRUSIA. Berlín t.° de Junio. S. M. ha dado el mando del egército prusiano en Francia al teniente ge neral Ziethen, durante la ausencia del teniente general conde de Gneisenau, que ha obte…</t>
  </si>
  <si>
    <t>Maitiand</t>
  </si>
  <si>
    <t>…ncederle los esclavos sardos, si fuese de rsu agrado el aceptarlos. . El al mirante se obstinó en que á él' y no ár la Princesa .se^bian conceder. Obser vó asimismo el bajá que el general Maitiand cuando pasó por aquí mani festó los poderes que tenia de S. A. R, el Príncipe Regente para tratar de los asuntos políticos con los estados de. Berbería , y que él mismo positiva mente declaró que las intenciones desgobierno ingles no fcran e)l mezclarsej sino…</t>
  </si>
  <si>
    <t>Maitland</t>
  </si>
  <si>
    <t>144</t>
  </si>
  <si>
    <t>…, prendiendo á muchos de ellos: otros han. vuelto voluntariamente a casa de sus antiguos amos; de modo que ia ex pedición ha sido muy feliz y digna de los mayores elogios. *. ' El general Maitland, gobernador de la isla de Malta,, envió la orden siguiente ai cónsul ingles residente en los estados berberiscos. De las dispo siciones amistosas que expresa en favor de-aquellos gobiernos se puede infe rir,. que el proyecto caballeresco de sir Sidney Smith n…</t>
  </si>
  <si>
    <t>Makensie</t>
  </si>
  <si>
    <t>…En el día asiste á los consistorios y congregaciones de los cardenales. Continúan llegando á esta capital muchos extrangeros, entre los cuales se notan los siguientes: el teniente general Makensie, el teniente general Albercombrie, lord Brownlon, lord Spencer , sir Jorge Staveii, y otras varias personas de distinción de Inglaterra. S. M. ha nombrado mariscales de Francia á los tenientes generales duque de Coigni, conde de Beurnonville, duque de Feltre…</t>
  </si>
  <si>
    <t>Malaspina, Alejandro</t>
  </si>
  <si>
    <t>Alejandro Malaspina</t>
  </si>
  <si>
    <t>…de sus dominios.de ultramar, pertenecientes á la expedición de las corbetas Descubierta y Aitrevida , que dieron la vnelta al mundo bajo el mando del brigadier efe 1® Real, Armada D. Alejandro Malaspina en los años desde 1789 á 1795; y por úl timo , después de reconocer con ilustrada detención los preciosos documentos y trabajos con que esta dependencia ha enriquecido á la navegación desde su erección en 1797 , S. M. y AA. se dignaron subir al pequeño observ…</t>
  </si>
  <si>
    <t>Malcolm</t>
  </si>
  <si>
    <t>…satisfactorias de nuestros establecimientos en la India, hste buque arribó el 5 de Setiembre á ia isla de Sta. Elena, en cuya rada dejcS al navio Newcaftle, mandado por el contra-almirante Malcolm , y las fraga tas Griffon y Julia. La fragata Faetón estaba anclada enfrente del valle de Temon, y el Podargus cruzaba á la vista de la isla. Todo se hallaba tran quilo en la colonia: la guarnición gozaba de buena salud; pero' los víveres estaban muy caros. E…</t>
  </si>
  <si>
    <t>Maldonado, Joaquín Blanco</t>
  </si>
  <si>
    <t>Joaquín Blanco Maldonado</t>
  </si>
  <si>
    <t>…s Martin Sedeño, canó nigo magistral de la Real iglesia colegiata de S. Ildefonso. Para el gobierno militar y político de la plaza del Ferrol ha nombrado S. M. al capitán de navio D. Joaquín Blanco Maldonado: para el corregi miento de Herrera del Rio Pisuerga á D. Eugenio María Alvarez: para el de Mayorga á D. Manuel Rufino García Zorrilla: para el de Trebujena á Don Josef Sánchez Rollan : para el de Valencia de Don Juan á D. Manuel de Quevedo y los Ríos : para e…</t>
  </si>
  <si>
    <t>Malhew</t>
  </si>
  <si>
    <t>…a unión de los ánimos, en atención á la cual no se debe negar el beneficio de las leyes inglesas á los católicos. Sir Henrique Parnell apoyó la propuesta de su honorable amigo. El general Malhew , como también sir John Cox-Hippisley votaron igualmente por la emancipación de los católicos, y sostuvieron su opinión con exce lentes raciocinios. Mr. Petk dijo que la cámara no debia ocuparse en una cuestión que po día acarrear muchos mates. Lord Ca&lt;itcrea…</t>
  </si>
  <si>
    <t>Mame, Obispo de Chaíons del</t>
  </si>
  <si>
    <t>Obispo de Chaíons del Mame</t>
  </si>
  <si>
    <t>…á recobrar su 'esplendor antiguo. El martes próximo se abrirá el curso de teología en la academia de París, con cuya ocasión celebrará una misa solemne del Espíritu Santo el limo. Señor Obispo de Chaíons del Mame, par de Francia. La clase de las nobles artea del instituto de"'Francia en conformidad á la invitación del ministro de! Interior , ha nombrado tres candidatos para la plaza de director de la academia Real de pintura , escultura y arquitectura en Roma, que son…</t>
  </si>
  <si>
    <t>Mañano, Mariano</t>
  </si>
  <si>
    <t>Mariano Mañano</t>
  </si>
  <si>
    <t>…publico los mismos , y pedida la aten ción en unos versos castellanos que recitó D. Juan Melendo , tomaron de los concurrentes asuntos para escribir en verso latino; y en seguida D. Mariano Mañano , uno de ello»-, recitó una oración latina sobre la necesidad que hay en la educación crhriana de los niños de tener cuenta con la desentrenada impiedad que tanto ha cundido en el dia, á íin de evitar que destruya la pu reza de la religión que felizmente rein…</t>
  </si>
  <si>
    <t>Mancha, Rafael</t>
  </si>
  <si>
    <t>Rafael Mancha</t>
  </si>
  <si>
    <t>…an camente á todos los españoles para que eleven sus votos al trono por medio de las sociedad^ económicas sobre los objetos en que mas se interesa la feli cidad universal. De pues D. Rafael Mancha, secretario de la academia gene ral , é ir.rcrií:o de la sociedad, leyó la historia de lo egecutado por esta des de 22 de Octubre de i'ái) , dia en que la sociedad celebró otra junta públi</t>
  </si>
  <si>
    <t>Manchado, Francisco</t>
  </si>
  <si>
    <t>Francisco Manchado</t>
  </si>
  <si>
    <t>…n aprobó mi determinación : el viento era poco del O. N. O. siguiendo á ve a y remo hacia los islotes Frailes; á las siete de la noche encontré al fa lucho Resistencia, del pátron D. Francisco Manchado, el que me avisó que las goletas enemigas le habían perseguido, haciéndole fuego entre dichos islo tes Frailes y la costa de ía isla, y dándoles un plan de señales, les previne viniesen reunidos con dirección al Norte. A las cuatro de la mañana de este dia av…</t>
  </si>
  <si>
    <t>Mancio, Juan Gregorio</t>
  </si>
  <si>
    <t>Juan Gregorio Mancio</t>
  </si>
  <si>
    <t>…allos, primer secretario de Evtado y del Despacho, D. Manuel de Villena, pri mer caballerizo de S. M., el marques de Monsalud, primer caballerizo del Sermo. Sr. Infante D. Carlos, D. Juan Gregorio Mancio, mariscal de cam po de los Reales egércitos, y caballero de la orden y banda de S. Herme negildo, y D. Fulgencio Suarez de Figueroa, regidor decano de dicha ciu dad , y caballero de la orden militar de Montesa. En la tarde del mismo dia tuvieron el honor de b…</t>
  </si>
  <si>
    <t>Mancu, Jaime</t>
  </si>
  <si>
    <t>Jaime Mancu</t>
  </si>
  <si>
    <t>…y después que en nom bre de todos pidió la atención de los oyentes D Pe 1ro Bordanave , hicieron con corta diferencia los mismos ejercicios que los del dia anterior; conclu yendo D. Jaime Mancu dando al público las gracias con una oda anacreón tica. Las personas mas instruidas de la ciudad que concurrieron á presenciar estos egercicios , no pudieron menos de admirar y elogiar la instrucción de unos niños que en tan corta edad se hallaban tan fundame…</t>
  </si>
  <si>
    <t>Mañero, Pedro</t>
  </si>
  <si>
    <t>Pedro Mañero</t>
  </si>
  <si>
    <t>…iano, presbítero de Cartago, contra los gentiles en defensa de los cristianos, con el libro déla paciencia v el de la exhortación de les m ¡rtb es: tra ducido por el limo. Sr. Fr. D. Pedro Mañero, obispo de Tarazona. El objeto de es ta obra, la belleza y elegancia del e&gt;tilo, y la pureza del lcnguage, la hacen intere sante á toda clase de personas: un tomo en 4.0, á 20 rs. en pasta, y 16 á la rústica. Se hallarán en el despacho de libros de Laborda, c…</t>
  </si>
  <si>
    <t>Mannet, Santiago</t>
  </si>
  <si>
    <t>Santiago Mannet</t>
  </si>
  <si>
    <t>…ro é hijo. Quedaron apresados los individuos siguientes: á saber , Manuel Antonio, Manuel y Leandro Salgado, nueve esclavos de la familia de Amador y uno de Pumbo, y el presbítero D. Santiago Mannet, con el vigía de la costa; y á bordo de la goleta Americana el Dr. D. N. Zúñiga. Con fecha 27 de Enero dicen de Fasto lo siguiente: De Popayan ?e ha recibido por conducto seguro una noticia exicta del estado del reino. En Chi ta, que está dos dias distante de…</t>
  </si>
  <si>
    <t>Manrique, Basilio García</t>
  </si>
  <si>
    <t>Basilio García Manrique</t>
  </si>
  <si>
    <t>…165© rs. de vn. Quien quisiere ha cer postura acuda-ante el citado señor juez y por el oficio de provincia de D. Si món Rui^, que sé admitirá siendo arreglada. Por providencia de D. Basilio García Manrique, corregidor por S. M. déla ciudad de Astor^a, su jurisdicción y á ella agregadas, se llaman, citan y empla zan á todos los acreedores ó sus herederos á los bienes concursados de D. Francisco ^lore.z V-illamil, vecino que fue y del comercio de esta ciudad, par…</t>
  </si>
  <si>
    <t>Manrique, Jacobo Manuel</t>
  </si>
  <si>
    <t>Jacobo Manuel Manrique</t>
  </si>
  <si>
    <t>…los ár boles frutales y floreros que contiene el jardín, en 516680 rs. vn. Quien quisiere hacer postura á esta casa y sus pertenencias acuda ante dicho señor juez y escribanía de D. Jacobo Manuel Manrique, que se admitirán siendo arregladas. En la villa de Lequeitio, señorío de Vizcaya, se halla vacante la plaza de ciru jano de estuche, cuya dotación son 400 ducados anuales, pagados por tercios por su tesorería, y otros 100 poco mas ó menos que da la cofradía…</t>
  </si>
  <si>
    <t>…suma que esta. Las persoKas que quisieren mejorar esta proposición 1q harán dentro del término señalado ante, el citado señor juez comisionado y escribanía del número del cargo de D. Jacobo Manuel Manrique. H abiéndose cometido la egecucion de una Real facultad al Sr. D. Ramón Si tué, del consejo de S. M., alcalde en su Real casa y corte, se ha mandado por pro* videncia de 2 del corriente sacar á pública subasta por término de 30 dias una casa sita en esta cort…</t>
  </si>
  <si>
    <t>…su remate el día 9 del próximo mes de Mayo á las 12 de su mañana en la audiencia de S. S. Quien quisiere hacer mejora acuda á egecutarlo ante dicho señor y escribanía de número de D. Jacobo Manuel Manrique. Dias alegres de madama Gómez, traducidos por D. Gaspar Zavala y Zamora: 8 tomos en 8.° pasta á 96 rs. — E4 Dote de Suceta: novela escrita en francés por madama de Senneterre, y traducida al castellano: un tomo en 8.° pasta á 1 2 rs--- El Heroísmo de la amist…</t>
  </si>
  <si>
    <t>Manrique, Jacobo Xlanuel</t>
  </si>
  <si>
    <t>Jacobo Xlanuel Manrique</t>
  </si>
  <si>
    <t>672 villa, por ante el escribano del número D. Jacobo Xlanuel Manrique , se ha servi do señalar el dia 23 del próximo Julio, á la hora de audiencia, para el remite de la dehesa de Javanilla, sita en término y jurisdicción de la ciudad de Truxillo, cu) a cabida, valor y demas circunstancias se especificaron por menor en las gacet…</t>
  </si>
  <si>
    <t>Mansey</t>
  </si>
  <si>
    <t>…iduos son el teniente general Koutusoff, ayudante de campo del Emperador; los con sejeros de Estado barón de Nicholay y Savrasoff; el consejero del colegio Mr. Glinka; el teniente coronel Mansey ; el capitán Perofkey , y el Dr. Crichton. Poco tiempo después de la llegada del gran duque se presentó á S. A. I. sir Benjamín Bloomfields á darle la bien venida de parte del Príncipe Regenre. El conde de Lieven , embajador de Rusia , comió con el Príncipe.…</t>
  </si>
  <si>
    <t>Mansilla, Lorenzo</t>
  </si>
  <si>
    <t>Lorenzo Mansilla</t>
  </si>
  <si>
    <t>…n de las estampas que se venden en la Real Calcografía, sita en la imprenta Real. Estampas en cuartilla demarca mayor. Muestras de escribir por Don Domingo Servidori, grabadas por D. Lorenzo Mansilla, á real cada una.:z:Estampa de la Iglesia triunfante, grabada por D. Juan Antonio Carmena, á g rs. — Es tampa de la alegoría de la misa, grabada por el mismo, á 3 rs.z: ü Madre del di vino Redentor, dibujada por A. Ciraroli, y grabada por D. Juan Bruneti, á 6…</t>
  </si>
  <si>
    <t>Manso, Josef</t>
  </si>
  <si>
    <t>Josef Manso</t>
  </si>
  <si>
    <t>…fécio. !Sirí embargo he empezado por la capital y'sus* al rededores, destinan do á este grande objeto el batallón de infantería ligera de Ilostalrich, al mandó'dé su'cómandante el brigadier D. Josef Manso. Esta tropa, acostumbrada »*yenéer á-los enemigos extrangeros, sabrá también purgar, el mismo suelo de'los enemigos interiores. Desgraciado el que se atreva &lt;á cometer un exce so: ien el momento mismo será aprehendido .sin- remedio , y entregado á la jus tóte…</t>
  </si>
  <si>
    <t>de que se compone esta capital. Cada una de estas cinco partidas se dividirá según convenga para rondar con el Sr. alcalde de cuartel y los de barrio. 2.° El brigadier D. Josef Manso queda nombrado comandante general de las partidas de este establecimiento, las que serán del batallón de su cargo nombrado ligero de Hostalrich. Su residencia será en esta ciudad, y por lo que mira á las instrucciones particulares relativas al casco de ella s…</t>
  </si>
  <si>
    <t>…a y cumplimiento en la parte que le corresponda. Dios guarde á V. muchos anos. Madrid 24 de Agosto de 1816. Circular del Ministerio de Marina. Con motivo de haber ocurrido á S. M. D. Josef Manso , vecino del lunar de Escobedo deCarriedo, en las montañas de Santander, solicitando su Real permiso para mantener cerrado un terreno de arbolado de su propiedad , cu ya solicitud se pasó por e^te Ministerio á informe del juez conservacc r de montes de la Cav…</t>
  </si>
  <si>
    <t>Manso, Manuel</t>
  </si>
  <si>
    <t>Manuel Manso</t>
  </si>
  <si>
    <t>…tó. En esta clase de latinidad se distinguieron D Josef Viejo* D. Francisco Martínez, D. Manuel Antonio Nuñez, D. Manuel Paez, Don Manuel Perez , D. Manuel Saiz, D. Manuel Valles, D. Manuel Manso, Don Gregorio Colmeneroy D. Francisco Arribas; los cuales dieron pruebas de su constante aplicación y adelantamientos, y de hallarse aptos para emprender otros estudios, por lo que merecieron particular aprecio del ayuntamiento y demas personas que asi lóTman…</t>
  </si>
  <si>
    <t>Manuel</t>
  </si>
  <si>
    <t>…l; y para la ase soría togada de las islas de Ibiza y Fcrmenrera, con el encargo de desemeñar al mismo tiempo la subdelegaron de todas rentas y la judicatura del eal patrimonio, á D. Manuel de la Plaza y Farias, por haber sido agracia S do D. Eugenio Manuel Cuervo con una de las dos plazas de alcaldes del crimen creadas por $, M. en la Real audiencia de Galicia.</t>
  </si>
  <si>
    <t>…ra la de Miranda del Castañar á D, Francisco Cornsgo: para la de Fuente de Cantos á D. Roque Naranjo: para la de Jarandilla á D. Josef González: para la de Salas de los Infantes á D. Manuel de! Pozo: para la de Curiel á D. Esteban Sánchez de la Iglesia: para la de Huelma á D. Antonia Josef Ximenez de Vega: para la de Peñaflor á D. Dionisio Rodríguez Gon zález: para la de Cogolludo á D. Francisco María Ortiz: para la de Algari-</t>
  </si>
  <si>
    <t>primera las cerras de Ajusco ó Xochimilco, inmediatos á esta capital, ó bien cruzando por entre Tasco y Cuernavaca. Inmediatamente dio S. E. órdenes terminantes al teniente coronel D. Manuel de la Concha ,que se hallaba man dando una división en el territorio de Toluca , para que sin dilación se dirigiese á Temascaltepec, á fin de reconocer y observar aquel rumbo, aunque pre viniéndole que de ningún modo creía esta superioridad que Morelos esco g…</t>
  </si>
  <si>
    <t>…orelos por el teniente coronel Concha, según consta del siguiente parte: ,,Excmo. Sr.: Es la una del dia, en que acabo de recibir la plausible no ticia que me comunica el teniente coronel D. Manuel de la Concha de la completa derrota del rebelde Morelos á distancia de cuatro leguas de este punto , su prisión , y la de otro de igual carácter apellidado Morales, con mas dos piezas de artillería, porción de armas de fuego y blancas, considerable número de…</t>
  </si>
  <si>
    <t>…. Francisco Antonio Fernandez Llar, presbítero, residente en Cádiz. El primero contenía un Real título por duplicado de dignidad de arcediano de Valladolid de Mechoacan á Favor de D. Manuel de la Bar cena, y el segundo otro Real título, también duplicado, de dignidad de chantre de la misma santa iglesia á favor de D. Jósef de la Peña Campuzano. Y no habiendo' llegado dichos pliegos á su destino, se suplica al que sepa la existencia de ellós los…</t>
  </si>
  <si>
    <t>americana de Isabel la Católica: al capitán de fragata D. Manuel, Cordero su ascenso á capitán de navio: el de capitanes de fragata á los tenientes de navio D. Josef Laserna , D. Bernardo de Salas, D. Rafael Santibañez y Don Josef María Chacón : el de capitanes de fragata graduados á los tenientes de navio D Jacinto Marcai…</t>
  </si>
  <si>
    <t>…. en un recibo de 50 reses lanares que entregó al cgéicito: la comunidad de P1J. Gerónimos de Sta. C atalina de Monte O rb^n 62760 rs. y 23 mrs de réditos de ¡uros y vales Reales: D. Manuel de la Vega Jáuregui, oficial de la contaduría ge reral de rentas piovinciales, ha cedido 1025 rs. vn. de sueldos vencidos en el departamento de marina de Cartagena : Don Victoriano Ortuño y Venader, vecino de la Coruña, 20 rs. en de s recibos de rédi os de ac…</t>
  </si>
  <si>
    <t>…ca matritense &amp;c. , nació en la ciudad de Murcia el dia 23 de Enero de 17 14, y murió en Madrid el 19 de Noviembre de 181 2 á los 67 años, IG meses tnenos cuatro días: tue hijo de D. Manuel; natural de Cuenca, de la misma profesión, quien después de concluida la fachada de la</t>
  </si>
  <si>
    <t>97</t>
  </si>
  <si>
    <t>…de, quedo entendido á verificarlo según la órden de S. E. Di &gt;s guarde á V. S muchos años. Parroquia de San Cristóbal Ecatepec y Diciembre 22 de 1815 =Jo&gt;ef Miguel de Ayala. = Sr. coronel D. Manuel de la Concha. 2.0 Queda sepeh ido en esta parroquia de San Cristóbal Ecatepec el cadá ver de Josef Ma;ía Morelos, que fue pasado por las arims en el pelado de este pueblo, en virtud del oficio que V. S. se sirvió dirigirme en la mañana de este dia. Dios guard…</t>
  </si>
  <si>
    <t>…uenta á S. M. en el inmediato correo. =:Calleja. Documentos relativos d la muerte que sufrió el ex-cura Josef María Mú relos , publicados de órden del Excmo. Sr, virey. Oficio del coronel D. Manuel de la Concha. Excmo. Sr.: En cumplimiento de la superior órden que V. E. se sirvió comunicarme la noche del 21 del corriente, salí á las seis de la mañana sub secuente de esa capital conduciendo la persona del rebelde Josef María Mó jelos, á quien mandé fusil…</t>
  </si>
  <si>
    <t>…á 12 rs.~E1 origen de la pintura, de original de autor desconocido, dibujado y grabado por D. Josef Navia: á 8 rs. ( Se continuará.) D. Josef Iglesias, natural de Málaga, hijo de D. Manuel y de Doña Felipa de Rojas, se ausentó de dicha ciudad de edad de 20 años, pudiendo tener en el dia 56 a 60; se sabe viajó á varias partes de América en clase de marinero, y que úl timamente »e estableció en el puerto de Cavite, en las Islas Filipinas; pero ha…</t>
  </si>
  <si>
    <t>…l pariente ó parientes que.acrediten , ser mas inmediatos, y Ies parará el perjuicio que haya lugar. Por el presenté se cita, Ibma y emplaza á los parientes pobres mas cercanos de D. Manuel y Doña Polonia Moreno Diez, hermanos difuntos, naturales dé la villa de Villanucva de Cameros, y vecinos que fueron de esta corte, para que dentro de 30 días, contados desde e! d¡a i.° del corriente, comparezcan ante el Sr. D. Joaquín de Almazan, del Consvjo de S. Mi, teniente corregid…</t>
  </si>
  <si>
    <t>1413 B. Josef, D. Lorenzo, I). Antonio, Dona María de la Concepción, Doña Gertrudis, Doña María de Jesús, D. Francisco, D. Juan,* D. Manuel y Don Ramón López Perez, naturales de la Havana. Y habiendo fallecido el refe rido su padre D. Antonio López Gómez en el mismo año de 1802 al tiem po de estar para recogerlos, habiendo dejado pagados parte de sus gastos, dejando á deber-solo 540 reales y la encuadernación á parte___…</t>
  </si>
  <si>
    <t>Manuel, EX Joscf</t>
  </si>
  <si>
    <t>EX Joscf Manuel</t>
  </si>
  <si>
    <t>54° Por providencia de! Sr. EX Joscf Manuel de \rjona , alcalde de casa y corte , re- . frendada de EX óLnuicl L&lt;~&gt;pjz de Rivas, escribano de provincia y corivsiorns, se ha señal ¡do eí día 3 r del presente, á las 1 1 y media de su mañana , en la au rienda de S. S. , p&gt;.ra e! remate en pública subasta…</t>
  </si>
  <si>
    <t>Manuel, IJ</t>
  </si>
  <si>
    <t>IJ Manuel</t>
  </si>
  <si>
    <t>…e* lmo. Sr. inquisidor general. Concluido el autillo del santo ( ficto piocedió el Ilm . Sr. Bergosa á la A.gradación re.,!; y vt i ti cada, el Sr. provis. r entregó el reo al Sr. coronel IJ Manuel de la Concha, comisionad &gt; por el Exorno. Sr. virey para reci bido; y rasada la causa por la juri dicción unida a la capitanía general, !o e nde ó a la peoa capital conforme a*. parecer del señor auditor, cayo dic tamen y superior decreto de conformidad son c…</t>
  </si>
  <si>
    <t>Manvell, A. C. G.</t>
  </si>
  <si>
    <t>A. C. G. Manvell</t>
  </si>
  <si>
    <t>i8o taz may or Eugenio Macero desden de Noviembre de 1812 basta 24 de Ma* yo de 181,4; D. A. C. G. Manvell á Adrián de Dios desde 25 de Mayo d&amp; 1813 hasta 16 de Junio de id. Oficina de la pagaduría de los transportes.a: Lisboa 30 de Enero de i8i6.2=Cárlos Pratt. Doria Josefa Gáceres de Radcliffe , viuda del teniente Stephen Radcliffé, del regimiento ingenieros.de…</t>
  </si>
  <si>
    <t>Manzanares, Juan Garrido</t>
  </si>
  <si>
    <t>Juan Garrido Manzanares</t>
  </si>
  <si>
    <t>…retendientes di rigirán las respectivas solicitudes por conducto del Lie. D. Benito Fernandez, se cretario capitular del cabildo de dicha santa iglesia. Por jubilación concedida á D. Juan Garrido Manzanares se halla \racante la pla.za de maestro de primeras letras de la ciudad de Huete , provincia de Cuenca: su dotación consiste en 250 ducados anuales, pagados nuevamente del fondo de pro pios, y casa gratis cómoda para su habitación. Los pretendientes dirigirán…</t>
  </si>
  <si>
    <t>Manzanéelo, Manuel de</t>
  </si>
  <si>
    <t>Manuel de Manzanéelo</t>
  </si>
  <si>
    <t>…nuel de Valle, comandante de partidarios; el del comandante accidental del se gundo escuadrón teniente coronel de egército D. Domingo Reboredo; el del teniente coronel de egército D. Manuel de Manzanéelo, y el del teniente co ronel de Milicias D. Martin de Somocurcio; el de los capitanes de cazadores D. Josef Mariano Perez del Portillo, D. Josef María Pereira y D. Juan Pose,</t>
  </si>
  <si>
    <t>Manzano, Francisco Rodríguez del</t>
  </si>
  <si>
    <t>Francisco Rodríguez del Manzano</t>
  </si>
  <si>
    <t>…r sus vecinos, los 6701 rs. en efectivo y los 12® restantes en tres acciones del em préstito de 160 millones___ La villa de Monforte de Leinos 1500 rs. vn. — El capitán de fragata D. Francisco Rodríguez del Manzano 1® rs. vn. que en tregó en 1808 de préstamo, según recibo del tesorero de.la juma de Murcia. D. Manuel F rey re, procurador general de la ciudad de Santiago, ha ofre cido para socorro de las urgencias multares de aquella provincia la renta de un año que corre…</t>
  </si>
  <si>
    <t>Maortua</t>
  </si>
  <si>
    <t>…de cansancio, en que se hallaban. Ya habían lo grado algunos ponerse sobre el muro , v los .enemigos desamparaban cobar■ demente su; defensa, cuando se'notó la muerte del valiente capitán Maortua, ocurrencia que unida á la de no haber llegado las demas escalas, pues solo subieron tres" por- haberse escondido los paisa ños; que las conducían, puso á la tropa en la imposibilidad de poder seguir asaltando ; cuya inacción, ob servada por los enemigos, se…</t>
  </si>
  <si>
    <t>…os de la Ciénega de Tescar, di rigió la retirada con el ma^ot orden y serenidad, manifestando su valor y pericia miliiar. En este ataque sufrimos la sensible pérdida del expresado capitán Maortua, la del subtenien te de la Victoria D. Juan Espino, y ocho cazadores, asi como cuatro ofi ciales y 10 soldados heridos. „ Amaneció el dia 12: se observó que todas las fuerzas de mar enemigas se hallaban fondeadas inmediatas á Bocagrande , las cuales hasta el…</t>
  </si>
  <si>
    <t>…de cazadores, que en caso de no hallar avanza da verificase la sorpresa, y de lo contrario que se limitase á la diversión enunciada, que era el verdadero objeto. Dio en efecto el capitán Maortua en una avanzada, que fue degollada; pero no pudo evitar el que las centinelas disparasen sus armas, y que por esta causa se alarmase la guarnición de Ja Popa, y se preparase á la defensa. En vez de no haber pasado de este punto el dicho oficial, dejándose lle…</t>
  </si>
  <si>
    <t>Maortua, Josef</t>
  </si>
  <si>
    <t>Josef Maortua</t>
  </si>
  <si>
    <t>…che, y con una bizarría digna del gefe y oficiales que la mandaban, y de la tropa á quien se había fiado, se condujo hasta asaltar el parapeto; pero en este momento cayó muerto el capitán D. Josef Maortua, y no ha biendo comunicado á nadie su plan ,los esfuerzos de tantos valientes no tuvie ron la coherencia y unidad necesaria ; lo que advertido por los enemigos, que hablan huido desde los primeros momentos, acudieron al parapeto, y sin sa lir jamas de él hici…</t>
  </si>
  <si>
    <t>…por el cual se iba á distraer la atención del enemigo; pero pudiendo ser asaltada mediante el descuido en que declaraban los prisioneros se hallaba su guarni ción , se previno al capitán D. Josef Maortua, á quien se encargó la empre sa con parte de la columna de cazadores, que en caso de no hallar avanza da verificase la sorpresa, y de lo contrario que se limitase á la diversión enunciada, que era el verdadero objeto. Dio en efecto el capitán Maortua en una a…</t>
  </si>
  <si>
    <t>Mar</t>
  </si>
  <si>
    <t>…or de ser admirida á la Real presencia de Y. M. pua felicitarle por su feliz regreso al trono de sus mayores, v por «u futuro au gusto enlace con la Seima. Sra. Infama de Portugal Doña Mar¡a Isahí'l Francisca. Apenas tomé posesión del corregimiento de dicha ciudad ui o de Febrero del año último, con el que V. M. se dienó agraciarme, propuse á su noble y leal ayuntamiento ei proyecto que había concebido, aun antes de salir de esta corte, de cele…</t>
  </si>
  <si>
    <t>Mar, Antonio</t>
  </si>
  <si>
    <t>Antonio Mar</t>
  </si>
  <si>
    <t>…tigua en la plazuela nombrada el Hospitalico, conocida por la de Manso, extramuros de la expresada ciudad, sin demar cación alguna. Los compradores podrán acudir en Velez-Málaga á D. Antonio Mar tin del Corral, procurador en ella, calle de la Coronada, y en Madrid á la libren* de los Sres. hermanos Barthelemy , puerta del Sol. O m miad a, poema épico original, por el conde de Norona. Su objeto es cantar -el restablecimiento de la familia'de Otnmía en…</t>
  </si>
  <si>
    <t>Már, Josef Joaquín Romero del</t>
  </si>
  <si>
    <t>Josef Joaquín Romero del Már</t>
  </si>
  <si>
    <t>…: para la de Calahorra de Granada á D. Francisco Mirambell: para la de Estremera á D. Miguel Agustín de Novas: para la de Friones á I). Josef de Aguirre; y para la de Aznalcázar á D. Josef Joaquín Romero del Már mol. Y ha prorogado S. M. por seis años en la vara de Vegas dei Condado á D. Román Rodríguez. En la dirección del establecimiento del Crédito publico, situada en la ca sa nombrada del Platero, inmediato á la parroquia deSanta María de esra corte, se han de ve…</t>
  </si>
  <si>
    <t>Mar, Manuel María</t>
  </si>
  <si>
    <t>Manuel María Mar</t>
  </si>
  <si>
    <t>…ntes de cazadores del mismo cuerpo D. Francisco Narganes y D. Josef Andrade, y los subtenientes D. Fernando Vázquez y D. Casimi ro Mendivil: á los capitanes del regimiento del Rey D. Manuel María Mar tínez de Aparicio, D. Lino López Quintana y D. Manuel Guevara, y al teniente D. Josef García, al subteniente D. Juan Meseron, al sargento pri mero Francisco Melendro, y al cabo primero de gastadores Benito Ximenezj como asimismo al corneta y tambor del regimi…</t>
  </si>
  <si>
    <t>Marcaida, Jacinto</t>
  </si>
  <si>
    <t>Jacinto Marcaida</t>
  </si>
  <si>
    <t>…n el alférez de navio D. Juan Bautista Martínez, que mandaba una barca, atacó un bongo con un cañón de á 12, y lo echó á pique en los úl timos dias del sitio. El teniente de navio D. Jacinto Marcaida, el alférez de fragata D. Juan Montano, y el teniente Je esta clase 1&gt; Simeón Ponce de León, han man dado las goletas y balandras, y han trabajado con actividad y zelo, y en especial el último se ha distinguido por su bizarría , y en ser el primero que ha ten…</t>
  </si>
  <si>
    <t>Marchámalo, Francisco Mateo</t>
  </si>
  <si>
    <t>Francisco Mateo Marchámalo</t>
  </si>
  <si>
    <t>1128 POR LA SECRETARIA DEL DESPACHO DE HACIENDA. Honores del Supremo Consejo de Hacienda. Con antigüedad á D. Francisco Mateo Marchámalo, asesor de la super intendencia , y á D. León de la Cámara Cano, teniente corregidor de esta he roica villa. Idem del tribunal de Contaduría mayor A D. Casiano Manuel González de Castro, contador y asesor de tempo ralidades de España é Indias. Plaza supernume…</t>
  </si>
  <si>
    <t>Marchámalo, Manuel de</t>
  </si>
  <si>
    <t>Manuel de Marchámalo</t>
  </si>
  <si>
    <t>…. Esta sociedad ha llamado la aten ción de Madama la Duquesa de Berry, quien la ha hecho un donativo de 300 francos. ESPAÑA. Cáceres 29 de Junio. El regente de esta Real audiencia D. Manuel de Marchámalo, que en to dos tiempos ha dado evidentes pruebas de su lealtad y amor á sus Soberanos, excitado del mas ardiente zelo por la educación pública, de donde debe es perarle la mejora de costumbres, venciendo dificultades casi insuperables, ha restablecido de acue…</t>
  </si>
  <si>
    <t>…s he rederos y sucesores , libre de lanzas y medias anatas por dos vidas. Asimismo se ha dignado nombrar para la regencia de la audiencia de Extremada a, vacante por traslación de D. Manuel de Marchámalo á la fis calía del Consejo de Ordenes á D Francisco Fernández del Pino, oidor de la ehancillería de Granada; y para la plaza que este deja á D Benito Gundian, relator de la comisión de causas de Estado de la Coruña. A ¡mis mo se ha dignado S M conceder honore…</t>
  </si>
  <si>
    <t>Marco, Vicente</t>
  </si>
  <si>
    <t>Vicente Marco</t>
  </si>
  <si>
    <t>…os autores , contentaron con total acierto á las muchas preguntas que les hicieron. Por último los de la clase de menores y rudimen tos D. Casimiro Custardoy, D. Calixto Martínez, D. Vicente Marco , Don: Cipriano Remon , D. Joaquín Merle y Di Agustín García tradujeron varías, fábulas de Fedro, y respondieron con puntualidad y acierto á^cuanto sve les preguntó sobre los preceptos Gramaticales y propiedad de la locución. En víW ta de e^to el corregidor D…</t>
  </si>
  <si>
    <t>Marcos</t>
  </si>
  <si>
    <t>…dríguez Feijoo , mayor, difun to, vecino que fue de esta villa, pendientes en el juzgado ordinario del señor al calde por el estado noble de la villa de Mora, provincia de Toledo, D. Marcos • Ventura Alvarez, y escribanía del número del cargo de D. Manuel Martin Cornel, recayó auto con acuerdo de; asesor en 4 de Marzo último, mandando entre potros particulares que se cite y emplace en la Gaceta de Madrid á los demas que se considere^ acreedores…</t>
  </si>
  <si>
    <t>Mardones, Francisco Josef de</t>
  </si>
  <si>
    <t>Francisco Josef de Mardones</t>
  </si>
  <si>
    <t>…cho de la imprenta Real. Se suscribe en dicho despacho, y en las provincias en todas las ad ministraciones principales y agregadas de correos. En virtud de providencia del Sr. Dr. D. Francisco Josef de Mardones, pres bítero, teniente vicario de esta villa de Madrid y su partido, y por el oficio del notario de número D. Juan Francisco de Relagos, se ha mandado sacar á pública subasta la mitad de una casa sita en la cálle de la Magdalena de esta corte, con accesorias…</t>
  </si>
  <si>
    <t>Mareilla, Pedro</t>
  </si>
  <si>
    <t>Pedro Mareilla</t>
  </si>
  <si>
    <t>…ca, D. Fabio Aliponzoni, D. Norberto de Mella y D. Manuel de Cañas. A tenientes de Navio los de Fragata El graduado de teniente de Navio D. Josef Morales, D. Francisco Berminghan, D. Pedro Mareilla, D. Josef Buitrago, D. Josef Resusta y D. Pe dro Micheo. A tenientes de Fragata los alféreces de Navio D. Josef Vargas MachucaD. Josef López Sagredo, D. Francisco Ro dríguez Gelabert, D. Mateo Albornoz, D. Josef Oiozaga, D. Francisco Gascón, D. Tomas Ciscar,…</t>
  </si>
  <si>
    <t>Maresch, Ramón</t>
  </si>
  <si>
    <t>Ramón Maresch</t>
  </si>
  <si>
    <t>…Jt). Josef Romero Campoi otro dé ídem ídem ,'núm.'195048á D. Simón dtf 'Agreda, ot?6 ídem de ídem, número 1561 29, á D. Juan Caraballo y Verá; y otro ídem de idem, núni. 191620, á Don Ramón Maresch. ; - : Se ha la va:ante la plaza de uno de los dos médicos de-la villa de Caudete, rei no de Murcia ,..;que ,vale 6© rs. al añcfy pagaderos, mensualmenté: se; cpmpone de unos 1 ©: vecinos-, una parroquia, y?dos. comunidades religiosaSí/Cúalquier faculta ti? v…</t>
  </si>
  <si>
    <t>Marge, Pablo</t>
  </si>
  <si>
    <t>Pablo Marge</t>
  </si>
  <si>
    <t>…A la graduación de aférez de Fragata al primer piloto prdetico D. Antonio Armengual. OFICIALES DE MAR. A la graduación de tenientes de Fragata los graduados de alféreces de Navio D. Pablo Marge, D. Guillermo Riera y D. Juan de los Reyes. A la graduación de alféreces de Navio d los graduados de Fragata D. Manuel Bienvenga y D. Juan del Villar López. A la graduación de alféreces de Fragata á los primeros contramaestre* D. Josef del Pino, D. Domingo Pi…</t>
  </si>
  <si>
    <t>Mari, Féííx</t>
  </si>
  <si>
    <t>Féííx Mari</t>
  </si>
  <si>
    <t>97 de 181 v = Ercmo. Sr. = Manuel de la Concha. = Excmo. Sr. virey Don Féííx Mari i Calleja. Oficios del cura párroco del pueblo de San Cristóbal Ecatepec Br. Don Jjjefi Mlgu l de Ajala. i.° En contestación al ofiiio que V. S. me acaba de remi.ir para la dis posición del entierro en esta parroquia del cadáver del rebelde Josef María Morelo…</t>
  </si>
  <si>
    <t>Mari-</t>
  </si>
  <si>
    <t>…lar honra de contar entre sus monja* y-abadesas perpe tuas 14 Infantas , han dirigí !o continuas oraciones al Todopoderoso por el feliz arribo y enlace de V. A. con la Serma. Sra. Doña Mari-» Francisca de Asís. Realizado su voto, no pueden dispensare de rendir .1 V V. AA. la inas tierna y expresiva felicitación portan notable y plausible motivo, y continúan rogando incesantemente al Dios de los egércitos que j imitación de Doña Blanca , hija del…</t>
  </si>
  <si>
    <t>María</t>
  </si>
  <si>
    <t>…iones áuna de las huérfanas de los militaresá patriotas-,que. hubieren -muerto en defensa; de la justa causa de la pación, ha cabido en suerte: primer extracto de la de este dia á Doña María de la Encarnación Rodríguez, hija de D. Pedro, capitán que fue del regimiéntale carderíade Santiago , muerto en el cam po del. honor. , La extracción siguiente secgecutaráel dia 26 de. Marzo. .. artículo de ófíciq. , El dia 19 del corriente tuvo-el honor el C…</t>
  </si>
  <si>
    <t>…o á su alcalde mayor pasase olido instruido á la justicia de Oporto, con in serción de la Real orden, para que ella ú otra ¿ quien correspondiera hicie se entender á los padres de Doña María viniesen á recogerla, con disposi ción para satisfacer los gastos ocasionados en su extravío, y que entretanto llosa, en el obispado de Tuy, de quien se dijo después procedente la reteni da; mas la contestación bien contraria de D. Antonio Arias Tejeiro, herm…</t>
  </si>
  <si>
    <t>…compañarla; pero mirándola justamente detenida en Valladolid , con el desengaño á la vis ta, clamaron porque se les dejase en libertad ; asi lo suplíóó .al alcalde ma yor la misma Doña María, y asi lo egecutó aquel después de haberles reci bido sus declaraciones. Con testimonio de las que habia dado aquella consultó á S. M. por el mi nisterio de Estado ocurrencia tan singular; y S. M. por Real orden de 11 del mismo mes, por un efecto de su Pveai…</t>
  </si>
  <si>
    <t>…Alfonso xi; Doña Beatriz, de D. Juan i; Doña Isabel, de D. J uan ii; Doña Juana, de D. Henrique iv; Doña Isabel, del Emperador D. Carlos v, primero entre los Reyes de este nombre; Doña María, de Don Felipe ii, y Doña María Bárbara, de D. Fernando vi. „Gloria es, Señor, de vuestra corona , y testimonio de la liberalidad de vuestro predecesor D. Alfonso i de Castilla , el origen de la casa Real de Portugal : y si porque asistió en las muchas victor…</t>
  </si>
  <si>
    <t>…el siguiente discurso : „ Sermo. Sr.: La N. y L. ciudad de Sigüenza, que ños comisiona para felicitar á V. A. R. por su próximo- matrimonio con la Serma. Sra. Infanta de Portugal Doña María. Francisca de Asís, se llena de gozo al ver á V. A. R. digno imitador de la elección del Soberano ; y no duda que estre chando V. A. R, mas y mas por este medio los vínculos que le unen con S. M., ayudándole al desempeño de los vastos negocios políticos.y mil…</t>
  </si>
  <si>
    <t>…S. A. el Sermo. Sr. Infante Don Carlos, y dijo: „Señor: Tenemos el honor de felicitar á V. A. en nombre de la ciudad de Lérida por su concertado enlace con la Serma. Sra. Infanta Doña María</t>
  </si>
  <si>
    <t>…idor subdecano de haber besado la mano á S. M., y cumplimentarle por su contratado y augusto enlace, la tiene igualmente en hacerlo á V. A. por el soy o con la Serma. Sra. Infanta Doña María. Francisca df. Asís , pro metiéndose que asi como V. A. fue el mayor consuelo de su augusto Her mano nuestro amado Soberano en su penoso é iniquo cautiverio, será en es ta ocasión el que acreciente su satisfacción, esperando la ciudad de Huete que este doble…</t>
  </si>
  <si>
    <t>…e débil conducto mil enhorabuenas por el acertado , feliz y satisfactorio enlace que V. M. y el Sermo. Sr. Infante D. Carlos tienen tratado con las excelsas Sermas. Sras. Infantas Doña María. Isabel Francisca y Doña María Francisca db Asís, hija' de la augusta casa de Portugal, de tan esclarecida estirpe, virtuo sa y católica rama: Señor, aquellos heles pueblos y la nación entera se pro meten frutos de bendición en la Real familia, que perpetúen…</t>
  </si>
  <si>
    <t>…ones á una de las huérfanas de los militares ó patriotas que hubieren muerto en defensa de la justa causa de la nación, ha cabido en suerte del primer extracto de la de este dia á Doña María de los Dolores Toro , hija del teniente coronel Don Francisco, muerto en el campo del honor. La extracción siguiente se egecutará el dia 22 de Julio. ARTICULO DE OFICIO. Circular del Ministerio de Guerra. Consecuente al abuso que se observa en algunas de las…</t>
  </si>
  <si>
    <t>…dar este importante paso, y la España , al ver colmado* $us deseos, felicita á V.M. y se congratula asi por ello, como por la acerta da elección de V. M. en la Serma. Sra. Infanta Doña María. Isabel Fran cisca, vástago ilustre de una augusta familia, cuyas glorias recuerdan hechos memorables en las cuatro partes del mundo. La nación, Señor, espera que las consecuencias de este grande enlace serán la vuelta de los dichosos dias que vió correr bajo…</t>
  </si>
  <si>
    <t>Maria</t>
  </si>
  <si>
    <t>…ucez, D. Josef La&gt;, D. Josef Martin, D. Manuel Laredo, D. Gaspar Gailat, D. Inocencio Maicas, D. A: mnio Cebollero, D. Pedro Juste y D. Francisco López. Dio principio ul egcrcicio D. Maria no Nogués con un elegante discurso latino, que mereció los aplausos: luego una porción de los cenantes, habiendo presentado la colección de autores prosaicos que se usa en las escuelas, tradujeron sobre la marcha y explica ron los pasages de Cicerón, Livio, S…</t>
  </si>
  <si>
    <t>…i*................................. ................. i„ ,W Ceremonias y etiquetas que deben observarse en la entrada de S. M. la Reina nuestra Señora y de ia Serma. Sra. Infanta Doña María. Francisca he As¡s en Madrid: desposorios de ambas Señoras: velaciones: ida á dar gracias á nuestra Se ñora de Atocha: besamanos generales y de los cornejos &amp;c.; recopiladas del cere monial observado en iguales casos, y arregladas á la etiqueta del día , para…</t>
  </si>
  <si>
    <t>…A. la religiosidad^ piedad y beneficencia que sobresalen en sus acciones, y lo recomiendan sin gularmente á los ojos del pueblo español, y en el ae su digna Esposa lt Serma. Sra. Doña María. Francisca las bellas prendas que la adornan,pa ra que sean recíprocamente felices, como merecen serlo, y cooperen á que lo sean igualmente sus augustos Hermanos, y á que hagan participante de su diqha á nuestra heroica nación. Asi lo espera el cabildo, y nos…</t>
  </si>
  <si>
    <t>…entí simo Sr. duque de Granada de Ega y D. Miguel Modet, oidor de la Real audiencia de México, con el plausible motivo de su matrimonio y arribo á Cádiz de la Reina nuestra Señora Doña María. Isabel Francisca; y el dia 17 lo hicieron al Sermo. Sr. Infante D. Carlos María Isidro por el suyo con la Serma. Sra. Infanta Doña María Francisca de Asís; y asi S. M.</t>
  </si>
  <si>
    <t>…la misma secretaría, y al intendente de egército D. Rafael Ruiz de Arana, Bandas de la Real orden dé Damas Nobles de la Reina Marta Luisa A las Sermas. Sras. Infantas de Portugal Doña María de la Asunción, Doña Ana de Jesús María, y á S. A. R. la Princésa viuda del Príncipe del Brasil Doña María Francisca Benedicta; como 'también á lás.-Excmas. Sras. duquesa vitida de Alhurquerque, marquesa viuda.de. Asto’rga condesa dé Altamira, marquesa de Ésp…</t>
  </si>
  <si>
    <t>…ia áei Perú. POR LA SECRETARIA DE GRACIA Y JUSTICIA. Merced de título de Castilla con la denominación de marques de Valdeflores á D. Antonio Rubio, en cabeza y á favor de su muger Doña María de la Concepción Velazquez. Igual gracia de título de Castilla con la denominación de marques de la Reunión de Nueva-España al teniente general D. Francisco Xavier Venegas. Honores de la Cámara de Castilla á D. Andrés García Hernández, arce diano de Vivero en…</t>
  </si>
  <si>
    <t>…nía en el término de 20 dias, por que se vuelve á sacar á subasta, contados desde .ei 25 del pasado. Se llama y emplaza á los acreedores y demas qué tengan derecho á los bienes de Doña María de la Encarnación Nestaris y Chapín, muger que fue de D. Fran»</t>
  </si>
  <si>
    <t>…ión se retiró S. M. con el mismo acompañamiento ,■ observándose las formalidades acostumbra das. Presenciaron este solemne acto la Reina nuestra Señora y la Serma. Se ñora Infanta Doña María*. Francisca* desde la tribuna que á este, efecto les estaba preparada.- * El dia 5 del pasado-se presentaron á besar la Real mano de S; M. y feli citarle por su augusto enlace matrimonial con la Reina nuestra Señora , en nombre del venerable deán y cabildo de…</t>
  </si>
  <si>
    <t>…orden de S. M. en dicha ciudad de Llerena, según se anunció en la gaceta de 10 del corriente. Se cita á los acreedores y demas que tengan derecho á los bienes y testamenta ría de Doña María de la Encarnación Nestares y Chapín, muger que fue de Don Francisco Herrera, para que concurran á una junta que en el dia 28 de este mes, y hora de las 9, se ha de celebrar en la posada del Sn P. León de la Cámara Cano,</t>
  </si>
  <si>
    <t>María, Ana de Jesús</t>
  </si>
  <si>
    <t>Ana de Jesús María</t>
  </si>
  <si>
    <t>…intendente de egército D. Rafael Ruiz de Arana, Bandas de la Real orden dé Damas Nobles de la Reina Marta Luisa A las Sermas. Sras. Infantas de Portugal Doña María de la Asunción, Doña Ana de Jesús María, y á S. A. R. la Princésa viuda del Príncipe del Brasil Doña María Francisca Benedicta; como 'también á lás.-Excmas. Sras. duquesa vitida de Alhurquerque, marquesa viuda.de. Asto’rga condesa dé Altamira, marquesa de Éspinardo, condesa de-Castfó 'Ler^reño , co…</t>
  </si>
  <si>
    <t>María, Blas</t>
  </si>
  <si>
    <t>Blas María</t>
  </si>
  <si>
    <t>…el Cisneros 23. D. Valentín.Ximenez 20. D. Carlos Milre40. D. Esteban Gómez 20. D» Felipe Eneri y Seda 40. D. Gregorio Fernan dez 46. D. Fernando Larrondo 92. D. Martin Ocaf.a 20. D. Blas María 20. D. Pedro Pacheco 20. D. Fernando Prieto 24. D. Juan Ballesteros 20. Don Ruperto Molinero 16. D Josef Brochero 40. D Manuel Palomares 30. Don Pabio Aviles 23 D. Joaquín Delgado 69. D. Sebastian Zahonero 60. D. Pe dro Espina 11 5. D. Manuel García 46. D. Fr…</t>
  </si>
  <si>
    <t>María, Car los</t>
  </si>
  <si>
    <t>Car los María</t>
  </si>
  <si>
    <t>…4 de Febrero de i8i6.=Xavier de Castaños. = Ra món García y Vecino, secretario de la Real junta. Madrid 11 de Marzo. El Rey nuestro Señor, acompañado de los Sermos. Sres. Infantes D. Car los María y D. Antonio, se dignó visitar el Real establecimiento de la Di rección de Hidrografía* en la tarde del martes ■$ del corriente. &lt; ; Al apearse del coche S. M. y A A , fueron recibidos en la puerta del esta blecimiento por el Excmo. Sr. D. Josef Vázquez de Figueroa, secre…</t>
  </si>
  <si>
    <t>María, Cárlos</t>
  </si>
  <si>
    <t>Cárlos María</t>
  </si>
  <si>
    <t>…el opresor de la Europa , corono el cielo sus deseos restitu yendo á su trono á su amado Soberano el Sr. D. Fernando vii con sus augustos Hermano y Tio los Sermos. Sres. Infantes Don Cárlos María y D. Antonio. Desocupado S, M. de las primeras y urgentes medidas indispensables para afianzar la seguridad y quie tud de sus amados vasallos, dirigidas á reparar el inmenso cúmulo de males que en estos años habían experimentado, y hallándose restablecida la paz en la Eur…</t>
  </si>
  <si>
    <t>María, Carlos</t>
  </si>
  <si>
    <t>Carlos María</t>
  </si>
  <si>
    <t>366</t>
  </si>
  <si>
    <t>…omero y Velez, corregidor por S. M. de esta villa , recibió oficialmente el Real decreto de S. M. ,en que se sirve participar su contratado matrimonio y el del Sermo. Si?. Infante D. Carlos María con las Sermas. Sras. Infantas de Portugal, comunicó sin pérdida de tiempo al ilustre ayuntamiento tan fausta noticia; y esta corporación, animada de los mas sinceros sentimientos de amor á su Soberano y augusta familia, determi nó tributar á Dios las debidas…</t>
  </si>
  <si>
    <t>…M. contestó con la bondad que Je es característica: „Lo agradezco, estoy muy satisfecho de lo bien que se ha portado Sigüenza.” Pasaron en seguida al cuarto del Sermo. Sr, Infante D. Cárlos María; y habiendo tenido el honor de besar la mano á S. A. R., pronunció el mismo comisionado el siguiente discurso : „ Sermo. Sr.: La N. y L. ciudad de Sigüenza, que ños comisiona para felicitar á V. A. R. por su próximo- matrimonio con la Serma. Sra. Infanta de P…</t>
  </si>
  <si>
    <t>…os tendrán la dulce satisfacción de haber desempeñado el noble objeto para que fueron nombrados.” En seguida los referidos comisionados pasaron al cuarto del Sermo. Se ñor Infante D. Carlos María á felicitarle por su augusto enlace, arengando el primero á S. A. en los términos siguientes : ,,Sermo. Sr.: La siempre leal ciudad de Huete, después de haber tenido el honor y la complacencia por medio de sus comisionados el corregidor y regidor subdecano de…</t>
  </si>
  <si>
    <t>…cia de lo. que dije á V. E. con fecha de 16 de Marzo úl timo, ha hecho presente al Rey nuestra Señor la Cámara de Guerra , presi dida por su augusto Hermano el Sermo. Sr. Infante. D. Cárlos María, Gene ralísimo de los Reales ligércitos, en consulta de 12 de Agosto preximo pa sado, después de la mas seria meditación , cuanto ha estimado conveniente acerca del asunto cometido á su examen para asígnrnr de un n o-, o estable las debidas recompensas á los…</t>
  </si>
  <si>
    <t>María, Cirios</t>
  </si>
  <si>
    <t>Cirios María</t>
  </si>
  <si>
    <t>…Noviembre de 1816. _ &gt; * * El Rey se ha dignado conceder honores de ministro del Consejo de la Cámara á D. Antonio María Izquierdo, secretario de Cámara del Sermo. Se ñor Infante D. Cirios María, como gran prior de S. Juan: honores de mi nistro del Consejo Real á D. Pedro de la Puente, corregidor político de la ciudad de Lorca; y á consulta de la Cámara se ha servido S¿ M. conceder honores de ministro del mismo Consejo Real á D. Tadeo Soler y Cases,…</t>
  </si>
  <si>
    <t>María, Manuel</t>
  </si>
  <si>
    <t>Manuel María</t>
  </si>
  <si>
    <t>…. y M, L. provincia de Alava , los Excmos. Sres. duque del Infantado, presidente del supremo Consejo de Cas tilla, D, Ignacio María de Alava, teniente general de la Real armada, y D. Manuel María de la Rivaherrera, diputado en corte por dicha provincia; de los cuales el primero dijo á S. M.: ,,Señor; La M. N. y M. L. provincia de Alava , que tenemos el honor de representar, consagra hoy á V. M. la obediencia mas rendida , y la fide lidad mas pura y co…</t>
  </si>
  <si>
    <t>Mariani, Vicente</t>
  </si>
  <si>
    <t>Vicente Mariani</t>
  </si>
  <si>
    <t>…en pliego de marca mayor. Una vista del puerto de Cádiz, tres de su carraca, una de Sevilla y otra de Luarca, dibujadas por D. Pedro Gro1 lies, y grabadas por D. Tomas Encuídanos, D. Vicente Mariani y otros acredita dos profesores: á 6 rs. cada una. rz Dos vistas del prado de Madrid, dibujadas y grabadas por D. Isidoro Velazquez: á 30 rs.rrSeis estampas de la artillería vo an te, dibujadas por D. Antonio Guerrero y D. Asensio Julia, y grabadas por Don To…</t>
  </si>
  <si>
    <t>…renta Itea!. Estampas en cuartilla de marca maror. Catorce estampas que for man un cu.i ferno de ios apóstoles y el Salvador d-l mind"», copiados de Ratael de Uibino, grábalos por D. Vicente Mariani, ¿28 rs. ^Veinte y cuatro estampe» copiadas por las pinturas que Lúeas Jordán hizo al fresco en el cason del Buen-Re»</t>
  </si>
  <si>
    <t>Mariano</t>
  </si>
  <si>
    <t>…44, 262123, 264173, 283416, 291249, 292333, 293742, 296120, 308592, 317537* 335607, 34305,2 y 343075, encabezados asimismo al citado Adanero, endosados últimamente seis de ellos á D. Mariano de lírbieta, otros seis á D. Cayetano Hurra, y el otro á D. Tomas de Urrutia: y habiéndose vuelto á mandar citar y emplazar á estos interesados y demas que se consideren con derecho á dichos vales, para qué ysen del traslado de 3a demanda puesta per el monte…</t>
  </si>
  <si>
    <t>…an útil al reino, determinó una corrida de seis toros de muerte y otra de novillos, ínterin la^ augustas Personas se dignasen permanecer en ella, proporcionando por sí mismo dicho D. Mariano la primorosa música del regimiento de infante ría de Valencey ; y luego que tuvo la gloria de ver en su recinto á las au gustas Personas, habiéndolo puesto todo en la consideración de S. M. por medio del Excmo. Sr. marques de Bélgida , disfrutó el ayuntamient…</t>
  </si>
  <si>
    <t>Mariano, Josef</t>
  </si>
  <si>
    <t>Josef Mariano</t>
  </si>
  <si>
    <t>…. que mas sobresalgan en el egercicio de oposición y en las materias que se han enseñado en el presente curso, serán premiados con el tratado elemental de matemáticas, escrito por D. Josef Mariano "Vallejo. 2.0 Y los tres que sigan á estos en mérito con la obra elemental de D. Juan Justo García. 3.0 Cuatro medallas de plata de va lor de 20 rs. vn. cada una y un egemplar de. la obrita titulada institucio nes de geometría práctica, para el uso de los jóv…</t>
  </si>
  <si>
    <t>Maríia.Francisca</t>
  </si>
  <si>
    <t>…Real Persona y Familia, Felicitando á V. M. por su matrimonio contratado con la Serma. Sra. Infanta Doña María Isabel, y del Sermo. Sr. Infante D. Cárlos coala Serma. Sra. Infanta Doña Maríia.Francisca. -</t>
  </si>
  <si>
    <t>Marín, Fernando García</t>
  </si>
  <si>
    <t>Fernando García Marín</t>
  </si>
  <si>
    <t>…ector ^general de Infantería digo con esta fecha lo siguientes Habiendo resuelto el Re* que. el Teniente Coronel agregado al Batallón de Infantería ligera Voluntarios de Tarragona D. Fernando García Marín se le suspendiese de su empleo, y se le formase la correspondiente causa con arreglo á ordenanza, á causa de haberse hallado en la Secretaría del Vireinato de Navarra una representación en que se ófrecia jurar y reconocer el intruso Gobierno, y que tanto esta…</t>
  </si>
  <si>
    <t>Marina, Secretario del Despacho de</t>
  </si>
  <si>
    <t>Secretario del Despacho de Marina</t>
  </si>
  <si>
    <t>…asarán las listas expresadas al Mayor General de su arma, quien las pasará al Comandante general de las fuerzas navales el Mariscal de Campo D. Pascual Enrile, que las dirigirá al Sr. Secretario del Despacho de Marina, por cuyo Ministerio se extenderán los correspondien tes diplomas. Por lo que respecta á las clases de Sargentos, Cabos y Soldados, tanto del egérciro de tierra como de la marina, y á los empleados en ambos que disfrutan de la consideración de alguna de ellas…</t>
  </si>
  <si>
    <t>…lejan ia recta administración de justicia. Comunicólo á V. S de Real orden para su puntual cumplimiento. Dios guárde á V. Si muchos años. Madrid i.° de Octubre de 1816. El Exento. Sr. Secretario del Despacho de Marina ha recibido los partes . siguientes del comandante de las fuerzas marítimas de Guanana el te niente de navio D. Fernando Lizarza: .,, Éxcmo. Sr.: Habiendo sabido que en el caño de Tigre y los adyacen tes t inmediato al sitio de Tabasca, en donde los insurgent…</t>
  </si>
  <si>
    <t>Marina, Víctor Josef</t>
  </si>
  <si>
    <t>Víctor Josef Marina</t>
  </si>
  <si>
    <t>…discur sos que hicieron con este motivo iguales sentimientos de amor y fidelidad. El dia 6 del corriente el ayuntamiento de la imperial ciudad de Toledo por medio de sus diputados D. Víctor Josef Marina , caballero profeso de la orden militar de Alcántara, D. Josef García de la Torre, alcalde de casa y corte , regidores perpetuos , D. Patricio Ortiz Pareja y JD. Isidoro de Lara, jurados perpetuos , con su escribano mayor , acompañados del Excmo. Sr. du que d…</t>
  </si>
  <si>
    <t>Marinadme, Secretario del Despacho de</t>
  </si>
  <si>
    <t>Secretario del Despacho de Marinadme</t>
  </si>
  <si>
    <t>…cho, é interino del de Gracia y Justicia, comunicó al Consejo con fecha 6 del corriente por medio del limo. Sr. Decano de él la Real orden siguiente: ' &gt; * . ^ . ~ „ limo. Sr.: El Sr. Secretario del Despacho de Marinadme dice en 29 de: Mirzo último lo que sigue: Con consideración á el átráso’que sufre la Mari~; na en geñerál en el percibo de sus sueldos , tan notorio qué asciende á 60 y 62 meses el descubierto en esta época, dejando aparte los grandes adeudos que se les hace…</t>
  </si>
  <si>
    <t>Márquez, Josef Manzano</t>
  </si>
  <si>
    <t>Josef Manzano Márquez</t>
  </si>
  <si>
    <t>…de Aguilera: para la de Rioseco á D. Antonio Romero Prieto: para la de Navas del Marques á D. Rafael de Acosta: para la de Villafrechos á D. Juan García Barba: para la de Motril á D. Josef Manzano Márquez: para la de Iznajar á D, Josef Manuel Sánchez del Aguila: para la de Alarcon á D. Alonso Ramón Rubio: para la de Alaejos á D. Juan Rabanal y Hevia: para la de Torrelobaton á D. Eugenio Hernández Borbon: para la de Siruela á D. Pedro Cano: para la de Teba á D.…</t>
  </si>
  <si>
    <t>Marta</t>
  </si>
  <si>
    <t>…rtínez de Bustos dijo: ,, Sermo. Sr.: La antigua villa de Almazan viene en nosotros á los pies de V. A. llena de gozo por el enlace de V. A. con la Serma. Sra. Infanta de Portugal Doña Marta. Francisca de Asís: el cielo aumente con la augus ta Esposa y Sobrina las virtudes que ya todos sabemos por públicas, para que sirviendo de freno á los malos, acrezca la confianza de los buenos, y que sean basa firme en que estriben los bienes y felicidad de…</t>
  </si>
  <si>
    <t>Marta, Salvaacr</t>
  </si>
  <si>
    <t>Salvaacr Marta</t>
  </si>
  <si>
    <t>7*3 Dr. D. Salvaacr Marta, cari uLo \Jw esta santa Lítala metropolitana , y Don Joaquín Berenguer, interventor de la Real administración de correos, teniente director y pensionado que fue de la Real academia de Alicante, y escocidas dos de las sobresalientes en cada clase de los 12c j…</t>
  </si>
  <si>
    <t>Martel, Fernando Tamariz</t>
  </si>
  <si>
    <t>Fernando Tamariz Martel</t>
  </si>
  <si>
    <t>…e esta ciudad. Madrid 2j de Agasto. ARTICULO DE OFICIO. El Rey ,á consulta de la Cámara, se ha dignado elevar á tirulo de Cas tilla el de marques de la Garantía, que corresponde a D. Fernando Tamariz Martel, y lúe concedido por el Sr. Rey D. Cirios 111, siendo!» de NApoles, á su tio D, Antonio Morales para que le tenga con esta misma denomina ción para sí, sus hijos, herederos y sucesores en casa y mayorazgos per petuamente. Y en atención al lustre y antigüedad…</t>
  </si>
  <si>
    <t>Martí, Francisco de Paula</t>
  </si>
  <si>
    <t>Francisco de Paula Martí</t>
  </si>
  <si>
    <t>…del Turco, casa que fue almacén de cristales, cuyo establecimiento está puesto por el Rey nuestro Señor bajo la protec ción de la Real sociedad económica de Madrid, y al cargo del profesor Don Francisco de Paula Martí, que vive en el mnmo ed iicio, adonde deberán acudir á matricularse hasta dicho dia los que quieran aprender este arte. Es ta enseñanza es gratuita para todos los que quieran concurrir á ella; pero pa ra ser discípulos es indispensable que esten enterados de…</t>
  </si>
  <si>
    <t>Martí, Joséf</t>
  </si>
  <si>
    <t>Joséf Martí</t>
  </si>
  <si>
    <t>…niun. 79853 , á D, Josef Francisco Guardiola: otro idem idem, num. 70914, á D. Manuel Segundo Martínez: otros 2 dé i.° de Se tiembre dé 1809 de 150 pesosnúmerbs 188814 7 166293, á D. Joséf Martí y compañía: ótiro dé idem.idem, núm*! 90966,Jt). Josef Romero Campoi otro dé ídem ídem ,'núm.'195048á D. Simón dtf 'Agreda, ot?6 ídem de ídem, número 1561 29, á D. Juan Caraballo y Verá; y otro ídem de idem, núni. 191620, á Don Ramón Maresch. ; - : Se ha la v…</t>
  </si>
  <si>
    <t>Marti, Miguel</t>
  </si>
  <si>
    <t>Miguel Marti</t>
  </si>
  <si>
    <t>…z, vapor y meteorología. Los alumnos que salieron fueron D. Josef Viñolas, D. Ramón de Becardi, D. Juan Barret, D. Juan Urel!, D. Antonio Fernandez y Valiejo, Don Antonio Monmany, D. Miguel Marti y D. Francisco Carbonell. Aunque to dos estaban obligados á responder á todo, se les señaló para explicar un punto en particular, el que después de explicado fue corroborado por ex perimentos , manifestando los fundamentos de su teoría; y luego sufrieron las preguntas y réplicas que…</t>
  </si>
  <si>
    <t>Martin</t>
  </si>
  <si>
    <t>…ipalda, y leer con propiedad, con tal que su edad no sea mayor de ocho años , con otras 12 medallas de plata valor de 20 rs. vn., y la obiita titulada Espíritu de la Biblia por el abad Martin!. 5.0 La educación moral de las señoras, de cuyas virtudes pende*en gran parte el arreglo de las costumbres públicas, no ha sido nunca indiferente á este Real cuerpo , ni debe serlo á ningún amante del pais. A efecto pues de promoverla se ofrecen cuatro medal…</t>
  </si>
  <si>
    <t>…el buen desempeño el prior síndico gratificó .í cada «no de los cinco para estimular el adelantamiento de los demas; y recor riendo todas las otras clases del estudio, el referido D. Martin dio gratifica ción á tres, cada uno el mas adelantado de su clase; deseosos todos de que Í&gt;or este y otros medios se fomente la educación pública, coadyuvando coa as piadosas intenciones de S. M. Católica para el bien de la nación. Madrid 20 de Setiembre. El…</t>
  </si>
  <si>
    <t>Martin, Josef</t>
  </si>
  <si>
    <t>Josef Martin</t>
  </si>
  <si>
    <t>…o Nogués, D Pedro Nogués , D Pedro Ortiz, D. Joaquín Miranda, D. Pe dro Navarro, D. Juan Josef Lahorda, D- Lorenzo Biscasillas, D. Antonio Ttmprado, D. Martin Jucez, D. Josef La&gt;, D. Josef Martin, D. Manuel Laredo, D. Gaspar Gailat, D. Inocencio Maicas, D. A: mnio Cebollero, D. Pedro Juste y D. Francisco López. Dio principio ul egcrcicio D. Maria no Nogués con un elegante discurso latino, que mereció los aplausos: luego una porción de los cenantes, ha…</t>
  </si>
  <si>
    <t>Martin, Juan</t>
  </si>
  <si>
    <t>Juan Martin</t>
  </si>
  <si>
    <t>…ada en la madrugada de! 22 de Maro de 1813 de los desastres que la amenazaban con la invasión del egército fran cés, y valerosamente defendida por las tropas españolas al mando de Don Juan Martin , el Empecinado ,que la guarnecían , nó ha olvidado desde aquel momento el incomparable beneficio que debe á la Providencia , al decidido valor de aquel ilustre caudillo,1 y á la intrepidez de tan beneméritos guerre ros. El pueblo lid y patriótico de Alcalá i…</t>
  </si>
  <si>
    <t>…mide con la inscripción siguiente: D. O. M. La ciudad de Alcalá de Henares dedica este monumento a la memoria de las valientes tropas de S. M. el Sr. D. Fernando vii, mandadas por Don Juan Martin , el Empecinado, mariscal de campo de los Reales ejércitos, en reconoiimiénio haber salvado d sus mirado es del saqueo y la muerte, arrollando y venciendo d los franceses la man.m i del xxii de Mayo de mjdcccxiii, que en doble numero atacaron por e¿ie puente.…</t>
  </si>
  <si>
    <t>Martin, Margarita</t>
  </si>
  <si>
    <t>Margarita Martin</t>
  </si>
  <si>
    <t>…dro Espina 9 '‘O. D Sebastian Hernández 120. D. Felipe Barra 100. D. Manuel García 80. D. Gaspar Arribas 20. D. Juan Nobreda 20. D; Manuel Saudin Calderón 8. D. Fernando Gómez 10. Doña Margarita Martin 20. D. Santos Avoin Coronel en efectos y dinero 360. D. Manuel Cisneros 200. D. Anto nio Echenique 140. D. Josef Perez 40. D. Fructuoso Tejedor 30. D. Josef Lozano 30. D. Victorio Valtierra 30. D. Lorenzo de Seras 30. El coman dante de las armas 138. El conta…</t>
  </si>
  <si>
    <t>Martin, Mariano</t>
  </si>
  <si>
    <t>Mariano Martin</t>
  </si>
  <si>
    <t>…este lema: progressui in litterú) á ios mas sobresalientes, que fueron D. Felipe Neri Carral, D. Antonio Resino, D- Joseí Rodríguez, D. Simón de Sousa, D. Manuel García Santander, D. Mariano Martin, Doa Juan de Baños y D. Josef Portales, con sentimiento de no haber hecho mas para premiar los restantes, que creyó dignos todos de sus benéficas in tenciones, y dió á su sabio director las debidas gracias por su zelo y genero sas fatigas, que le hacen acreed…</t>
  </si>
  <si>
    <t>Martínez, Calixto</t>
  </si>
  <si>
    <t>Calixto Martínez</t>
  </si>
  <si>
    <t>…s de Cicerón y de orros autores , contentaron con total acierto á las muchas preguntas que les hicieron. Por último los de la clase de menores y rudimen tos D. Casimiro Custardoy, D. Calixto Martínez, D. Vicente Marco , Don: Cipriano Remon , D. Joaquín Merle y Di Agustín García tradujeron varías, fábulas de Fedro, y respondieron con puntualidad y acierto á^cuanto sve les preguntó sobre los preceptos Gramaticales y propiedad de la locución. En víW ta de e^…</t>
  </si>
  <si>
    <t>Martínez, Félix</t>
  </si>
  <si>
    <t>Félix Martínez</t>
  </si>
  <si>
    <t>…o Albornoz, D. Josef Oiozaga, D. Francisco Gascón, D. Tomas Ciscar, D. Francisco Ristori y D. Santiago Soroa. A alféreces de Navio los de Fragata D. Luis Romero, D. Josef Sevilla, D. Félix Martínez, D. Ildefonso Yoldi, D. Josef del Solar, D. Juan de Lerena, D. Pedro Teruel, D. Ber nardo Roca, D. Luis Roca, D. Manuel de Llanos, D. Juan Cervino y Don Miguel del Solar. jEn el cuerpo de Ingenieros. Para el grado de ingenieros en gefe al en segundo D, Vicent…</t>
  </si>
  <si>
    <t>Martínez, Francisco</t>
  </si>
  <si>
    <t>Francisco Martínez</t>
  </si>
  <si>
    <t>…ñana fueron examinados los otros alumnos de las clases de rudimentos y sintaxis, satisfaciendo á cuanto se les preguntó. En esta clase de latinidad se distinguieron D Josef Viejo* D. Francisco Martínez, D. Manuel Antonio Nuñez, D. Manuel Paez, Don Manuel Perez , D. Manuel Saiz, D. Manuel Valles, D. Manuel Manso, Don Gregorio Colmeneroy D. Francisco Arribas; los cuales dieron pruebas de su constante aplicación y adelantamientos, y de hallarse aptos para empr…</t>
  </si>
  <si>
    <t>Martínez, Josef</t>
  </si>
  <si>
    <t>Josef Martínez</t>
  </si>
  <si>
    <t>ii 32 Graduaciones. De comisarios de Guerra á los oficiales primeros D. Josef Martínez "Pazos, D. Antonio Sierra y D. Narciso Fernandez Matamoros; graduación de ofi cial primero al segundo D. Josef Fernandez Tauste; graduación de segundos á los terceros D. Joaquín María Prieto y D. Mariano Faquineto ; graduación de terceros á los cuartos D. Tom…</t>
  </si>
  <si>
    <t>Martínez, Josef Moreno</t>
  </si>
  <si>
    <t>Josef Moreno Martínez</t>
  </si>
  <si>
    <t>…dríguez, rector del lugar de Matiago en el obispado de Ciudad-Rodrigo ; D. Fermin Gil de Linares, fiscal de la audiencia de Extremadura; D. Fernando Gutiérrez, vecino de Campeche; D. Josef Moreno Martínez , contador de la tesorería gen. ral ;;D. Pedro Vázquez Balles teros, ministro de la Audiencia de Aragón ; D. Josef Ruiz de Copegni, vocal que fue de la junta de Burgos; D. Ventura Tagle Soasaga, racionero de la catedral de Lima; D. Francisco Florencio de Olaz…</t>
  </si>
  <si>
    <t>Martínez, Josefa</t>
  </si>
  <si>
    <t>Josefa Martínez</t>
  </si>
  <si>
    <t>…de. La persona que se pa de su paradero, sírvase avisarlo, conducirlo ó enviarlo á casa del dicho D. An drés María Fariña, g¡e Santiago, tio político del chico, ó á la de su madre Doña Josefa Martínez, vecina de Puente de Ume, ó en esta corte á D. Vicente Céspedes, calle de la Magdalena baja, núm. 8: cualquiera de los,dos abonarán los gastos que hayan tenido en su manutención y conducción, y darán una buena gratificación. Q. Curtii Ruíi, de rebus gestis Al…</t>
  </si>
  <si>
    <t>Martínez, Juan Bautista</t>
  </si>
  <si>
    <t>Juan Bautista Martínez</t>
  </si>
  <si>
    <t>…a do de los cascos por la broma á pocos hubiera dejado de aterrar, pues no pudiéndose barquear, era preciso que pereciesen á nuestra vista sin remedio. También el alférez de navio D. Juan Bautista Martínez, que mandaba una barca, atacó un bongo con un cañón de á 12, y lo echó á pique en los úl timos dias del sitio. El teniente de navio D. Jacinto Marcaida, el alférez de fragata D. Juan Montano, y el teniente Je esta clase 1&gt; Simeón Ponce de León, han man dado l…</t>
  </si>
  <si>
    <t>Martínez, Manuel Segundo</t>
  </si>
  <si>
    <t>Manuel Segundo Martínez</t>
  </si>
  <si>
    <t>…913 y 69252, á D, Jaime Valis: uno idem de ídem, núm. 67953 » a Juan Artiz y García; otro idem de idem, niun. 79853 , á D, Josef Francisco Guardiola: otro idem idem, num. 70914, á D. Manuel Segundo Martínez: otros 2 dé i.° de Se tiembre dé 1809 de 150 pesosnúmerbs 188814 7 166293, á D. Joséf Martí y compañía: ótiro dé idem.idem, núm*! 90966,Jt). Josef Romero Campoi otro dé ídem ídem ,'núm.'195048á D. Simón dtf 'Agreda, ot?6 ídem de ídem, número 1561 29, á D. Jua…</t>
  </si>
  <si>
    <t>Martínez, Manuel Silvestre</t>
  </si>
  <si>
    <t>Manuel Silvestre Martínez</t>
  </si>
  <si>
    <t>…derecho, expedidas desde el año de 1700 hasta el de 1768 por todas las vías del ministerio, especialmente por las de justicia, hacienda y guerra de rigurosa observancia: su au tor D. Manuel Silvestre Martínez: séptima impresión: 8 tomos en 4.0 y cinco de adiciones de D. Ramón Antonio de Higuera. Se hallarán juntos ó separados en la libre ría de Villareal, calle de las Carretas, y en Santiago en la de Rey Romero. Vía crucis explanado é ilustrado con los breves y de…</t>
  </si>
  <si>
    <t>Martínez, Marcial</t>
  </si>
  <si>
    <t>Marcial Martínez</t>
  </si>
  <si>
    <t>…ita azul turquí, sombrero redondo y en calcetas. La persona que supiere de su paradero se servirá comunicarlo en Madrid i D. Miguel López del Postigo , del contercio; en Logroño á D. Marcial Martínez , y en Burgos á Don Tomas de Medina. D. Francisco Asensio, oficial que fue de la Real biblioteca de S. M., en la avanzada edad de 64 años grabó en el diámetro de un real de plata la cronología de ios Reyes de España, y otras varias noticias que comprenden %66…</t>
  </si>
  <si>
    <t>Martínez, Mariano</t>
  </si>
  <si>
    <t>Mariano Martínez</t>
  </si>
  <si>
    <t>…n presentaron varios dibujos que acreditaron el buen gusto que ha- &gt;ian adquirido en los principios del diseño; con lo que se dio fin á este pri mer egcrcicio, habiendo dado antes D. Mariano Martínez en una canción las gracias á los concurrentes. El dia segundo 55 discípulos del mismo colegio Andresiano en la clase de leer y escribir se presentaron al público bajo la dirección de su maestro el P. Bernabé de Sto. Tomas de Aquino ; y después que D. Juan Alb…</t>
  </si>
  <si>
    <t>Martínez, Nicolás Espeso</t>
  </si>
  <si>
    <t>Nicolás Espeso Martínez</t>
  </si>
  <si>
    <t>…su beneficio el ramo de par tos, barba"y Casos quirúrgicos de mano airada que acurran. Los pretendientes diri girán sus memoriales al secretario de ayuntamiento de la propia villa D. Nicolás Espeso Martínez, por la estafeta de Vilialpando. Disposiciones seguras para proporcionar abasto y baratura de pan en Madrid y en las ciudades principales del reino. Ésta obrita consta de dos partes, una teórica, y otra práctica ó executiva, E11 la primera se expone rápidamen…</t>
  </si>
  <si>
    <t>Martínez, Rafael Saeriz</t>
  </si>
  <si>
    <t>Rafael Saeriz Martínez</t>
  </si>
  <si>
    <t>…ará en Madrid en la librería dé Castillo; en Toledo en la dé Jacinto; en Cuenca en la de Mariana; en Sevilla en la de Hidalgo; en Sigiienza en el seminario; en Lo groño en casa de D. Rafael Saeriz Martínez; en Coria, Almagro, Alcalá y Guadala jara , á 5 rs. : Método de economizar el combustible en nuestras casas, Ó descripción de dos cocinas económicas aplicadas á ios usos que hay en España de componer Jas comidas; por D. Julián,Antonio Rodríguez: un tomo en 4.…</t>
  </si>
  <si>
    <t>Martínez, Ramón</t>
  </si>
  <si>
    <t>Ramón Martínez</t>
  </si>
  <si>
    <t>…Strens, ó de la de Cañó. Quien supiese de su paradero se servirá avisarlo al Sr. conde de Duró, empleado en !a legajan francés;). Se desea saber el paradero de un oficial llamado D. Ramón Martínez, que se hallaba en Mallorca en el año de 1B0Ó : este oficial debe dirigirse por escrito, si se</t>
  </si>
  <si>
    <t>Martinez, Silvestre</t>
  </si>
  <si>
    <t>Silvestre Martinez</t>
  </si>
  <si>
    <t>…donde se extrae la verdadera riqueza. A este objeto se pu blica de acuerdo de la Real sociedad aragonesa. Madrid / j de Setiembre. D. A ntonio María Espejo, canónigo magistral , y D. Silvestre Martinez, canónigo de la iglesia colegial de Baza , tuvieron la honra de felicitar á S. M. por su contratado enlace en los términos siguientes: „Señor: El abad y cabildo de vuestra insigne iglesia colegial de Baza, reducido en el año de 1814 por el influjo de las tris…</t>
  </si>
  <si>
    <t>Martos, Manuel Sánchez y</t>
  </si>
  <si>
    <t>Manuel Sánchez y Martos</t>
  </si>
  <si>
    <t>Conrreras Torres y Espejo y D. Ramón de Ortega: otra del clero de la misma villa, representada por D. Luis Baile, prior de Ja parroquia de San Amador, y por los presbíteros D. Manuel Sánchez y Martos y D. Antonio Vénzala: otra de la villa de Mancha Real, del reino de Jaén, que represen taba su corregidor D. Fernando María Segovia, y los regidores D. Miguel Vico y D. Francisco del Corral; y otra de la villa y cabildo eclesiástico de Vilches en el mismo reino, compuesta de Juan…</t>
  </si>
  <si>
    <t>Massena</t>
  </si>
  <si>
    <t>…ansportes, sin que se púdrese reconocer á qué nación pertenecian ; pero por las noticias tomadas posteriormente parece :que estos buques eran berberiscos. Idem 2 de Marzo. ¡ ,&gt; El mariscal Massena acusado ante ia cámara de los diputados por una representación de los vecinos dé Marsella , ha respondido ú 1 timámente á las graves inculpaciones que se le hacen con una larga memoria dividida en cua tro partes. En la primera procura sincerarse del cargo de…</t>
  </si>
  <si>
    <t>Mata, Cárlos JBosch y</t>
  </si>
  <si>
    <t>Cárlos JBosch y Mata</t>
  </si>
  <si>
    <t>…Serenísi mos Src¿. Infantes D. Carlos y IX Antonio, visitar y examinar detenidamente su Real biblioteca y monetario en la tarde del día 4 del corriente, compuso su biblio tecario D. Cárlos JBosch y Mata para recitarla delante de S. M. y AA., y no se pu do hacer por la cortedad del tiempo. Se hallará en la librería de Ortega, calle de las Carretas. EN LA IMPRENTA REAL.</t>
  </si>
  <si>
    <t>Maté, Melchor Barbero y</t>
  </si>
  <si>
    <t>Melchor Barbero y Maté</t>
  </si>
  <si>
    <t>…re suelven á esperar el ataque. „Dios guarde á V. E. muchos años. Lima Diciembre 16 de 1815.= Excmo. Sr. = El marques de la Concordia/’ t Habiendo presentado á S. M. el presbítero D. Melchor Barbero y Maté, párroco de S. Salvador de la villa de La-Mora de Toro, en el obispado de Falencia, y vicario de la dignidad episcopal de la villa de Urueña y su par tido, benemérito de la patria en- grado heroico-y un plan para los hospitales militares de campana , y otro s…</t>
  </si>
  <si>
    <t>Mateo, Francisco</t>
  </si>
  <si>
    <t>Francisco Mateo</t>
  </si>
  <si>
    <t>…esado Excmo. Sr. Capitán general en Despeñaperros: desde entonces n© ha habido mas noticia. F,1 que la tenga de su existencia ó fallecimiento se servirá comunicarla en Salamanca á D. Francisco Mateo, del comercio de ella, y en Madrid á D. Lope Diez de Aux, que vive en la calle de la Espada, num. 13 , cuarto tercero. Baños de lio, caseros y de mar: excelencias del baño y reglas para bañarse, precaviendo en los casos comunes los excesos sin consulta; nuevo…</t>
  </si>
  <si>
    <t>Mateo, León de</t>
  </si>
  <si>
    <t>León de Mateo</t>
  </si>
  <si>
    <t>…do con esmero las reglas y el artificio del. lenguage de un modo que no podía espe rarse de su tan corta edad. No mostraron menos luces y aprovechamiento en sus respectivas clases D. León de Mateo y D. Blas Vivar, que respondieron puntualísimamente á las preguntas que se les hicieron, manifestando en ellas un ingenio y extraordinaria penetración. Por ultimo D. Valentín Metola y D. Lúeas Dueñas expusieron la composición latina acabada en su clase, que en presencia del…</t>
  </si>
  <si>
    <t>Mateos, Josef</t>
  </si>
  <si>
    <t>Josef Mateos</t>
  </si>
  <si>
    <t>…las de plata de premio, que al intento hizo construir con el escudo de armas de ia villa e inscripciones correspondientes, y á plauralidad absoluta de votos se confirió la mayor á D. Josef Mateos de los Buenos-hijuelos , de edad .de-cin co años, el cual en su corta edad leyó con tanta propiedad, y explicó la doctrina cristiana con tal claridad, que llamó la admiración de todos^ yde esta forma fue premiado el mérito de la escuela pía y de su director e…</t>
  </si>
  <si>
    <t>Mateos, Luis</t>
  </si>
  <si>
    <t>Luis Mateos</t>
  </si>
  <si>
    <t>…D. Luis de Arrabal, prior síndico general por ambos estados, y D. Pablo Aviles, su secretario, con otros concurrentes distinguidos que asistieron al acto, presentó los discípu los D. Luis Mateos, D. Ildefonso y D. Ramón de Rovina, D. Segundo y D. Manuel Herrero para ser examinados: se dio principio por una elegante oración, que pronunció dicho Mateos, sobre las causas que impiden el ade lantamiento que los maestros desean en la pública educación: en…</t>
  </si>
  <si>
    <t>Mateos, Pedro</t>
  </si>
  <si>
    <t>Pedro Mateos</t>
  </si>
  <si>
    <t>…el batallón de cazadores de Extremadura; á D. Vicente Sánchez Lima, capitán de húsares de Fernando vu , y á D. Antonio Fominaya , capitán del fijo de Cartagena. Grado de capitán á D. Pedro Mateos , teniente del batallón de la Albuhera. Grado de teniente á De Juan Canelles, subteniente del batallón déla Albuhera. ; Grado de, subteniente á .D. Manuel Lerva, cadete del regimiento de Granada. La propiedad del empleo de alférez á D. Jaime Bach, sargento pr…</t>
  </si>
  <si>
    <t>…Vicente Asturnino y Diego Merino, que to maron á la bayoneta la batería; al cazador de Granada Francisco O rozco, que dió muerte al artillero en fuga con la mecha en la mano, y á D. Pedro Mateos, teniente de la Albuhera, que pidió el servicio mas arriesgado, á fin de que si V. E. los considera dignos de alguna gracia, les conceda la que juzgue por sus méritos. „ Dios guarde á V. E. muchos a£os. Boca de Nechí 24 de Octubre de 181 ). = Excmo. Sr^Vicent…</t>
  </si>
  <si>
    <t>Matey, Antonio</t>
  </si>
  <si>
    <t>Antonio Matey</t>
  </si>
  <si>
    <t>…n el pórtico de la Real cárcel. Por providencia de r 1 del corriente de D. Francisco Suarez de Puga, juez y justicia Real ordinaria de la ciudad de Tuy, se cita, llama y emplaza á D. Antonio Matey, vecino que ba sido de Barcelona, y á los mas acreedores á la herencia fincable de D. Jaime Alesnau, canónigo que ha sido de la santa iglesia catedral de di cha ciudad, para que dentro de 6o días, contados desde esta fecha, acudan i dicho juzgado por sí ó por…</t>
  </si>
  <si>
    <t>Matías</t>
  </si>
  <si>
    <t>…para que llegue á noticia de todos los interesados. Se desea saber el paradero de D. Josef Sánchez Tagle, oficial que fue en el año de 1809 del Real cuerpo de Ingenieros, hijo de D. Matías y de Doña Antonia Vi centa Velasco, vecinos que fueron de la villa de Santillana, provincia de Santan der, que se halló en la batalla deMedellin. Cualquiera que tenga noticia de su exis tencia ó fallecimiento se servirá comunicarlo á D. Gabriel Cairo García,…</t>
  </si>
  <si>
    <t>Matud, Sebastian</t>
  </si>
  <si>
    <t>Sebastian Matud</t>
  </si>
  <si>
    <t>…bir y en la doctrina cristiana ; y aunque todos manifestaron conocimientos*4 superiores á su edad y al tiempo que tenían de enseñanza , merecieron toda—» víá particulares aplausos D. Sebastian Matud y D. Pedro Casanova , niños de cinco años , que explicaron por sí solos los principales místenos-de nuestra’’ sagrada r-eligionq por lo cual: se les adjudicó, como ¡cambie p á D.'C'áHos*Gai&gt;* cía, el premio de una medalla de plata, y se.dieroh públicamente gracias* al maestro D.…</t>
  </si>
  <si>
    <t>Maúland</t>
  </si>
  <si>
    <t>…nte. Habiendo salido este papel de la imprenta del Gobierno, y de signándose como autor de &lt;51 al general ingles Campbell, los habitantes acu dieron con varias representaciones al general Maúland , comisario de S. M. en estas islas, recelando que el modo de pensar del autor fuese conforme á las opiniones del ministerio ingles. Para evitar disgustos el general Mairíand ha negado en una proclama que sean estos los sentimientos del Gobierno. PRUSIA. Berl…</t>
  </si>
  <si>
    <t>Mauri</t>
  </si>
  <si>
    <t>…n hacerse por tagnes políticasLos individuos excluidos de la clase de la lengua y de la literatura francesa son los señores Arnault, Cambaceres, Garat, Luciano Bonaparte, Maret el cardenal Mauri, obispo de Montehascone, Merlin. dé Douay,, Regnault de St. Jean-d’Angeli, Roederer y Sieyes: de la clase de.historia,,ysde la literatura antigua los señores Gregoire y Lakanal: de la clase de ciencias matemáticas Cárnot, Josef Bonaparte, y Monge, conde de Pe…</t>
  </si>
  <si>
    <t>…al Becker, que condujo á Bonaparre á la Rochela, y el general Sinner han recibido orden de salir de Clermont. El primero debe ir a Poitiers y el segundo á Marsella. Se dice que el cardenal Mauri, á quien el Papa ha di jado la libertad de imponerse la pena en que ha incurrido por su desobediencia á las órdenes de S. S., ha solicitado acabar sus dias en un convento. ^ El prefecto dei Bajo-Rhin ha hecho arrestar á muchos oficiales, y ha mandado cerrar e…</t>
  </si>
  <si>
    <t>…sco del sol, por cuyo medio haré la explicación de ellas, como de todos los otros fenómenos celestes.” Las cartas de Roma dicen que han cesado ya la penitencia y la desgra cia del cardenal Mauri, quien ha hecho dimisión de su obispado de Monteñascone, recibiendo en cambio 4© escudos romanos. En el día asiste á los consistorios y congregaciones de los cardenales. Continúan llegando á esta capital muchos extrangeros, entre los cuales se notan los sigui…</t>
  </si>
  <si>
    <t>Mayer</t>
  </si>
  <si>
    <t>…ral, se manda que salgan en el término de 24 horas de la ciu dad de Rennes y del departamento los principales fautores 6 partidarios de la ex-confederación de Bretaña, á saber: el general Mayer, Rebillard, Rouessart padre, Lafose, Milet, Jollivet padre, Meunier, Letourneux y Regnier, los cuales estarán bajo la vigilancia de la alta policía en diferentes ciudades del reino por el tiempo que juzgue conveniente el ministro. Se ha tomado es ta determina…</t>
  </si>
  <si>
    <t>Mazarreeo</t>
  </si>
  <si>
    <t>…s corbetas de Malaspina, y embarcado en la fragata Gertrudis re gresó á Europa en Setiembre de 1794. Embarcóse poco tiempo después en la escuadra del Océano de primer anudante del general Mazarreeo, y en el año de 96 fue destinado á Filipinas á solicitud del espitan general de aque llas islas; pero transitando por la corte para embarcarte en laCoruña, quiso el Rey aprovecharse de la instrucción y talentos de este oficial en destinos de mayor influencia…</t>
  </si>
  <si>
    <t>Mazo, Anselmo de Bierna y</t>
  </si>
  <si>
    <t>Anselmo de Bierna y Mazo</t>
  </si>
  <si>
    <t>gado, le hallo acreedor á que S. M. le condecore con la Cruz de comenda dor de la Real orden americana de Isabel JaCatóJica, igualmente que al ase sor auditor de guerra D. Anselmo de Bierna y Mazo. = Dios &amp;c.” &gt; Enterado el .Rey nuestro Señor detenidamente de las recomendaciones que hacen estos'generales á favor dedos gefes , oficiales y tropa que mas se han distinguido en el bloqueo y demas operaciones contra la expresada pla za , ha acordado S. M. va…</t>
  </si>
  <si>
    <t>Mcdinilla, Félix</t>
  </si>
  <si>
    <t>Félix Mcdinilla</t>
  </si>
  <si>
    <t>…abio Aviles 23 D. Joaquín Delgado 69. D. Sebastian Zahonero 60. D. Pe dro Espina 11 5. D. Manuel García 46. D. Francisco Meneses 4. D. Manuel Castellano 22. D. Antonio Salceda 10. D. Félix Mcdinilla 6. D. Manuel Parra 69. D. Juan Martin Parra 4. D. Francisco Carrasco 2. D. Vicente Ximenez 6. Josef Alcaide 8. Miguel Palacios 8. Antonio Garrigos 2. Marga rita Martin 20. Pueblos. Navas del Marques 1500 rs. Arévalo 3100. Cabreros 1937 rs* y 20 mrs. La tierra…</t>
  </si>
  <si>
    <t>Mci, Manueí</t>
  </si>
  <si>
    <t>Manueí Mci</t>
  </si>
  <si>
    <t>…yyRemirez: para la de PuigcerdáráiDí* Sacador?Amajdp: paira la de las villar di Onil, Castalia y [Tibí á D. Juan Cyerojaimcí garrido; y pira la de las; Baronías de Bicon y Quesa á D. Manueí Mci^puejr, ., t ¿ L.it , t... . t</t>
  </si>
  <si>
    <t>Mcndo-, Francisco de</t>
  </si>
  <si>
    <t>Francisco de Mcndo-</t>
  </si>
  <si>
    <t>…cente Espinel, D. Jorge Juan, y D. Antort o de Uiloa. —Cua derno 17: D Pablo- de Sant* Marta, el P. Diego Lainez, Fr. Gerommo Graban de la M«drc de Dios, D. Joicf del Campillo, el cardenal D. Francisco de Mcndo-</t>
  </si>
  <si>
    <t>Mcngs, Ratid</t>
  </si>
  <si>
    <t>Ratid Mcngs</t>
  </si>
  <si>
    <t>…tado por VeHzq ¡e/, granada por el nvsmo, 6 rs._Irstav gr. de nuestra Sra. con su Hijo en los brazos, pintada por Munilr , y grabada por D. B as Amttller, 10 rs__Otra pinta da por D. Ratid Mcngs, y g¡ abada por D. Manuel Esquivel, 8 rs. (JV continuará.') Se vende una huerta cor po/o noria, vestido de cal y ladrillo, muy abundante de aguas, consistente en te-mino de Carabanchel alto, y sitio que llaman del Ríajai, de caber ocho i.&lt;ntg. s, las seis y m…</t>
  </si>
  <si>
    <t>Me, Juan</t>
  </si>
  <si>
    <t>Juan Me</t>
  </si>
  <si>
    <t>…e, sin que se verificase lo mismo en cuanto al canzaba la vista; infiriéndose de aquí la existencia de un bajo ó vigía, cuya situación, según la estima trabajada por el mencionado capitán D. Juan Me sa, es de 36' 5' 2f,f latitud N., y longitud 52o n' 52'' O. de Cádiz. En ninguna de nuestras cartas modernas, ni en las inglesas y francesas mas recientes, se hace mención de este bajo, y únicamente en la carta gene ral del Océano Atlántico, publicada por el…</t>
  </si>
  <si>
    <t>Me, Manuel Antonio</t>
  </si>
  <si>
    <t>Manuel Antonio Me</t>
  </si>
  <si>
    <t>…nos, buena situación y proporciones. Excelencias de la virginidad evangélica, en 3 libros, con una breve apología del cristiano celibato contra ios filósofos de nuestros dias: por D. Manuel Antonio Me lla y Rivelles: un tomo en 8/* á 10 rs. en pasta — Apología de Quinto Séptimo Florente Tertuliano, presbítero de Cartago, contra los gentiles en defensa de los cristianos, con el libro déla paciencia v el de la exhortación de les m ¡rtb es: tra ducido por el…</t>
  </si>
  <si>
    <t>Meana, Fermina</t>
  </si>
  <si>
    <t>Fermina Meana</t>
  </si>
  <si>
    <t>…ado á esta oposición personas de la mayor habilidad, tanto en las labores propias de su sexo como en la moral cristiana, recayó la plaza, después de oidas las señoras censoras, en Doña Fermina Meana, á quien se le aió la posesión el lunes 18 del mismo mes, dando con esto lugar á que se acabase de componer y pintar la casa de la escuela, que costeó la generosidad de uno de los señores diputa dos.__ Llegado este dia, habiéndose avisado antes por carteles q…</t>
  </si>
  <si>
    <t>Mecklenburgo, Príncipe Cirios de</t>
  </si>
  <si>
    <t>Príncipe Cirios de Mecklenburgo</t>
  </si>
  <si>
    <t>…itsch, aca ba de salir de aqui para dirigirse por Potsdam y Magdeburgo á Carbbad. Igualmente han salido para Magdeburgo S. A. R. el Principe Federico de Prusia y S. A. el teniente general Príncipe Cirios de Mecklenburgo. SUIZA. Zuriíh Je Julio. H1 día 23 salió de aqui para Bcsanzon el ministro de Francia conde de Talleirand con el objeto de hallarse alli cuando pase S. A. R. el Duque de Angulema. El mismo dia salieron también de esta ciudad el Príncipe Real de VVurtemberg y…</t>
  </si>
  <si>
    <t>Medina, Manuel</t>
  </si>
  <si>
    <t>Manuel Medina</t>
  </si>
  <si>
    <t>…tín López, armero; Juan Ignacio López, carpintero; Diego Balsamóme, eba nista: todos percibieron las mismas cantidades y en ¡guales épocas. San Martin* Francisco Faug, maquinista; D. Manuel Medina, tallista de cámara de S. M.; Mariano Castilla, calesero; Juan Bermudez, maestro confitero; Fran cisco Rodríguez, vidriero; Josef Arnez, carpintero: todos percibieron las mismas cantidades y en iguales épocas. Plaza mayor. D. Manuel Alvarez, profesor de escul…</t>
  </si>
  <si>
    <t>Medina, Tomas</t>
  </si>
  <si>
    <t>Tomas Medina</t>
  </si>
  <si>
    <t>…D. Juan Hechilla uno: D. Ricardo Muñoz uno: D. Marcos Unzue uno: D. Manuel García ur.o: D. Juan Ocon uno: D. Manuel Cono uno: D. Fernando Carrillo uno: D. Josef Cantalapiedr» uno: D. Tomas Medina uno: D. Josef Salinas uno: D. Fernando Acuña uno: D. Nicolás Suarcz dos: D. Josef Robles uno: D. Blas López cuatro: el mar ques de Villadangos dos : e! marques de Castrojanillos dos: D. Josef Quiño nes dos: D. Claudio Quijada dos: D. Bernardo Escovar dos: D.…</t>
  </si>
  <si>
    <t>Medina, Tomas de</t>
  </si>
  <si>
    <t>Tomas de Medina</t>
  </si>
  <si>
    <t>…en calcetas. La persona que supiere de su paradero se servirá comunicarlo en Madrid i D. Miguel López del Postigo , del contercio; en Logroño á D. Marcial Martínez , y en Burgos á Don Tomas de Medina. D. Francisco Asensio, oficial que fue de la Real biblioteca de S. M., en la avanzada edad de 64 años grabó en el diámetro de un real de plata la cronología de ios Reyes de España, y otras varias noticias que comprenden %66§ letras: igual* mente otra cronolog…</t>
  </si>
  <si>
    <t>Medrano, Josef Manuel de</t>
  </si>
  <si>
    <t>Josef Manuel de Medrano</t>
  </si>
  <si>
    <t>…tal. Los pretendientes dirigirán sus memoriales al ayuntamiento, que debe proveer la plaza el dia 5 de Mayo próximo. Catecismo de la doctrina cristiana explanado por el presbítero D. Josef Manuel de Medrano, misionero apostólico, siguiendo en todo el espíritu del catecismo del P. Gerónimo de Ripalda. En este catecismo se ha propuesto su autor ilustrar á la juventud por medio de unos conocimientos sólidos, y bajo de tal aplicación que queden siempre radicados sus…</t>
  </si>
  <si>
    <t>Meh</t>
  </si>
  <si>
    <t>…imada , el car-te nal Silíceo, Partí -’orré ele C¿ r^r ?a, 1). A? ionio Covartubias v Leiva , Antea:.o Fcie/’, ) D. Jrsrf Pe! ur.raf u. c. rro 1 o : D. Pedro González de M. mloza, D. Meh fum de Macan..? , h r. I ra-c nc- &gt; X imene/. de Cisnerc s, Vasco N.:fmz de VjIu-m, D. J sef Carrilio de Albornoz , y li wiiiji'iylsj de AUrcon. »— C^iiÁviCrTiO i i * ^u*iu íltc* lídrrkiindo ciw</t>
  </si>
  <si>
    <t>Mei, Dionisio</t>
  </si>
  <si>
    <t>Dionisio Mei</t>
  </si>
  <si>
    <t>…6 del corriente tuvieron la honra de cumplimentar á S. M. V A. R. , como comisionados por la villa de Pareja, L). Juan benito Hermosil'a, su alcalde ordinario, D.Juan de Tenajas y D. Dionisio Mei, chante; y arengaron en los términos siguientes: , ,,Señor: la elocuencia en las ciudades grandes es el med¡o de que se sa len sus sabios para manifestar sentimientos muchas veces figurados , c nnpri-</t>
  </si>
  <si>
    <t>Meiiesesi, Manuel Alejo Gómez</t>
  </si>
  <si>
    <t>Manuel Alejo Gómez Meiiesesi</t>
  </si>
  <si>
    <t>…demostraciones de amor y de fidelidad de esta corporación, • , El dia 19 del corriente tuvo la honra de felicitar á S. M. por su.- augusto enlace, á nombre de la villa de Sacedon, D. Manuel Alejo Gómez Meiiesesi; quién dirigió i'S. M. el.discurso, siguiente*: „Señor: La villa de Sacedon, reconocida al.honor que V. M. se ha dig nado dispensarla permaneciendo algunos dias en ella, bendice^ sin cesar la Providencia que ha deparado en su suelo un manantial de aguas salud…</t>
  </si>
  <si>
    <t>Mel, Francisco</t>
  </si>
  <si>
    <t>Francisco Mel</t>
  </si>
  <si>
    <t>…ministro del tribunal de Cruzada. Idem de Provincia Á D. Mariano Vallejo, superintendente y director de las Reales fábricas de Guadalajara; D. Pascual Román, contador de Juros, y D. Francisco Mel garejo y D. Antonio Alonso , tesoreros de egército y Real hacienda de Cádiz. Idem de secretarios del Rey A D. Josef Armesto y Segovia, contador de Resultas de la contaduría mayor, y á D. Antonio Carrero, idem de título. Idem de tesorero de Egército A D. Josef…</t>
  </si>
  <si>
    <t>Melchor</t>
  </si>
  <si>
    <t>…ICIO. ~ Circular del Ministerio de Guerra. . Al Inspector general interino de Infantería digo con esta fecha lo siguiente:. „ Enterado el Rey nuestro Señor de la exposición en que D. Melchor de .Taboada f Coronel del Regimiento de Infantería fijo de Ceuta, manifiesta que de poco tiempo á esta parte los Consejos y demas Tribunales superiores del reino destinan, al expresado Regimiento, en calidad de aplicados, individuos que por lo feo de sus deli…</t>
  </si>
  <si>
    <t>Melci, Josef de Palatbx y</t>
  </si>
  <si>
    <t>Josef de Palatbx y Melci</t>
  </si>
  <si>
    <t>…Providencia egecute esta grande obra.*' El sábado pasado 8 del presente mes de Junio se presentaron á las cinco de la tarde en la sala de audiencias de palacio los Excm »s. Sres. D. Josef de Palatbx y Melci, cani an general de los Reales ejércitos, y el marques de Ayerbe, eran Je de España, y gentilhombre de cámara con egercicio, comi sionados por la villa de Fonz, en el reino de Aragón, para dar gracias á S. M en nombre di la villa, y besar su Real mano en agra…</t>
  </si>
  <si>
    <t>Melcy, Josef de Palafox y</t>
  </si>
  <si>
    <t>Josef de Palafox y Melcy</t>
  </si>
  <si>
    <t>aó8 orden de S. Hermenegildo; D. Josef de Palafox y Melcy, caballero gran cruz de las Reales órdenes de $. Fernando y S. Hermenegil do, y D. Joaquín Blake, ingeniero general, y caballero gran cruz de las mismas órdenes. A la izquierda del dosel había una mesa cubierta con dos ta buretes rasos, uno de ellos para que…</t>
  </si>
  <si>
    <t>Melendez, Ambrosio</t>
  </si>
  <si>
    <t>Ambrosio Melendez</t>
  </si>
  <si>
    <t>XI37 El mismo día 4 se presentaron i felicitar á SS. MM. y AA. los Señores D. Ambrosio Melendez y D. Julián Tomé , regidores perpetuos de la ciudad de Segovia; de los cuales el primero pronunció el discurso siguiente: ,,Señor: La muy noble y esclarecida ciudad de Segovia , que habiéndose distinguido en todas épocas por su acendrada lealtad á sus Soberanos, acre ditó sin…</t>
  </si>
  <si>
    <t>Melendo, Juan</t>
  </si>
  <si>
    <t>Juan Melendo</t>
  </si>
  <si>
    <t>…que D. Tomas Petriz dio en una oda tas gracias at publico. Por la tarde , presentados de nuevo a! publico los mismos , y pedida la aten ción en unos versos castellanos que recitó D. Juan Melendo , tomaron de los concurrentes asuntos para escribir en verso latino; y en seguida D. Mariano Mañano , uno de ello»-, recitó una oración latina sobre la necesidad que hay en la educación crhriana de los niños de tener cuenta con la desentrenada impiedad que ta…</t>
  </si>
  <si>
    <t>Melgarejo, Antonio Josef</t>
  </si>
  <si>
    <t>Antonio Josef Melgarejo</t>
  </si>
  <si>
    <t>T 126 Francisco de Pauta Carbonero de la Caballería , presbítero de la Aldea del Rio de Calatrava; D. Francisco de la Roca y Arredondo, contador de la tesorería general; D. Antonio Josef Melgarejo , vecino de la villa de S. Cle mente ; D. Lorenzo Delgado, presbítero y comisario del Sto. Oficio de Se villa; D. Josef María Pau y Cánovas, vecino de Huesca; D. Ramón Anto nio Pico,.contador de la provincia de la Mancha; D. Josef de Alburruza, coronel de los…</t>
  </si>
  <si>
    <t>Melgarejo, Fernando</t>
  </si>
  <si>
    <t>Fernando Melgarejo</t>
  </si>
  <si>
    <t>771</t>
  </si>
  <si>
    <t>771 El día 18 de Enero del presente año falleció en la villa de Vüianueva de los Infantes, su patria, el Sr. D. Fernando Melgarejo de los Cameros, re gente jubilado del Real consejo de Navarra , y honorario del Real v supre mo de Castilla, á ios 77 años de su edad, de conocida ilustre familia___ Desde su juventud se dedicó al estudio de las ciencias, y particularmente de la jurisprudenci…</t>
  </si>
  <si>
    <t>Melgarejo, Juan Antonio</t>
  </si>
  <si>
    <t>Juan Antonio Melgarejo</t>
  </si>
  <si>
    <t>…nel D. Marcos Nuñez Abreu, caballero profeso de la orden de Santiago, y gobernador militar y político de ellas, asociado de los regi dores perpetuos del ayuntamiento de la capital D. Juan Antonio Melgarejo, caballero ae la orden de Alcántara, y D. Josef Tomas Ballesteros, caballe ro de Justicia en la de S. Juan, y del diputado representante de la nobleza de dicho partido D. Francisco Antolinez de Castro , caballero también de Justicia en la misma orden de S. Ju…</t>
  </si>
  <si>
    <t>Mella, Norberto de</t>
  </si>
  <si>
    <t>Norberto de Mella</t>
  </si>
  <si>
    <t>112 6 A capitanes de Fragata los tenientes de Navio D. Francisco de Murías, era graduado; D. Diego Fonseca, D. Fabio Aliponzoni, D. Norberto de Mella y D. Manuel de Cañas. A tenientes de Navio los de Fragata El graduado de teniente de Navio D. Josef Morales, D. Francisco Berminghan, D. Pedro Mareilla, D. Josef Buitrago, D. Josef Resusta y D. Pe dro Micheo. A tenientes de Fragata los alféreces de Navio D. Josef Vargas MachucaD.…</t>
  </si>
  <si>
    <t>Meller-Sakomeslky</t>
  </si>
  <si>
    <t>…que se comunicará para este objeto, y se compondrá de los sugetos siguientes: el ayudante general Príncipe Wolchowski; el ministro de la Guerra y ayudante general Knonovnizin ; el barón Meller-Sakomeslky, gene ral é inspector de artillería; el teniente general de ingenieros Oppermann , que egerce las funciones de inspector del mismo cuerpo; el teniente general Toll, cuartel-maestre general, y el ayudante general Sakreuski.” El embajador de Persia ha tenido un…</t>
  </si>
  <si>
    <t>Mellinet</t>
  </si>
  <si>
    <t>…le puso en libertad bajo lianza, y se le dió ó vi en de que en el término de ocho dias se traslade á las provincias meridionales. Se hacen pesquisas para averiguar el paradero del general Mellinet, que hace pocos dias estaba aqui, de Barreré, que con nombre supuesto se cree que este en las inmediaciones, y de Lepelletier, que se sabe estaba en las cerca nías de Lieja, y en cuya ciudad se reunían los desterrados de mas nombre. Brice, Despres, Sarrazin ,…</t>
  </si>
  <si>
    <t>Mena, Eugenio</t>
  </si>
  <si>
    <t>Eugenio Mena</t>
  </si>
  <si>
    <t>…arto secundo. La persona que supiere del paradero ó existencia de Doña Ursola Feardielo de Urquinaona, ó de sus herederos si hubiese fallecido, se servirá avisarlo en esta corte á D. Eugenio Mena, bajada de la plazuela de Sto. Domingo, núm. 16, cuarto prin cipal , frente á la fuente. EN LA IMPRENTA REAL.</t>
  </si>
  <si>
    <t>Mencía</t>
  </si>
  <si>
    <t>…ndrés Gómez Plata: para la de Higares á D. Manuel Gre gorio Velasco: para la de Salvatierra á D. Josef Antonio Ramo: para la de Fuensalida á D. Manuel Fernandez Azcona; para la de Doña Mencía á Don Alfonso Josef de Frías: para la deTorija á D. Telesforo Valero: para la de Aguilar de Campó á D. Victoriano Escribano: para la de Budia á D. Vi cente Perez Sánchez: para la de Cañete de las Torres á D. Indalecio Coro nel: para la de Orce á D. Francisco…</t>
  </si>
  <si>
    <t>Mendieta, Bernardo</t>
  </si>
  <si>
    <t>Bernardo Mendieta</t>
  </si>
  <si>
    <t>…ue se hicieren siendo arregladas. El Sr. D. Joaqu in Almazan, del Consejo de S. M., teniente corregidor de esta Tilla, ha señalado para celebrar junta de acreedores al concurso de D. Bernardo Mendieta, vecino y del comercio que fue en esta corte, el dia 15 del presente ir.es en su habitación á las ocho de su mañana; é ignorándose Ja residencia de algunos de dichos acreedores, ha mandado se les haga notorio por medio de este periódico para su concurrencia.…</t>
  </si>
  <si>
    <t>Mendiola, Mariano</t>
  </si>
  <si>
    <t>Mariano Mendiola</t>
  </si>
  <si>
    <t>…ncis co Toina$ de Ansótegui, vacante por jubilación de Q. Manuel Arredando; y para la de oidor de la de Guada laxara ID. Josef Ignacio Ortiz de Sali nas, vacante por traslación de D. Mariano Mendiola á la de Cuba. _ 11 ■— 1 " — ■'»'■■■■■■■■ ■ .......- '■ ,'■■■' .■■■■■. !■ i ., i ■ ■. 111 ............. .............................v * 1,11 En virtud de providencia del Sr. D. Josef Salvador López del Pan, alcalde de su Real casa.y.corte.» pronunciada en 9 d…</t>
  </si>
  <si>
    <t>Mendivil, Gregorio Miguel</t>
  </si>
  <si>
    <t>Gregorio Miguel Mendivil</t>
  </si>
  <si>
    <t>aJ estudio de esta primera parte de los conocimientos farmacéuticos, no me nos que sus compañeros D. Gregorio Miguel Mendivil y D. Antonio Tejado* nombrados censores de dichos actos por el catedrático d* ia expresada asig natura. be trató i.° de la historia natural de las aves: 2.® de la del galápago or bicular, cinoglosa de las oficinas y cinabrio nativo: 3.0 de ios metales en ge neral, y particularme…</t>
  </si>
  <si>
    <t>Mendivil, Juan Francisco</t>
  </si>
  <si>
    <t>Juan Francisco Mendivil</t>
  </si>
  <si>
    <t>…a de los límites de su deber. ,, Estoy muy reconocido á los prontos auxilios que me ha remitido des de ValeHcia con oportunidad el coronel del regimiento de la Union subins pector general D. Juan Francisco Mendivil, habiendo contribuido activa mente al logro feliz de esta acción. „ Tampoco puedo dejar de mencionar la particular conducta del capitán del Rey D. Manuel Bonalde y el subinspector D. Juan Bermudez, que habiéndolos yo mandado á Puerto-Cabello por armas y munic…</t>
  </si>
  <si>
    <t>Mendoza, Ambrosio Hurtado de</t>
  </si>
  <si>
    <t>Ambrosio Hurtado de Mendoza</t>
  </si>
  <si>
    <t>…señor secretario de Estado y del despacho del mis mo ramo lo siguiente: „ Excmo. Sr.: Dirijo á V. E. la adjunta copia de oficio y relación que lo acompañaba del teniente de navio D. Ambrosio Hurtado de Mendoza , capi tán del puerto de Trinidad de esta Isla, relativo á la captura de un corsario de los insurgentes de Cartagena de Indias. Dicho corsario es uno de los 10 que fugaron de aquel puerto ai tiempo de entrar en la plaza las tropas del Rex ; y las 15 personas…</t>
  </si>
  <si>
    <t>Mendoza, Calixto González de</t>
  </si>
  <si>
    <t>Calixto González de Mendoza</t>
  </si>
  <si>
    <t>…les perdieron nueve caballos, y este último parte de su ropa. Del general del egército del Sur pone un parte, en que incluye otro que le pasó el comandante guarda-campos de Puebla D. Calixto González de Mendoza, comunicándole el resultado de la expedición que verificó á Huamantla el 12 de Setiembre,con el objeto de sorprender los rebeldes que esta ban alii, y el ataque que dió á una reunión que intentó molestarlo á su re greso en el monte del Pina!. En ambos puntos…</t>
  </si>
  <si>
    <t>Mendoza, Diego Hurtado de</t>
  </si>
  <si>
    <t>Diego Hurtado de Mendoza</t>
  </si>
  <si>
    <t>…o 5 °: D. Juan de Austria, Fr. Luis de Granada, Martin de Alpizcueta, Pedro Chacón, D. Bernardino de Rebolledo, y D. Luis de Góngora.= Cuaderno 6.°: D. Alonso Tostado, Luis Vives, D. Diego Hurtado de Mendoza, D. Gerónimo de Zurita, D. Diego de Saavedra Fajardo, y D. Alvaro Navia Osorio.—Cuaderno 7.0: D. Luis de Requesens, D. Bartolomé Leonardo de Argensola, D. Francisco Valles, D. Juan de Ribera, D. Juan de Palaíox y Mendoza, y el Mt ro. Fr. Luis Ponce de León. (…</t>
  </si>
  <si>
    <t>Mendoza, Iñigo López de</t>
  </si>
  <si>
    <t>Iñigo López de Mendoza</t>
  </si>
  <si>
    <t>…Paredes, y Fran cisco Pizarro. “Cuaderno i 2 : Josef Ribera , Pablo de Céspedes , D. Die o Velazquez de Silva, Alonso Cano, Bartolomé de Murólo, y Juan de Herrera. “Cua derno 13: D. Iñigo López de Mendoza, Juan Gines de Sepúlte 'a, hrarwisr.o de Salinas, F¡. Bcniio Gerónimo Fe je o, D. Alonso Perez de Guzman , y Rodrigo D iaz de Vivar. Se vende cada cuaderno cen un epítome de la vida de los sugcfoi retratados á 50 rs., y cada estampa suelta á 8. ( Se ccntinu.i…</t>
  </si>
  <si>
    <t>Mendoza, Joaquín Luis de</t>
  </si>
  <si>
    <t>Joaquín Luis de Mendoza</t>
  </si>
  <si>
    <t>…propietario de aquel apostadero de marina. DEPARTAMENTO DE CADIZ. Promovidos d sus inmediatas clases. A oficial primero el segundo D. Josef Quevedo ; á oficial segundo el ter cero D. Joaquín Luis de Mendoza; á oficial tercero el cuarto D. JosefPerez Navarro; á oficiales cuartos los quintos D. Juan Ferrer y D. Josef Rodrí guez Flores , y á oficiales quintos los meritorios D. Sixto Tomaseti y D. Jo sef Gómez Roldan. Graduaciones, Graduación de oficial primero al s…</t>
  </si>
  <si>
    <t>Mendoza, Juan de Palaíox y</t>
  </si>
  <si>
    <t>Juan de Palaíox y Mendoza</t>
  </si>
  <si>
    <t>…de Zurita, D. Diego de Saavedra Fajardo, y D. Alvaro Navia Osorio.—Cuaderno 7.0: D. Luis de Requesens, D. Bartolomé Leonardo de Argensola, D. Francisco Valles, D. Juan de Ribera, D. Juan de Palaíox y Mendoza, y el Mt ro. Fr. Luis Ponce de León. (iV continuará.') Por providencia de los Sres. del Real y supremo Consejo de Castilla, y su sala de Provincia, se cita, llama y emplaza á D. Pedro Gómez de Rozas, vecino de esta corte, D. Andrés Cálvelo, D. Manuel de Entra…</t>
  </si>
  <si>
    <t>Mendoza, Manuel Godos y</t>
  </si>
  <si>
    <t>Manuel Godos y Mendoza</t>
  </si>
  <si>
    <t>…35 pesos á D. Rafael Josef de Guardia, D. Josef Lorenzo Suarez y D. Vicente Garda; y deseosa la Real junta de condecorar el mérito de D. Ruperto Sacristán, D. Josef Zoilo Ro mán, D. Manuel Godos y Mendoza, D. Vicente de la Fuente y D. Fran cisco Sola, que han manifestado particular instrucción y aprovechamiento en los referidos exámenes, ha agraciado á cada uno de ellos con una caja de instrumentos de disección, y una obra de cirugía.. Cuarenta y cinco jóvenes…</t>
  </si>
  <si>
    <t>Meneses, Francisco</t>
  </si>
  <si>
    <t>Francisco Meneses</t>
  </si>
  <si>
    <t>…n Ruperto Molinero 16. D Josef Brochero 40. D Manuel Palomares 30. Don Pabio Aviles 23 D. Joaquín Delgado 69. D. Sebastian Zahonero 60. D. Pe dro Espina 11 5. D. Manuel García 46. D. Francisco Meneses 4. D. Manuel Castellano 22. D. Antonio Salceda 10. D. Félix Mcdinilla 6. D. Manuel Parra 69. D. Juan Martin Parra 4. D. Francisco Carrasco 2. D. Vicente Ximenez 6. Josef Alcaide 8. Miguel Palacios 8. Antonio Garrigos 2. Marga rita Martin 20. Pueblos. Navas de…</t>
  </si>
  <si>
    <t>Meneses, Francisco de</t>
  </si>
  <si>
    <t>Francisco de Meneses</t>
  </si>
  <si>
    <t>…los reinos de España y Portugal, á saber, la falúa española destinada á recibir á las precitadas Augustas Señoras,&gt;y el navio portugués S. Sebas tian, en que vinieron del Brasil: D. Francisco de Meneses, Siíveira y Cas tro, marques de Valada, y conde de Caparica, del consejo de S. M. Fide lísima , mayordomo mayor de la Reina de Portugal, gran cruz de la orden militar de S. Benito de Aviz, comendador de la$ de Cristo, Santiago, de U Torre y Espada &amp;c., le ent…</t>
  </si>
  <si>
    <t>Mengs, Rafael</t>
  </si>
  <si>
    <t>Rafael Mengs</t>
  </si>
  <si>
    <t>…ano, copiados y grabados por D. Josef Camarón, iluminadas á 20 r$. izrldem sin iluminar á 6. rz Retrato de D. Juan Palomino, grabado por D. Ton»s Engrúdanos, á 2 rs. zf Retrato de D. Rafael Mengs, a 2 rs zr:Trece estampas de varios'pensamientos, inventados y grabados al 3§ua fuerte por D. Ramón Fayeu, á 12 rs, conthiuará.') ,</t>
  </si>
  <si>
    <t>Mentón, Cirilo</t>
  </si>
  <si>
    <t>Cirilo Mentón</t>
  </si>
  <si>
    <t>…presentaron en el mismo lugar 37 discípulos de la cla se de e'crlbir y leer; y luego que en nombre de sus compañeros pidió la atención del publico D. Cayetano Hernández, pronunció D. Cirilo Mentón un discurro sobre la necesidad de educar á los niños en los principios de la religión católica ; después de lo cual leyeron en los lugares que los concur rentes les señalaron de varios libros castellanos, explicaron la doctrina cris tiana por el catecismo que…</t>
  </si>
  <si>
    <t>Mercader, Joaquín Román</t>
  </si>
  <si>
    <t>Joaquín Román Mercader</t>
  </si>
  <si>
    <t>…tros de las comunidades religiosas, y á otras personas de carácter y literatura. La hora de las nueve de la mañana fue la señalada para dar principio á los egercicios, y el alumno D. Joaquín Román Mercader pronunció una elegante oración latina apologética, probando en ella el esplendor floreciente de los an tiguos españoles en las ciencias y su posterior decadencia; asignando los me dios necesarios para restituirlas á su esplendor antiguo, egercitándose á conti…</t>
  </si>
  <si>
    <t>Mercadillo, Manuel</t>
  </si>
  <si>
    <t>Manuel Mercadillo</t>
  </si>
  <si>
    <t>…Benitoa uno: D. Ramón Arquello dos : D. Pedro Gastaniaga uno: D. Juan Bros dos: D. Manuel Chicarro ocho reales: D. Benito Hermosino dos pares de zapatos: D. Ignacio Lorenzana dos. D. Manuel Mercadillo uno: D. Ma nuel Rodríguez uno: D. Manuel Yolis dos: D. Bernardino 1 erremos uno: D. Valentín Bustamante dos: D. Joaquín Suarez uno: D Juan de Dios dos: D. Bernardo Bustamante uno: D. Donato Cañas dos: la viuda de Chicarro uno. Total 305 pares de zapatos y 30…</t>
  </si>
  <si>
    <t>Merino, Alejandro</t>
  </si>
  <si>
    <t>Alejandro Merino</t>
  </si>
  <si>
    <t>…e la Morea. ESPAÑA. Madrid 4 de Setiembre. El día 20 de Agosto último cumplimentaron i S. M* por su futuro matri monio en nombre de la Sta. y Reai hermandad vieja de Toledo el Dr. Don Alejandro Merino, abogado de los Reales Consejos, lugar- teme me alcalde del Sermo. Sr. Infante D. Cárlos María, que lo es perpetuo, dlgníimo Her mano mayor y protector de la misma, D. JosefGarcía de la Torre, alcal de de casa y corte, D. Agustín López Carretero, asesor de io…</t>
  </si>
  <si>
    <t>…mo dia 6 la diputación nombrada por la santa Real hermandad vieja de Toledo, compuesta del Excmo. Sr. conde Armi'd.z de Toledo, ma riscal de campo de los Reales eeércitos ; el Dr. D. Alejandro Merino , regi dor perpetuo de la misma; D. Apolinar de Uruñuela , caballerizo de cam po ; D. Isidoro de Lara, y D. Patricio Ortiz de Pareja, hermanos y secrctirio de ella, tuvo el honor de besar las Reales manos de S M. y A. , y íelicitarles por sus realizados matri…</t>
  </si>
  <si>
    <t>Merino, Baltasar Zapata y</t>
  </si>
  <si>
    <t>Baltasar Zapata y Merino</t>
  </si>
  <si>
    <t>…de las órdenes monásticas &amp;c. desde el año sexto antes de la era cristiana vulgar hasta el de 1768 de la misma: obra escrita en francés por Mr. Macqutr, y traducida al español por D. Baltasar Zapata y Merino, doctor en sagrados cánones, opositor á las cátedras de discipli na eclesiástica de los Reales estudios de S. Isidro de esta corte. Se hallará en Madrid en la librería de Pcrez, calle de las Carretas, y en Valladolid en la de San tander, á 80 rs. en papel. Di…</t>
  </si>
  <si>
    <t>Merino, Félix Gómez</t>
  </si>
  <si>
    <t>Félix Gómez Merino</t>
  </si>
  <si>
    <t>…las actas 'del cuerpo desde 9 de Diciembre de 1814 hasta 7 de Diciembre de 1815 por las clases del ins tituto. En la de industria expresó haber premiado la sociedad con Ó40 rs. á D. Félix Gómez Merino por haber preparado el esparto, presentando varias muestras primorosas de esta materia, y fabricádose de la misma hasta rocia ses de lienzos bastos. Concluido ló cual, el señor vice- director y Excmo: Se ñor capitán general alternativamente precedieron á la d…</t>
  </si>
  <si>
    <t>Merino, Manuel</t>
  </si>
  <si>
    <t>Manuel Merino</t>
  </si>
  <si>
    <t>…, acreditadas en la juventud de su cargo: hecho esto, el alumno Don Valentín González recitó una composipion .latina sobre la necesidad de la buena educación ; y el de igual clase D. Manuel Merino pronunció un discur so en castellana en defensa de la poesía : últimamente, dirigiéndose el men cionado catedrático á sus discípulos les hizo en 'sus respectivas clases cuan tas preguntas conducían á manifestar sul sólida y rápida instrucción en el cor to tie…</t>
  </si>
  <si>
    <t>Merino, Santiago</t>
  </si>
  <si>
    <t>Santiago Merino</t>
  </si>
  <si>
    <t>…cino de la Havana, hace saber que Dona Mariana Saens, D. Josef Retortillo, D. Felipe Esmilch, D. Josef Gomara, Don Pedro Subviaga, D. Domingo de la Torre, D. Manuel García Tejada, D. Santiago Merino y D. Ignacio Yanci pueden ocurrir por sí ó sus poderes á cobrar de los bie nes de D. Gonzalo Recio Oquendo, marques de Real Proclamación, sus capitales y premios á que está comprometido en los autos que sobre el asunto le siguieron sus apoderados en la Havana, pues el actual ma…</t>
  </si>
  <si>
    <t>Merino, Vicente Ferrer</t>
  </si>
  <si>
    <t>Vicente Ferrer Merino</t>
  </si>
  <si>
    <t>…aciendo bastantes años que no se ha tenido noticia de su paradero, se suplica al que supiese de dicho D. Francisco lo avise á los párrocos de dicha villa de Cehegin, ó en Madrid á D. Vicente Ferrer Merino, agente de nego cios de los Reales consejos, calle de los Leones, núm 16. Los salmos de David y cánticos sagrados interpretados en una brevísima paráfra sis en sentido propio y literal: escritos en francés por el P. Lallemant; traducidos inuchas veces al ital…</t>
  </si>
  <si>
    <t>Merlo, Juan González</t>
  </si>
  <si>
    <t>Juan González Merlo</t>
  </si>
  <si>
    <t>…sa y corte , refrendada del escribano de provincia y comisiones D. Manuel López de Rivas, á instancia de D. Rafael Perez Romo, vecino de la ciudad de Burgos, como testamentario de D. Juan González Merlo, vecino que fue de la mis ma, por quien se hallan reclamados dos rales de 600 pesos,creación de Mayo,núms. 399700 y 390268, se cita, llama y emplaza á D. Domingo Cabezón y D. Jua¡n de la Cruz de Tena, vecinos de Sevilla, por quienes resulta haber sido present…</t>
  </si>
  <si>
    <t>Mesa, Diego de</t>
  </si>
  <si>
    <t>Diego de Mesa</t>
  </si>
  <si>
    <t>…de que se trata , asi como en todos los demas de igual especie que se ofrezcan. Dios guarde á V. S. mu chos años. Palacio 18 dé Febrero de 1816. =rJosef Vázquez Figueroa. = $eñor D. Diego de Mesa.” Circular del Ministerio de Guerra. Siendo crecido el número de individuos de cuerpos francos que diaria mente acuden al Rey nuestro Señor, dirigiéndose en derechura al trono á implorar la beneficencia de S. M., aun después de haber obtenido el premio corres…</t>
  </si>
  <si>
    <t>Mesa, Juan</t>
  </si>
  <si>
    <t>Juan Mesa</t>
  </si>
  <si>
    <t>…cos estableci da en esta corte, se sabe que navegando para Europa el bergantín español S. Miguel, alias el General Barceió, procedente de Santiago de Ceiba,' su capitán el pil &gt;to D. Juan Mesa, hallándose el 10 de Mayo de este año de 1816 al medio dia en latitud observada de 36* \* \ ^u N. ,y longitud estima da de 5 2o 28' 40" O. de Cidiz «gobernando desde este punto al E.| N. E. de la aguja hasta Ds dos de la tarde, y después al E. N. E. con vient…</t>
  </si>
  <si>
    <t>Meseron, Juan</t>
  </si>
  <si>
    <t>Juan Meseron</t>
  </si>
  <si>
    <t>…o Mendivil: á los capitanes del regimiento del Rey D. Manuel María Mar tínez de Aparicio, D. Lino López Quintana y D. Manuel Guevara, y al teniente D. Josef García, al subteniente D. Juan Meseron, al sargento pri mero Francisco Melendro, y al cabo primero de gastadores Benito Ximenezj como asimismo al corneta y tambor del regimiento de la Union Pedro Ra mírez y Manuel Martínez, y al sargento segundo Miguel Mancha. „No puedo pasar en silencio la valien…</t>
  </si>
  <si>
    <t>Mestre, Agustín Josef</t>
  </si>
  <si>
    <t>Agustín Josef Mestre</t>
  </si>
  <si>
    <t>…elto S. M. se publique en la gaceta como prueba de su Real "aprecio. El Rey nuestro Señor se ha servido mandar, en Real orden comunicada por el Excmo. Sr. sumiller de Corps ál Dr. D. Agustín Josef Mestre, botica rio mayor de S. M., que se provean mediante rigurosa oposición literaria cuatro plazas de boticarios dé la Real Cámara. En cuyo cumplimiento se ha ce saber que los concurrentes á estas oposiciones han.de hacer tres egercicios, los dos primeros público…</t>
  </si>
  <si>
    <t>Metola, Valentín</t>
  </si>
  <si>
    <t>Valentín Metola</t>
  </si>
  <si>
    <t>IÓ4# cion á los literatos qne presenciaron los egerciclos. En seguida se presentaron D. Valentín Metola y D. Gaspar Soto; el primero tradujo y midió con la mayor perfección los versos amcbéos de la égloga tercera de Virgilio, y el segundo la oración de Cicerón pro Rege Dejotaro, haciendo de ella un fino sinopsis, y el régimen exacto de sus oraciones. D. Josef Muro y D. Felipe R…</t>
  </si>
  <si>
    <t>Mi</t>
  </si>
  <si>
    <t>…cia á D. Manuel Losada Cadórniga: para la última plaza de alcalde dei crimen de Granada á D. Josef Ruiz Castro y Caballero: para la última plaza de alcalde del crimen de Galicia á D. Mi guel Antonio Vigil de Quiñones: para la de ministro del Consejo Real, va cante por muerte de D. Manuel de León Santos de San Pedro, árD. Josef de Montemayor, regente de la audiencia de Mallorca: para la capitanía ge</t>
  </si>
  <si>
    <t>…or la primera escuela de escribir co mo unos 6o niños , dirigidos por su maestro el P. Joaquín de Sto. Ton-as de Aquino, y precedida una breve introducción que dijo el seminarista D. Mi guel Escartin, suplicando la benévola atención del concurso, presentaron el catecismo de Flcuri, el Compendio de la Religión y otros libros para leer, como lo hicieron inmediatamente con despejo y claridad en los pasages que les asignaron; luego manifestaron…</t>
  </si>
  <si>
    <t>…toria á los acreedores que se hallan graduados en décimotercio, décimocuarto y decimoquinto lugar, que lo son: la testamentaría de la condesa de Villaverde, Doña Mencía de Guzman, D. Mi guel de Abaurre, el concurso de S. Agustín de la villa de Carabajales, el convento de S. Agustín calzados de la ciudad de Valladolid, D. Francisco Dávila , Doria Isa bel Formento, D. Juan Antonio de la Rumbe, el convento de S. Quirce , órclcn de S. Bernardo d…</t>
  </si>
  <si>
    <t>Mia, Francisco de</t>
  </si>
  <si>
    <t>Francisco de Mia</t>
  </si>
  <si>
    <t>…ía á acreditar su legítima perte nencia; entendidos que de no hacerlo se declarará por de la de Doña Rosa Abad y Carnerero. La persona á quien pertenezca una egecutoria ganada por D. Francisco de Mia ses en la Real chancillena de la ciudad de Valladolid, en contradictorio juicio con los marqueses de Añavete y otros, sobre la sucesión de los mayorazgos fundados por D. Gonzalo de Mieses y D. Alonso González de Paz, escrituras de fundación, agregaciones y ot…</t>
  </si>
  <si>
    <t>Mickham</t>
  </si>
  <si>
    <t>…iéndose formado una reunión Je 2 i perso nas, los magistrados hicieron leer el acta de insurrección, y en seguida Vgunos destacamentos de caballería disiparon á los amotinados. pl coronel Mickham y unos ocho soldados de caballería fueron heridos á pedtadas. El navio de guerra ingles el Reynard, mandado por el capitán St. Clair, que cruza en las costas de la Moren y el Archipiélago, ha apresado tres bar cos de piratas que infestaban aquellas aguas, y l…</t>
  </si>
  <si>
    <t>Mieres, Manuel</t>
  </si>
  <si>
    <t>Manuel Mieres</t>
  </si>
  <si>
    <t>…recompensar tales mé ritos. r „Los oficiales y guardias marinas que han mandado las barcas, y que mas se han distinguido por su gallardía y actividad, son los alféreces de na vio D. Manuel Mieres y D. Ramón Londoño, los de fragata D. Estéban Croquer, D. Antonio Tiscar, D. Joaquín Mozo, D. Juan de Arcos, Don Antonio Sotelo, D. Manuel Zaragoza y D. Felipe Roldan, y los guardias marinas D. Antonio Urzais y D. Juan Mesías. No me detendré en explicar la clase de méritos que…</t>
  </si>
  <si>
    <t>….Francisco Topete: el,de tenientes de navio á los tenientes de fragata D. Simón Ponce y D. Ignacio Chacón r el de te nientes de fragata á los alféreces de navio D. Ramón Londoño , D. Manuel Mieres y D. Juan Bautista Martínez: el de tenientes de fragata graduados á los alféreces de navio D Vicente Sánchez Cerquero y D. Josef Cabezas, pi loto de la clase de primeros'de la armada: el de alféreces de navio á los de fragata D. Juan Montano, con la antigüedad á este de la promoción de…</t>
  </si>
  <si>
    <t>Miernes, Josel de</t>
  </si>
  <si>
    <t>Josel de Miernes</t>
  </si>
  <si>
    <t>…ificaciones concedidas por sus adelanta mientos en los varios ramos de agricultura , merece particular expresión la pa tente de individuo de número de la misma sociedad que obtuvo D. Josel de Miernes, vecino del concejo de Castropol, por haber sembrado, trasplan tado y cuidado 1.46c® pinabetes, muchos de los cuales se hallan ya en es» tado de producir maderas de construcción. La sociedad, animada con tan fe lices resultados, propone adjudicar en los dos a…</t>
  </si>
  <si>
    <t>Mieses, Calixto</t>
  </si>
  <si>
    <t>Calixto Mieses</t>
  </si>
  <si>
    <t>…aballos por la tropa: entre los cadáveres se reconoció un oficial. La mía consiste en que han salido gravemente heridos los soldados Jacinto Claros y Lucas Palacios, y el valiente sargento Calixto Mieses muerto. Madrid 2 de Setiembre. En la tarde del dia 29 de Agosto último una diputación de la M. N. y M. L. ciudad de S. Sebastian, compuesta del Excmo. Sr. conde del Abbbal, teniente general de los Reales egércitos, caballero gran crus de la Real y mi litar or…</t>
  </si>
  <si>
    <t>Mieses, Gonzalo de</t>
  </si>
  <si>
    <t>Gonzalo de Mieses</t>
  </si>
  <si>
    <t>…cisco de Mia ses en la Real chancillena de la ciudad de Valladolid, en contradictorio juicio con los marqueses de Añavete y otros, sobre la sucesión de los mayorazgos fundados por D. Gonzalo de Mieses y D. Alonso González de Paz, escrituras de fundación, agregaciones y otros documentos interesantes, cuyos mayorazgos están fundados en Ciudad-Rodrigo, Zamora y las villas de Fuente La Peña y Canta La Piedra, y poseia en el año pasado de 1787 D. Josef María de Mieses Ponce de León, resid…</t>
  </si>
  <si>
    <t>Migqel</t>
  </si>
  <si>
    <t>…de Iq .civil de la audiencia de Charcas á D. Josef Alvarez Acevedo y Salazar: para .una plaza de endeu de Ja de Quito á D. Pedro Vicente Cañete, por traslación á otra del Cuzco de D. Migqel: Otertfñji ’ para otra .dé oidor de la jnjswia audiencia de Quito 4 D. Jya$¡B¡aprt&amp;$ y í^ayja , por promoción de D. Santiago Corbalan á otra del Cuzco: para la. plaza de regente de la. audiencia de Lima á D. Francis co Toina$ de Ansótegui, vacante por jubilac…</t>
  </si>
  <si>
    <t>Migue</t>
  </si>
  <si>
    <t>…otros que lo sean y no hayan comparecido, para que dentro dei término de 15 días preciso» siguientes al de esta publicación comparezcan en su juagado y escribanía de provin cia de D. Migue) Josef García de la Madrid por medio de procurador con poder bastante á deducir su derecho en el mencionado concurso y demanda puesta por Do ña Juliana Paula Marraci, sobre que se la reintegre de sus bienes dótales existente?, ponga inmediatamente en su poses…</t>
  </si>
  <si>
    <t>Miguel</t>
  </si>
  <si>
    <t>…andado la izquierda de la línea, y con su división de vanguardia ha trabajado con un zelo infatigable, como lo tiene antes acreditado repe tidas veces. ,,El coronel de la Victoria D. Miguel de la Torre y el sargento mayor D. Matías Escuré han llenado completamente mis deseos en cuantas ocasio nes los he empleado. „E1 coronel de artillería D. Gabriel de Torres, comandante general in terino de su arma, ha trabajado con un zelo decidido en su insti…</t>
  </si>
  <si>
    <t>…. Pedro Ruíz de Porras, obernador de la plaza de Sta. Marta, el ascenso á mariscal de campo : á G ). Pascual Real, cororiel del regimiento ínfanteHa ligera cazadores de Casti lla, D. Miguel de la Torre, idein del de la Victoria, y D, Francisco Tomas Morales, Ídem del del Rey de línea, y comandante general de la vanguardia del egército, su ascenso á brigadieres: al coronel D. Gabriel de Torres, te niente coronel de Artillería y mayor general de l…</t>
  </si>
  <si>
    <t>…asto imperio, para dar después cuenta al Emperador del modo con que se hallan administradas. Estos Príncipes harán después un viage á Inglaterra . y á su. vuelta se casará ei gran duque Miguel con S. A. R. la Princesa Carlota. AUSTRIA. Viena 2 de AbriL La enfermedad de S. M. la £av,.&gt;e ratriz , que hacia algún tiempo daba mucho cuidado al Emperador, á su familia y á la corte, se agravó después de la salida de S. M. de Milán en términos, que determi…</t>
  </si>
  <si>
    <t>…rre. Con este motivo publicó el gobernador de Cartagena en 20 de Mayo la proclama siguiente: „Se anuncia al público que el Excmo. Sr. capitán general de este reino ha recibido del coronel D. Miguel de la Tprre, comandante del egército oriental del Magdalena, la gloriosa noticia de haber tomado posesión el 6 del corriente de la capital de este reino con las tropas de su mando, habiendo rechazado su vanguardia á los insurgentes, y obligidoles á huir de aq…</t>
  </si>
  <si>
    <t>…anta Fe de Bogotá , con fecha de 3 i de Mayo último, en los términos siguientes: „Excmo. Sr.: Tengo la satisfacción de parrici -ar á V. E que las tro pas al mando de los coroneles D. Miguel de la Torre y D. Sebastian de la Calzada entraron en esta capital del vireinato el dia 6 del corriente, des pués que el pretendido gobierno y egcrciro la abandonaron, tomando en cLs &gt;rden diferentes direcciones para huir, dando lugar asi rara que este pue blo…</t>
  </si>
  <si>
    <t>…r con S. M. , ■ SS. AA. el gran duque y la gran duquesa heredera de Saxonia Weimar salieron de aquí el i.° de este mes con dirección á Weimar. S. M, la Empe ratriz madre y ei gran duque Miguel los acompañaron hasta cierta distancia. Orillas del Vístula 1$ de Setiembre. •./. &gt;♦. Después del restablecimiento de la paz general, la corte de Suecia comi sionó al conde Gustavo Loewenhielm para felicitar &amp;‘S. M. el Emperador de Rusia , y este Monarca envi…</t>
  </si>
  <si>
    <t>Miguel, Manuel</t>
  </si>
  <si>
    <t>Manuel Miguel</t>
  </si>
  <si>
    <t>…nunciando una elegante oración latina, dando gracias al ayuntamiento por los paternales desvelos con que procura la instrucción pública. Después de lo cual I03 de la misma .clase D. Manuel Miguel, D. Vicente Romeo y D. Ci priano Aznar expusieron con tanto método como claridad todos los precep tos de Ta gramática latina , y se egercitaron en la versión de los mejores au tores de pura latinidad, tanto prosaicos como poetas, dando cúenta de la es tructur…</t>
  </si>
  <si>
    <t>Miguel, Rebufo de S.</t>
  </si>
  <si>
    <t>Rebufo de S. Miguel</t>
  </si>
  <si>
    <t>…la mañana del 31 del pasado evacuaron las tropas austríacas la ciudadela de Alejandría. El teniente general conde Pfaunznltpr hizo la entrega solemne de la plaza al mayor general conde Rebufo de S. Miguel, que tomó el mando de ella. Las tropas austriacas se han dirigido á Pavía. PAIS ES-BAJOS-UNI DOS. Mous 5 de Abril. Acaba de ocurrir en esta ciudad un acontecimiento horroroso que la ha llenado de consternación. Anteayer á eso' de las ocho de la noche madama P…</t>
  </si>
  <si>
    <t>Miguez, Juan Dieguez</t>
  </si>
  <si>
    <t>Juan Dieguez Miguez</t>
  </si>
  <si>
    <t>…l Perea. En el tercer regimiento A D. Andrés Rodríguez. EN EL CUERPO DE PILOTOS. DEPARTAMENTO DE CADIZ. A tenientes de Navio los primeros pilotos graduados de tenientes de Fragata D. Juan Dieguez Miguez y D. Andrés Ramos. Vara la graduación de tenientes de Fragata d los que lo están de alférez de Navio D Pedro Sánchez, D. Juan Alias, D. Pedro García Galindo, D. Juan Inciarte y Portu y D. Julián Alias.</t>
  </si>
  <si>
    <t>Miíton</t>
  </si>
  <si>
    <t>…con los aliados.’* Los debates sobre esta propuesta fueron sumamente largos , pues no aca bó la discusión hasta las tres y media de la mañana. Mr. Litleton combatió la opinión de lord Miíton, quien hubiera querido que la Alsacia; la Lorena y el Franco-Condado hubiesen sido desmembrados del territorio de la Fran cia, y sostuvo que para la tranquilidad de la Europa debía continuar siendo una nación grande. Mr. Machutosh se opuso á la propuesta de l…</t>
  </si>
  <si>
    <t>…tían en pasar adelante daría de sablazos á los caballos, y que tal vez llegaría á poner las manos en sus personas. Lord Nugent propu so que se tomase en consideración el suceso de lord Miíton. Los Sres. Pómsombi, Tierney y otros individuos del partido de la oposición hablaron en apoyo de la propuesta , sosteniendo que éran'superfluos los soldados para el mantenimiento del orden, bastando para ello los empleados de policía. Lord Castlereagh y el ca…</t>
  </si>
  <si>
    <t>Milara, Alonso Gutiérrez de</t>
  </si>
  <si>
    <t>Alonso Gutiérrez de Milara</t>
  </si>
  <si>
    <t>…egua de Manzana res. Los facultativos á quienes pueda convenir dicho partido se servirán dirigir des de luego sus memoriales al ayuntamiento de la referida villa con sobrescrito á Don Alonso Gutiérrez de Milara, escribano de él. Suplementos á las ilustradas artes de partida doble y cambios directos y de arbitrages por números fijos, con una tabla esférica de los cambios recíprocas entre las principales plazas de comercio de Europa, y modelos para la mas simple forma…</t>
  </si>
  <si>
    <t>Millen</t>
  </si>
  <si>
    <t>…que se componía la escuadra inglesa y holandesa que batió la plaza de Argel. \ &gt; Navios. La Real Carlota, almirante lord Exmouth, de no cañones; el Impregnable, al mando del vice-almirante Millen, de 98; el Soberbio , al del capitán Kins, de 74; el MinJen, al de Guillermo raterson, de 74; el Albion, al de Juan Coode, de 74: estos tres últimos de línea. Fragatas. La Leandra, al mando del vice-almirante Peñeres, de 50 ca ñones; la Soberana., al de Juan…</t>
  </si>
  <si>
    <t>Milne</t>
  </si>
  <si>
    <t>…o este.’* Idem 24. La gaceta ministerial de ayer anuncia que el Príncipe Regente ha confe rido el título de vizconde á lord Exmouth. Al mismo tiempo ha nombrado S. A. R. al contra-almirante Milne caballero comendador de la orden del Baño , y ademas ha conferido el titulo de caballeros á otros varios capitanes de navio que se han distinguido en el combate de Argel. Ayer se recibieron pliegos de lord Exmouth; y aunque no se han publica do todavía oficia…</t>
  </si>
  <si>
    <t>Milre, Carlos</t>
  </si>
  <si>
    <t>Carlos Milre</t>
  </si>
  <si>
    <t>…8. D. Josef Uaabal 69. D. Francisco Crespo 20. Agustín Bar tolomé 13. D. Eustbio Arrabal 20. Fernando Gómez 20. D. Vicente Telio 4. D. Manuel Cisneros 23. D. Valentín.Ximenez 20. D. Carlos Milre40. D. Esteban Gómez 20. D» Felipe Eneri y Seda 40. D. Gregorio Fernan dez 46. D. Fernando Larrondo 92. D. Martin Ocaf.a 20. D. Blas María 20. D. Pedro Pacheco 20. D. Fernando Prieto 24. D. Juan Ballesteros 20. Don Ruperto Molinero 16. D Josef Brochero 40. D M…</t>
  </si>
  <si>
    <t>Mingojuan, Felipe</t>
  </si>
  <si>
    <t>Felipe Mingojuan</t>
  </si>
  <si>
    <t>…ino J S^vl a. á D. Antonio Josef Santevaez y Lerin : para la de Monraíbar . aitio d* C rdoba, ¿ D. Juan Josef López: para la de Cea á D. Vicente i vz Sánchez: para la de Buendia á D. Felipe Mingojuan: para la de Sal.«s u&gt; I fuves i D. Ped.o Puma rejo y Velarde : para la de Pedraza á D. SanJti; &gt; Orne y Garay ; y para la del Valle de Ay ala á D. Vicente Diaz de O.arte. Por resolución á consulta de! supremo Cornejo de Hacienda , y á so lici tud del teniente…</t>
  </si>
  <si>
    <t>Mininssi</t>
  </si>
  <si>
    <t>…s pertenecientes á S. M. el Rey de España que Josef Napoleón extrajo al tiempo de su reti rada. Es incalculable el valor de estos efectos, cuya custodia se ha confiado al teniente coronel Mininssi que está al servicio de España, para conducirlos con un destacamento de caballería inglesa hasta Ambéres, donde serán em barcados para España. ; ’ » La reforma general de los egércítos aliados en Francia se prosigue con actividad, y se terminará á fines de es…</t>
  </si>
  <si>
    <t>Ministro</t>
  </si>
  <si>
    <t>…la Serma. Sra. Infanta ¿ ver la iluminación de la ciudad, se dispuso que fuesen en una hermosa carretela, á lin de que pudiesen disfrutar con mas libertad de aquella diversión. El Sr. Ministro plenipotenciario de S. M. Británica e« esta corte ha pa sado al Excino. Sr. D. Pedro Cevallos para noticia de S. M. los siguientes do cumentos, relativos al glorioso resultado de la expedición contra Argel, con ducidos á Barcelona por un buque de guerra ingle…</t>
  </si>
  <si>
    <t>Minto</t>
  </si>
  <si>
    <t>…ínsula, uniendo la pre sidencia de Bombay 4 la de Calcutta: demasiado extensas son ya nuestras posesiones; y nuestro sistema militar parece haberse debilitado bajo el gobier no de lord Minto. Las providencias para conciliar á un misino tiempola ad ministración civil y militar, han entibiado el respeto de las tropas cipayai para con los oficiales europeos. El número de los soldados europeos se ha minorado con respecto á su justa proporción. Estas…</t>
  </si>
  <si>
    <t>Minué</t>
  </si>
  <si>
    <t>herí Jos en el regimiento del Rey el subteniente D. Antonio Iilfzondo y el teniente D. Minué! Listeri, y en las milicias de Valencia el capitán Don Eugenio Olavarria: de tropa han muerto 34 individuos, 78 heridos, y dos contuso5:. „ No puedo menos de recomendar á V. S., para que se digne hacerlo con el Excmo. Sr. general en gefe, al digno teniente co…</t>
  </si>
  <si>
    <t>Minuiir, Nicolás</t>
  </si>
  <si>
    <t>Nicolás Minuiir</t>
  </si>
  <si>
    <t>…los m. Las preciosidades de belfas artes y ciencias naturales que los franceses ex trajeron de España en la é;oca de su dominación han llegado á Madrid con* decidas por el rapiran D. Nicolás Minuiir : de cuyas resultas tendremos la sa tisfacción de ver restituidos á nuestras gabinetes y museos los mi mos o! j’tos que habían supuesto trasportados á Inglaterra á bordo de la fragata holandesa el Hamistet , las plumas de algunos periodistas, émulos sin duda…</t>
  </si>
  <si>
    <t>Miollis</t>
  </si>
  <si>
    <t>…ueo de aquella plaza, con el objeto de robar y asesinar á los vecinos mas ricos y honrados, á quienes los asciinos tachaban de realistas. Deshechas sus tramas por la prudencia del general Miollis , se empezaron las pesquisas judiciales, y los principales cons piradores lograron fugarse. La entrega de Simón,al paso que prueba la bue na inteligencia que existe entre el Gobierno francés y las potencias vecinas, d-he convencer á los malévolos de que no es…</t>
  </si>
  <si>
    <t>Mioño, Domingo de Mier y</t>
  </si>
  <si>
    <t>Domingo de Mier y Mioño</t>
  </si>
  <si>
    <t>…D. Juan Josef Echezuria, vecino de Caracas; el coronel del Real cuerpo de ingenieros D. Josef Parreño; Don Juan Antonio de Rojas Queipo, racionero de la santa iglesia de Caracas; Don Domingo de Mier y Mioño, maestrante de Sevilla; D. Ignacio Canivell, consejero de Hacienda; D Josef Cesáreo de la Rosa, medio racionero de la santa iglesia de Guadalajara de Indias; D. Lúeas de Ontañon y Prado, teniente del regimiento de húsares de Veracruz , y D. Joaquín Marta Ferr…</t>
  </si>
  <si>
    <t>Mirambell, Francisco</t>
  </si>
  <si>
    <t>Francisco Mirambell</t>
  </si>
  <si>
    <t>…de-.Barcarota á D. Josef Villegas Cevallos: para la de Montcalegre á D. Pascual Ramírez Cerezo: para la de Teba á D. Josef Antonio Aivarez Valle: para la de Calahorra de Granada á D. Francisco Mirambell: para la de Estremera á D. Miguel Agustín de Novas: para la de Friones á I). Josef de Aguirre; y para la de Aznalcázar á D. Josef Joaquín Romero del Már mol. Y ha prorogado S. M. por seis años en la vara de Vegas dei Condado á D. Román Rodríguez. En la direcc…</t>
  </si>
  <si>
    <t>Miranda, Conde de</t>
  </si>
  <si>
    <t>Conde de Miranda</t>
  </si>
  <si>
    <t>…r, autoT rizándole igualmente para el recibimiento de dichas Sjermas. Sras. Infantas, en caso de que por alguna enfermedad ú otro impedimento ¡nd.puéda desem peñar este encargo el Sr. Conde de Miranda, á quien se lé ha conferido. Esta Real resolución se ha comunicado al Consejo por el referido Exce lentísimo Sr. Duque Presidente para su inteligencia, y que le acompañe en tan singular satisfacción; ,y habiéndose publicado en él, ha acordado se cir cule á la…</t>
  </si>
  <si>
    <t>…aciones; pero S. M., con la benignidad que la caracteriza, teniendo en consideración los gastos que originan semejantes festejos, mandó al capitán general por con ducto del Excmo. Sr. Conde de Miranda que se suspendieran ios que pudie sen ser gravosos al pueblo, dando ai misino tiempo gracias en su Real nom bre por tan repetidas demostraciones de amor y fidelidad. El dia 8 recibieron también S. M. y A. algunas personas á besar su Real mano, y por la tarde…</t>
  </si>
  <si>
    <t>Miranda, Joaquín</t>
  </si>
  <si>
    <t>Joaquín Miranda</t>
  </si>
  <si>
    <t>…ve, 1) Fernando Garai, O. Jaime Sa la-, D. V ¡cente Kna, D. Tomas Ma teo y D. Bienvenido Cortés, seminarútas en el mfmo colegio, D. Mariano Nogués, D Pedro Nogués , D Pedro Ortiz, D. Joaquín Miranda, D. Pe dro Navarro, D. Juan Josef Lahorda, D- Lorenzo Biscasillas, D. Antonio Ttmprado, D. Martin Jucez, D. Josef La&gt;, D. Josef Martin, D. Manuel Laredo, D. Gaspar Gailat, D. Inocencio Maicas, D. A: mnio Cebollero, D. Pedro Juste y D. Francisco López. Dio pri…</t>
  </si>
  <si>
    <t>Miranda, Josef</t>
  </si>
  <si>
    <t>Josef Miranda</t>
  </si>
  <si>
    <t>…cio de Cádiz, 15 vales Reales de 300 pesos, creación de i.° de Mayo, que fueron endo sados en Málaga con fecha 6 de Abril del corriente ano por D. Félix Antonio Ruiz á la orden de D. Josef Miranda, y por su ausencia á la de D. Francisco Torrecilla del Rio, de Cádiz, quien los firmó para su descuento por ausencia de aquel; lo avi sa al comercio dicho Rosal para su gobierno y detención ene 1 caso de presentarlos í descuento, dándole el aviso oportuno, cu…</t>
  </si>
  <si>
    <t>Miranda, Rafael Susbielas y</t>
  </si>
  <si>
    <t>Rafael Susbielas y Miranda</t>
  </si>
  <si>
    <t>…o, respondiendo con el mismo á distintas preguntas de gramática castellana, ortografía y ortología, fo rmando después varios problemas de aritmética; distinguiéndose en este ra mo D. Rafael Susbielas y Miranda, P. Francisco de Lara , P. Manuel Infcausri, D. Mariano Polonio y P. Francisco Algaba Polo, y últimamente se presentaron 21 jóvenes que leyeron de corrido con propiedad, respondieron á varias preguntas de doctrina cristiana, tanto del catecismo de Ripalda ca…</t>
  </si>
  <si>
    <t>Miró, Pablo Marra de</t>
  </si>
  <si>
    <t>Pablo Marra de Miró</t>
  </si>
  <si>
    <t>…tica, los Monarcas se consideran con derecho á usar de su autoridad para introducirla.” ESPAÑA. Madrid 18 de Setiembre. El día 4 del presente mes á las cinco de la tarde los Sres. D. Pablo Marra de Miró, caballero maestrante de la Real de Granada, regidor decano de la villa de Reus ; el coronel D. Domingo de Dalmau, agregado al batallón de Ultramar, y el capitán D. Vicente Josef de Bofaruli, segundo tenienre del quinto batallan de Reales Guardias Wálonas , c…</t>
  </si>
  <si>
    <t>Miyares</t>
  </si>
  <si>
    <t>…osef Moreno y DaAz. = Excmo. Sr. virey D. Fé ix Marta Calleja.” Se sabe ademas por carta particular lo que expresa el siguiente párrafo. „En carta particular dice este general (el Sr. Miyares) que en el ataque que la caballería de Zarzosa y las compuñígs de Ordenes y Navarra di/&gt; á la enemiga , murió mucha de esta, y que por noticias de algunos &lt;¿ue se han presentado entró en el número Guadalupe Victoria." Egecucion del rebelde Josef María Modelos…</t>
  </si>
  <si>
    <t>Mizpireta, Juan de</t>
  </si>
  <si>
    <t>Juan de Mizpireta</t>
  </si>
  <si>
    <t>…er reno que se halla plantado de viña en el término de Fuencarral, sitio llamado la Fuente de la Mora, con 408 cepas, tasada en 816 rs., cuyas posesiones pertenecen al concurso de D. Juan de Mizpireta, vecino y del comercio que fue de esta corte. Quien quisiere hacer postura á tedas, ó cada una de ellas, acuda dentro del térmi no de 30 días ante el referido áeñor juez por la escribanía del número de D. Clau dio Sanz, que se admitirán siinito arregladas. Ca…</t>
  </si>
  <si>
    <t>Mlgu, Jjjefi</t>
  </si>
  <si>
    <t>Jjjefi Mlgu</t>
  </si>
  <si>
    <t>97 de 181 v = Ercmo. Sr. = Manuel de la Concha. = Excmo. Sr. virey Don Féííx Mari i Calleja. Oficios del cura párroco del pueblo de San Cristóbal Ecatepec Br. Don Jjjefi Mlgu l de Ajala. i.° En contestación al ofiiio que V. S. me acaba de remi.ir para la dis posición del entierro en esta parroquia del cadáver del rebelde Josef María Morelo', que se ha de sepultar á las cuatro de la tarde, quedo entendido á verificarlo según la órd…</t>
  </si>
  <si>
    <t>Mnrchand</t>
  </si>
  <si>
    <t>…gos y peligros que parecían necesarios consiguien te de empresa tan ardua en las circunstancias ; que asi alarmada , vio por-prb mer triunfo de su gloriosa empresa el equipage del general Mnrchand; el deifrtrozo ab oluto de un escuadrón de cahalloía con que traída abrir comuni cación con Orense; que el valor y d nuedo de esto1 naturales fue el que ha dado el ma« fuerte impulso al héroe Romana, q«!ten toorÓ por C‘tr¡viflo , ttv mad el egemplo de los nat…</t>
  </si>
  <si>
    <t>Mnzzucbdii</t>
  </si>
  <si>
    <t>…avios de guerra, fragatas y bsrgcndms. Los jabeques de la compañía Pfcpiiv han sido aprobados, y se co üsii uir.iii otros por su modelo. ALEMANIA. Francfort j de Junio. El general conde Mnzzucbdii, que mandaba las tropas austríacas en fia* orilla izquierda del Hbiu , v Mr. Drossdick, comhario de S. M. el Empera— &lt;i&lt; r de A m tria p,:ra la e tr gi de aquellos p&gt;ahe* , llegaron ayer á esta ciudad. S. -V R. e! v lector de i Ls^e nnus de marchar á Ha ñau m…</t>
  </si>
  <si>
    <t>Mo</t>
  </si>
  <si>
    <t>…han engañado, y algunos de sus secua ces , en unos buques corsarios que tenían en sus puertos, he dispuesto que el brigadier D. Antonio Cano tome posesión de ella, dando aviso al general Mo rillo que se halla en Copique. Avisólo á V. para la satisfacción de ese pú blico; y dirija V. copia de este oficio al gobernador de Maracaibo___ Por una posdata de una carta del secretario de la capitanía general del reino sa bemos iban entrando las tropas Re…</t>
  </si>
  <si>
    <t>Mo, Cayetano</t>
  </si>
  <si>
    <t>Cayetano Mo</t>
  </si>
  <si>
    <t>…os mensualmente por el mayordomo de propios* y ademas un real que paga mensualmente cada niño de leer, y dos los de escribir y contar. Los pretendientes dirigirán sus memoriales á D. Cayetano Mo rales , secretario del ayuntumiento, hasta el dia 30 del presente Abril. Se halla vacante la plaza de cirujano de la villa del Carpió de Montalban, dis tante seis leguas de Toledo: tiene 500 vecinos, y se le pagan por la justicia b'_po rs. anuales por estuche…</t>
  </si>
  <si>
    <t>Mo, Francisco Tomas</t>
  </si>
  <si>
    <t>Francisco Tomas Mo</t>
  </si>
  <si>
    <t>…ciando el fue go de S. Lázaro y bongos, recorrió todo aquel espacio» La expedición marítima salió peco antes de rayar el dia, mandando las tropas el comandante de la vanguardia el coronel D. Francisco Tomas Mo rales , y las fuerzas de mar el teniente de navio D. Josef Laserna , y á sus órdenes el capitán D. Luis Pacheco, edecán del Excmo. Sr» capitán general de la provincia» La popa señaló nuestra expedición, y al momento dieron la vela desde Castillo-grande seis g…</t>
  </si>
  <si>
    <t>Mo, Gerardo</t>
  </si>
  <si>
    <t>Gerardo Mo</t>
  </si>
  <si>
    <t>…leyeron de corrido con propiedad, respondieron á varias preguntas de doctrina cristiana, tanto del catecismo de Ripalda ca nto de Reinos© y Fleuri; distinguiéndose en dicho número D. Gerardo Mo lina , P. Antonio Morales, P. Manuel María Solano, P. Juan Criado y Pon B1 as II errador; quedando complacidísimos , tanto las autoridades como los. demas del concurso que presenciaron tan agradable acto. Patencia 26cíe Mayo. Siendo uno de (os primeros cuidad…</t>
  </si>
  <si>
    <t>Mo, Pablo</t>
  </si>
  <si>
    <t>Pablo Mo</t>
  </si>
  <si>
    <t>…casión, pues que V. E. ya inferirá la multitud de aten ciones que cargará sobre mí en este momento. Me es de la mayor satisfac ción decir á V. E. que todo se ha debido al teniente general D. Pablo Mo rillo, á sus talentos militares, á su infatigable, actividad, y al acierto de sus operaciones. La felicidad dél resultado, ademas de probar el tino con que han sido dirigidas, forma su mayor elogio; por lo cual 110 dudo que S. M. se dignará condecorarle con a…</t>
  </si>
  <si>
    <t>Modet, Miguel</t>
  </si>
  <si>
    <t>Miguel Modet</t>
  </si>
  <si>
    <t>…bre. El dia 16 de Setiembre último cumplimentaron á S. M., en nombre de la M. N. y M. L. ciudad de Estella, en el reino de Navarra, el Excelentí simo Sr. duque de Granada de Ega y D. Miguel Modet, oidor de la Real audiencia de México, con el plausible motivo de su matrimonio y arribo á Cádiz de la Reina nuestra Señora Doña María. Isabel Francisca; y el dia 17 lo hicieron al Sermo. Sr. Infante D. Carlos María Isidro por el suyo con la Serma. Sra. Infan…</t>
  </si>
  <si>
    <t>Moernai</t>
  </si>
  <si>
    <t>…ruega , se retirará á su casa con la satisfacción de haber merecido que la Di ta le cumplimen tase por la excelente conducta que ha observado du ante el tiempo de su go bierno. El conde Moernai, que se halla todavía en Stockolmo, es el que está nombrado para sucederle. El Príncipe Oscar está actualmente en los baños de Ramloeska, en la</t>
  </si>
  <si>
    <t>Moheda, Manuel</t>
  </si>
  <si>
    <t>Manuel Moheda</t>
  </si>
  <si>
    <t>…omar alguna de ellas en pago de su crédito, lo manifestará en esta corte á los síndicos de ella, quienes admitirán las proposiciones siendo arregladas, remitiéndo las por escruo á D. Manuel Moheda, del comercio de e$t*corte, en el preciso tér mino de un mes desde esta publicación, i Se halla vacante la plaza da cirujano titular y sangrador de la villa y anteiglesia de Munguia, en el señorío de Vizcaya, distante tres leguas de Bilbao, cuya pobla ción se…</t>
  </si>
  <si>
    <t>Mohr</t>
  </si>
  <si>
    <t>…estas son las principales obligaciones que os prescriben las circunstancias actuales &amp;c. &amp;c.” El cuartel general del barón de Friinont permanece en Colmar, el del: jfeld-mariscal barón Mohr, comandante superior de la caballería, está en Ersain; y el del feld-inariscal barón de Marschall en Molsheim. El cuartel general del general mayor de Seniher, que manda los regí» miemos Benjowski y Giulai, está en "Haguenau. El cuartel general del cuerpo wur…</t>
  </si>
  <si>
    <t>Móhtémayftr, Josef</t>
  </si>
  <si>
    <t>Josef Móhtémayftr</t>
  </si>
  <si>
    <t>…de' I815. ... &gt;5 ; ¡ S. M. se ha servido nombrar para-la regencia de la Real audiencia del Reino de Mallorca á D.-Juan López de “Viiíúesa^ decano de la de Gácere$¿ por ascenso de D. Josef Móhtémayftr á ' plaza del Consejo Real; y para la ase soría togada de las islas de Ibiza y Fcrmenrera, con el encargo de desemeñar al mismo tiempo la subdelegaron de todas rentas y la judicatura del eal patrimonio, á D. Manuel de la Plaza y Farias, por haber sido agracia…</t>
  </si>
  <si>
    <t>Moira</t>
  </si>
  <si>
    <t>…so á esta resolución, pareciéndole extraño que se diese tal recompensa á un oficial subalterno, cualquiera que sea su mérito, siendo asi que no se hace mención del general en gefe lord Moira, quien se ha conducido en la guerra contra el Na paúl como un hábil estadista y como verdadero inglesLord Moira , anadio el orador , ensayó todos los medios de conciliación , y no se decidió por la guerra sino en el último extremo, esto es, despees de haber i…</t>
  </si>
  <si>
    <t>52</t>
  </si>
  <si>
    <t>…ue fue el dia se presentó el dignó y animoso juez en e! mer cado , y no queriendo qué el delincuente quedase impune, egccutó por sí'mis mo la sentencia. Pía llegado de la China el conde Moira. El navio que le ha traído quiso tocar en Sta..Elena; pero al acercarse le hizo fuego la artillería de la isla* y tuvo que alejarse. Acaba de experimentarse la utilidad del descubrimiento que se anunció k dias há, y consiste en arrojar á los náufragos un cabl…</t>
  </si>
  <si>
    <t>…e estos mismos bieues que antes poseian como dueños. GRAN BRETAÑA. Londres 12 de Julio. Las últimas noticias de la India han llamado mucho la atención pública. Según las cartas de lord Moira parece que el Scindiah, cuya intervención ea la guerra es muy temible, estaba con su egército en Givalior, célebre fo:talcza cedida á los ingleses por el tratado concluido con los maracas ea i¿&lt;H</t>
  </si>
  <si>
    <t>…la mismo policía. GRAN BRETAÑA. Londres a 5 de Julio. Parece que la verdadera causa de la renovación de la guerra con el Napaúl es la siguiente: El Soberano del Napaul, con quien lord Moira hizo el tratado de paz, murió antes de ratificarle, y le sucedió un hermano suyo muy adicto á los máratas. Luego que subió al trono se rehusó á ratificar el tratado, y seguidamente entró en correspondencia con el Scindiah y con Berar Raja, los cuales han mani…</t>
  </si>
  <si>
    <t>Mojó, Salvador</t>
  </si>
  <si>
    <t>Salvador Mojó</t>
  </si>
  <si>
    <t>…, que muchas embarcaciones , á pesar de la estación rigurosa del invierno, toman cargamentos para el Elba. ESPAÑA. Madrid 18 de Diciembre. ARTICULO DE OFICIO. El mariscal de campo D. Salvador Mojó, capitán general de las provin cias de Venezuela, en diferentes partes dirigidos desde Caracas al señor se cretario de Estado y del despacho de la Guerra, con fechas de Ju'io y Agos to últimos, da cuenta de haber sido completamente batida y deshecha en va</t>
  </si>
  <si>
    <t>Moles, Josef</t>
  </si>
  <si>
    <t>Josef Moles</t>
  </si>
  <si>
    <t>…ción de este punto marchó en su brea, y tuvo al lio la «aristeccion de alcanzarlo y derrotarlo en ios llanos de ia Seyba , se gún que lo manifiesta el siguiente parte del teniente coronel D. Josef Moles, cipiran de dragones de la Union, y accidental comandante del primer es cuadrón „Partido de Maturin (después de quedar alli la guarnición suficiente} con una columna de 427 hombres de infantería y caballería, entre los cuales iban 50 dragones de la Union del…</t>
  </si>
  <si>
    <t>Molin, Nicolás Díaz</t>
  </si>
  <si>
    <t>Nicolás Díaz Molin</t>
  </si>
  <si>
    <t>…ila al auditor de guerra D, Mariano Ruiz Lorenzo: para el de Tordesillas á D. Joaquín Martínez Campaya: para el de Montejaque á D. Félix Fernandez Aviles: para el de Villamartin á D. Nicolás Díaz Molin; y para el de Rueda del Almirante á D. Dámaso Megía Girón. También se ha servido el Rey nombrar para la vara de alcalde mayor de la ciudad de Berlanga á D. Josef Fernandez Viliami!: para la de k Guardia, en el Reino de Jaén, á D. Teles foro Contreras: para la…</t>
  </si>
  <si>
    <t>Molina, Alonso</t>
  </si>
  <si>
    <t>Alonso Molina</t>
  </si>
  <si>
    <t>…y D. Francisco del Corral; y otra de la villa y cabildo eclesiástico de Vilches en el mismo reino, compuesta de Juan Bautista López Monroy, D. Juan del Campo, D. Manuel del Moral, D. Alonso Molina, D. Fran cisco Martínez Hervas, D. Josef de Lara, D. Antonio del Campo , D. Si món Matías de Mesa, D. Tomas Gallego , D. Juan de la Herrera y Godino y D. Francisco Herrera y Navarrete : todos los cuales en nombre de las corporaciones y pueblos que representab…</t>
  </si>
  <si>
    <t>Molina, Benito</t>
  </si>
  <si>
    <t>Benito Molina</t>
  </si>
  <si>
    <t>…Cardoso. A la graduación de subtenientes dd primer regimiento Real de Marina d los sargentos primeros D. Cárl os Valero, D. Josef de Cárdenas, D. Josef Usero, D. Domingo Apodaca, D. Benito Molina, D. Ramón López y D. Manuel Perea. En el tercer regimiento A D. Andrés Rodríguez. EN EL CUERPO DE PILOTOS. DEPARTAMENTO DE CADIZ. A tenientes de Navio los primeros pilotos graduados de tenientes de Fragata D. Juan Dieguez Miguez y D. Andrés Ramos. Vara la gra…</t>
  </si>
  <si>
    <t>…amorano 100. D. Anto nio Ortiz Calvento 50. D. Pedro Josef Zamorano 160. Pedro Alfonso Clavijo i®. Doña Ana Sánchez 1®. Juan Caballero y su hijo 60. Doña Marina Rita Zamorano 150. D. Benito Molina 100-----La villa de Cañete las Tor res 5366. £1 convento de carmelitas calzados de Castro el Rio 3®. El de dominicos de Baena 1®. Ei convento de religiosas de S. Martin de Cabra 2®. El de religiosos de la Concepción de ídem 2®. El de religiosas de la Madre de…</t>
  </si>
  <si>
    <t>Molina, Francisco Fernandez</t>
  </si>
  <si>
    <t>Francisco Fernandez Molina</t>
  </si>
  <si>
    <t>…ara la de Granadilla á D. Feliciano Centeno: para la de Villagarcía á D. Josef Martínez Sarabia: para la de Arroyo del Puerco á D. Pedro Alzorriz Morgado : para la de Monteagudo á D. Francisco Fernandez Molina: para la de Mombeltran á D. Benito Gabriel de Aguilera: para la de Rioseco á D. Antonio Romero Prieto: para la de Navas del Marques á D. Rafael de Acosta: para la de Villafrechos á D. Juan García Barba: para la de Motril á D. Josef Manzano Márquez: para la de…</t>
  </si>
  <si>
    <t>Molina, Isabtl de</t>
  </si>
  <si>
    <t>Isabtl de Molina</t>
  </si>
  <si>
    <t>…de D. Fernando v de Aragón: Doña Elvira , hija de los Reyes de Navarra: Doña Leonor de Castilla, nieta de D. Pedro el Jus ticiero: Doña Ana de Austria, hija de D. Juan de Austria: Doña Isabtl de Molina, hija del Sr. de Molina. ARTICULO DE OFICIO. Circular del Ministerio de Guerra. El Sr. Secretario de Estado y del Despacho de Hacienda con fecha de 20 de este mes me dice lo siguiente: „Fl Rey nuestro Señor por decreto rubricado de su Real mano se ha servido…</t>
  </si>
  <si>
    <t>Molina, Josef Hilarión de</t>
  </si>
  <si>
    <t>Josef Hilarión de Molina</t>
  </si>
  <si>
    <t>…. Joaquín María Perl., A ingeniero en segundo al ordinario D, Diego de Parra, En el cuerpo de brigadas de artillería Real de Marina d comisario pro vincial al capitán de Bombar da D. Josef Hilarión de Molina. A graduación de teniente de Bombarda al teniente de Brulot graduado D. Nicolás Cardoso. A la graduación de subtenientes dd primer regimiento Real de Marina d los sargentos primeros D. Cárl os Valero, D. Josef de Cárdenas, D. Josef Usero, D. Domingo Apodaca,…</t>
  </si>
  <si>
    <t>Molina, Juan de Campos y</t>
  </si>
  <si>
    <t>Juan de Campos y Molina</t>
  </si>
  <si>
    <t>…Hacienda, y el marques de Villadarias , príncipe de Santo Mauro , grande de España, naturales de dicha ciudad, y padrinos nombrados por aquel ayuntamiento: el referido corregidor D. Juan de Campos y Molina dirigió á S. M. el discurso siguiente: ,,Señor: Vuestra M. N. y M. L. ciudad de Granada, tan adicta y fiel á V. M., consigue hoy el mas alto honor felicitando á su amado y augusto Soberano por medio de esta diputación , que expresa con los afectos mas sin cer…</t>
  </si>
  <si>
    <t>Molina, Pedro Juan de</t>
  </si>
  <si>
    <t>Pedro Juan de Molina</t>
  </si>
  <si>
    <t>…tra 100. Doña María Josefa Jurado 100. D. Sebastian de Castro López 300. Doña Ana de Castro López 100. Juan de Murez iod. Doña María Josefa Zamorano 200. Doña Luisa Espinosa 200. D. Pedro Juan de Molina 200. Doña Catalina Zamorano 370. D. Juan Blas Zamorano 60. D. Rafael de Blancas 60. D. Andrés Ramírez Sousa .60. D, Antonio Melero 60. D. Pablo del Valle 40 Juan Pastor 80. Antonio Féiíx Ortiz 80. D. Lorenzo Gavi lán 50. Miguel Romero 50. D. Josef Carlos Oxti…</t>
  </si>
  <si>
    <t>Molinero, Ruperto</t>
  </si>
  <si>
    <t>Ruperto Molinero</t>
  </si>
  <si>
    <t>…ipe Eneri y Seda 40. D. Gregorio Fernan dez 46. D. Fernando Larrondo 92. D. Martin Ocaf.a 20. D. Blas María 20. D. Pedro Pacheco 20. D. Fernando Prieto 24. D. Juan Ballesteros 20. Don Ruperto Molinero 16. D Josef Brochero 40. D Manuel Palomares 30. Don Pabio Aviles 23 D. Joaquín Delgado 69. D. Sebastian Zahonero 60. D. Pe dro Espina 11 5. D. Manuel García 46. D. Francisco Meneses 4. D. Manuel Castellano 22. D. Antonio Salceda 10. D. Félix Mcdinilla 6. D. M…</t>
  </si>
  <si>
    <t>Molino, Lorenzo</t>
  </si>
  <si>
    <t>Lorenzo Molino</t>
  </si>
  <si>
    <t>…Luis de Herrera 320. D. Juan López 200. D. Mateo del Prado 200. D. Sebastian de Castro Jura do 200. D. Andrés Antonio Herrera 300. D. Alfonso Jurado 100. D. Fran cisco Molina 100. D. Lorenzo Molino 100. D. Agustín Perez de la Las tra 100. Doña María Josefa Jurado 100. D. Sebastian de Castro López 300. Doña Ana de Castro López 100. Juan de Murez iod. Doña María Josefa Zamorano 200. Doña Luisa Espinosa 200. D. Pedro Juan de Molina 200. Doña Catalina Zamor…</t>
  </si>
  <si>
    <t>Mollendorf, F. M. de</t>
  </si>
  <si>
    <t>F. M. de Mollendorf</t>
  </si>
  <si>
    <t>…teayer hubo en honor del duque reinante de Saxonia-Cobourg un gran convite en la corte. Ayer mañana fue el Rey á Potsdam, y de allí á pocas horas le siguió el duque de Cobourg. El general F. M. de Mollendorf, el mas antiguo de los generales de Eu ropa , murió el 28 de Enero en Havelberg á los 93 años de edad. ALEMANIA. Francfort 11 de Febrero. El Príncipe Leopoldo de Saxonia-Cobourg llegó aquí la noche pasada. S. A. continuará hoy su viage á Inglaterra. ^ . j Par…</t>
  </si>
  <si>
    <t>Mollinedo, Julián de</t>
  </si>
  <si>
    <t>Julián de Mollinedo</t>
  </si>
  <si>
    <t>…sumisión. En el día 18 del míismo tuvieron la honra de felicitar á S. M. por su ao-. £nsto énrláce, coiño comisionados del cabildo de la ?anta iglesia catedral de Falencia, el Dr. D. Julián de Mollinedo, dignidad de maestrescuela, y Donf Vicente Ubago Fernandez , canónigos de la misma; y el segundo dijo lo si guiente : ’ ‘ ,,Señor: El cabildo de vuestra santa iglesia catedral de Palencia, repre^ sentado por los individuos que les cabe el honor de estar á vue…</t>
  </si>
  <si>
    <t>Mollotki</t>
  </si>
  <si>
    <t>…miento desde el principio de la acción un luego vivísimo de fusilería, y después de un combate de hora y media tan obstinado que hubiera podi do fatigar al mas valiente p Bainó el capitán Mollotki á algunos voluntarios de su compañía para tomar aí enemigo una pieza de campaña. Augusta Kr,ug^r. fue Ja primera que salió de lasJilas, reuniéndose á ella siete hombres de su compañía, y algunos otros mas que después siguieron su egemplo. Habiendo hecho pedaz…</t>
  </si>
  <si>
    <t>Monfort, Luis</t>
  </si>
  <si>
    <t>Luis Monfort</t>
  </si>
  <si>
    <t>…librería de Arribas, calle de las Carretas. Oficio de la semana santa y de la octava de pascua, con una explicación en cada dia de sus ceremonias y misterios: traducido por el Dr. D. Luis Monfort, presbíte ro, capellán de la iglesia parroquial de S. Pedro de Madrid , con seis láminas finas. Se hallará en la librería de Barco, carrera de S. Gerónimo,, y en Valencia en la de Domingo, á 20 rs. en pasta. El Fuero, viejo de Castilla, sacado y comprobado co…</t>
  </si>
  <si>
    <t>Moñino, Antonio de Robles</t>
  </si>
  <si>
    <t>Antonio de Robles Moñino</t>
  </si>
  <si>
    <t>…D. Joaquín de la Peña y Santander, asesdr dél tribunal de Alzadas y de rentas Reales de la ciudad de Cádiz. El Rey nuestro Señor en atención á los acreditados servicios hechos por D. Antonio de Robles Moñino en la comisión de que, como subdelegado del Sr. conde de Floridablanca, estuvo encargado en la nueva poblácion de Agui las, se ha dignado concederle los honores de su secretario. Para cumplir una disposición testamentaria se vende una casa pdncipal de tres cu…</t>
  </si>
  <si>
    <t>Monmany, Antonio</t>
  </si>
  <si>
    <t>Antonio Monmany</t>
  </si>
  <si>
    <t>…os de hie lo, liquidez, vapor y meteorología. Los alumnos que salieron fueron D. Josef Viñolas, D. Ramón de Becardi, D. Juan Barret, D. Juan Urel!, D. Antonio Fernandez y Valiejo, Don Antonio Monmany, D. Miguel Marti y D. Francisco Carbonell. Aunque to dos estaban obligados á responder á todo, se les señaló para explicar un punto en particular, el que después de explicado fue corroborado por ex perimentos , manifestando los fundamentos de su teoría; y lue…</t>
  </si>
  <si>
    <t>Monraner, Manuel</t>
  </si>
  <si>
    <t>Manuel Monraner</t>
  </si>
  <si>
    <t>…jo de la cámara de Indias , y la cruz pensionada de Ja Reai y dis tinguida orden de Carlos m. En atención á los méritos y diferentes servicios que ha contraido en ía pasada guerra D. Manuel Monraner, vecino de la villa de Igualada en el prin cipado de Cataluña, y por haber llevado á la mas alta perfección el arte de fabricar sombreros, se ha dignado S. M. concederle que pueda poner en las puertas de su fábrica y almacén en esta corte el escudo de armas R…</t>
  </si>
  <si>
    <t>Monroy, Atanasio Céspedes y</t>
  </si>
  <si>
    <t>Atanasio Céspedes y Monroy</t>
  </si>
  <si>
    <t>…eraciones químicas, con una exp ¡cacion de su uso. Un tom &gt; en 8.J Se vende á 30 rs. á la rústica en la libreru extrangera, calle de U Montera. Lecturas útiles y entretenidas, por D. Atanasio Céspedes y Monroy: tomo 8.% que contiene las lecturas 22 v 23, y abrazan la histo ia de los dos gemelos. Se halla rán los 8 tomos en pasta y el 8.° suelto para los que tengan los anteriores en las li brerías de Sojo , calie de las Carretas; de Novillo, calle de la Concepción,…</t>
  </si>
  <si>
    <t>Monroy, Domingo Amonio</t>
  </si>
  <si>
    <t>Domingo Amonio Monroy</t>
  </si>
  <si>
    <t>…os efectos de su aplicación.__Se vende por ahora en las boticas siguientes: en Madrid en la de la calle de Alcalá, fren te al Gabinete de historia natural, y en la Coruña en la de D. Domingo Amonio Monroy. Los interesados censualistas y efectistas en las sisas de Madrid acudiria desde 23 del corriente á la contaduría de Cuentas de ellas á sacar las órde nes para otorgar cortas de pago de los réditos de sus capitales respectivos al medio año primero de 1^04, co…</t>
  </si>
  <si>
    <t>Monroy, Juan Bautista López</t>
  </si>
  <si>
    <t>Juan Bautista López Monroy</t>
  </si>
  <si>
    <t>…, los hallaron los censores tan iguales en esta clase á todos, que fue necesario entregarlos á los maestros para que les dispusiesen un día de campo. Concluido el acto, el párroco D. Juan Bautista López Monroy se dirigió álos padres y madres de familia, y les exhortó nuevamente ¿ que continúen sin cesar instruyendo á sus hijos en el santo temor de Dios, que es el prin cipio de la sabiduría, y en seguida el procurador síndico general Simón Ma fias de Mesa pronunció…</t>
  </si>
  <si>
    <t>Montalbo, Juan</t>
  </si>
  <si>
    <t>Juan Montalbo</t>
  </si>
  <si>
    <t>…, núms. 148235 , i487°3 » 792&gt; l658a4» 175026, 177092, 177773* 197692 y 202094; y habiéndose dado traslado á los últimos tenedores, ignorándose el paradero de D. Vicente Alzaibar, D. Juan Montalbo, l&gt;. Juan Iluminad, D. Manuel Sánchez Cogolludo, cuyos endosos suenan hechos en Madrid; D. Manuel Diez del Olmo, en Sevilla; D. Josef Gallisans y L). Miguel González Villanueva, en Cádiz; se les cita, llama y emplaza para que en el término de 30 dias siguient…</t>
  </si>
  <si>
    <t>Montalva, Francisco</t>
  </si>
  <si>
    <t>Francisco Montalva</t>
  </si>
  <si>
    <t>…estaban muy caros. Estar mañana han llegado periódicos y cartas de Jamaica que alcanzan hasta 14de Setiembre: uno de ellos contiene dos cartas, por las cuales el gdnefal Morillo y D. Francisco Montalva hacen saber al almirante Deugla*, ^comandante en gefe de la isla,que el comercio con el continente español está abierto nuevamente. ' FRANCIA. París 18 de Noviembre. El marques de Ximenez acaba de recibir la cruz de S. Luis. Este caba llero se halló en la bat…</t>
  </si>
  <si>
    <t>Montalvan, Pedro Josef Puche</t>
  </si>
  <si>
    <t>Pedro Josef Puche Montalvan</t>
  </si>
  <si>
    <t>…por oposición la cá tedra de latinidad, determinó que en los dias 17 y 18 de Junio ultimo se presentasen á examen público los discípulos de ella, á cuyo efecto, y á so licitud del profesor D. Pedro Josef Puche Montalvan, dispuso el magistrado que en la iglesia parroquial de Santiago se tuviesen los egercicíos de gramá tica y retórica con arreglo al prospecto impreso que se presentó; y que pa ra este acto se convidase por medio de oficios á los magistrados y autorida des civi…</t>
  </si>
  <si>
    <t>Montalvo, Francisco</t>
  </si>
  <si>
    <t>Francisco Montalvo</t>
  </si>
  <si>
    <t>…en gefe del egército expedicionario de la Coíta-firme, de su segundo, y comandante general de las fuerzas navales del mismo el mariscal de campo D. Pascual Enrile, y-del teniente general D. Francisco Montalvo, capitán general del nuevo reino de Granada, que alcanzan hasta el 31 de Diciembre ultimo. De ellos consta que la fuerte é importante plaza de Cartagena de Indias fue ocupada á discreción por las tropas de S. M. el 6 del propio Diciembre sin la menor efusión…</t>
  </si>
  <si>
    <t>…ba el aprecio con que se han mirado; y por mi parte es de mi obligación el decir que el general en gefe dei egército el Excmo. Sr. D. Pablo Morillo, y el de la provincia el Excmo. Sr. D. Francisco Montalvo, han contribuido á que se hiciese general la amistad y buena -armonía, que sin cesar ha reina do entre nosotros tres. ,, Concluido el sitio de Cartagena era muy natural el que el egército tu viese que seguir nuevas operaciones por el rio Magdalena; y como la…</t>
  </si>
  <si>
    <t>…do acordar las gracias siguientes: ' ' En d egército. ; . Al teniente general D. Pablo Morillo, general en gefe del egército expe dicionario de Costa-firme, y al de la misma clase D. Francisco Montalvo, capitán general del Nuevo:-Reino de Granada, la gran cruz de la Real or den americana de Isabel la.Católica: al brigadier D. Pedro Ruíz de Porras, obernador de la plaza de Sta. Marta, el ascenso á mariscal de campo : á G ). Pascual Real, cororiel del regimie…</t>
  </si>
  <si>
    <t>Montano, Juan</t>
  </si>
  <si>
    <t>Juan Montano</t>
  </si>
  <si>
    <t>…ínez, que mandaba una barca, atacó un bongo con un cañón de á 12, y lo echó á pique en los úl timos dias del sitio. El teniente de navio D. Jacinto Marcaida, el alférez de fragata D. Juan Montano, y el teniente Je esta clase 1&gt; Simeón Ponce de León, han man dado las goletas y balandras, y han trabajado con actividad y zelo, y en especial el último se ha distinguido por su bizarría , y en ser el primero que ha tenido la casualidad de obedecer la orden…</t>
  </si>
  <si>
    <t>…e fragata graduados á los alféreces de navio D Vicente Sánchez Cerquero y D. Josef Cabezas, pi loto de la clase de primeros'de la armada: el de alféreces de navio á los de fragata D. Juan Montano, con la antigüedad á este de la promoción de 29 de Mayo del año pasado de 1815 , D.-E legarlo, de los Cuetos, D. Josef Quesada , D. Esteban Croquer, D. Antonio Tiscar, D. Joaquín Mozo, D. Juan de Arcos , D. Antonio Sotelo , D. Manuel Zaragoza , D. Felipe Rold…</t>
  </si>
  <si>
    <t>Montemar, Duque de</t>
  </si>
  <si>
    <t>Duque de Montemar</t>
  </si>
  <si>
    <t>…nto de la religión católica.’* El dia 8 del corriente tuvieron la honra de presentarse como diputados de la ciudad de Jaén á cumplimentar á S. M por su concertado enlace el Excmo. Sr. Duque de Montemar y D. Francisco de Paula García de Que jada , dipotado de los reinos; diciendo este: „Señor: La ciudad de Jaén se presenta hoy á los Reales pies de V. M. felicitándole por su tratado casamiento con la Serma. Sra. Infanta de Portu</t>
  </si>
  <si>
    <t>Montero, Antonio</t>
  </si>
  <si>
    <t>Antonio Montero</t>
  </si>
  <si>
    <t>…mética y urbanidad ; habiéndose hecho dignos del aplauso del lucidísi mo concurso y de los premios que se Ies distribuyeron D. Manuel Caro, D, Ildefonso Lucas, D. Josef de Neira , D. Antonio Montero, D. Antonio Rodríguez, D. Antonio Villar., D. Antonio Ulloa y D. Antonio Cartnona. Para dar fin á este acto D. Cristóbal Romero García, cura mas antiguo y beneficiado propio de lá Encarnación de esta villa, profirió un elegante y enérgico discurso, en el que…</t>
  </si>
  <si>
    <t>Montes, Juan Xerez y</t>
  </si>
  <si>
    <t>Juan Xerez y Montes</t>
  </si>
  <si>
    <t>…100. D. Antonio Ru iz 60. D. Angel del Riego 100. Geraido de la Fuente ^o. D. Juan de Pa nlagua 60. El colegio de escribanos 1500. D. Juan Xerez Palomo 40. D. Ber nabé Notario 160 D. Juan Xerez y Montes 40. D. Francisco Carrillo del Valle, administrador general ,2411 rs. y 26 mrs. D. Antonio de Ramos y Ximenez 200 rs. D. Francisco Rafael González 60. Catalina Prados 6. D. Juan Cantarero 60. D. Joaquín Obrero 400. D. Diego Bernia 100. D. Pedro Herrera 200. D.…</t>
  </si>
  <si>
    <t>Monteverde, Domingo</t>
  </si>
  <si>
    <t>Domingo Monteverde</t>
  </si>
  <si>
    <t>…n Josef García de Santiago y Machón , ei coronel D. Luis del Aguila, el brigadier de la Real Armada D. Santiago de Irisarri, el brigadier D. Torcuato Trugillo, el capítan de Navio D. Domingo Monteverde, el canónigo de la santa iglesia de To ledo D. Isidoro Sainz de Alfaro, el brigadier D. Josef Cevallos, y D. Josef Matías de Landaburu, secretario de legación en Berlin. Cruz de Caballeros. El capitán de Fragata D. Miguel Araoz, el capitán del regimiento de G…</t>
  </si>
  <si>
    <t>Montmorenci, Ana Pedro Adrián de</t>
  </si>
  <si>
    <t>Ana Pedro Adrián de Montmorenci</t>
  </si>
  <si>
    <t>…16 de Diciembre de 1815. = Juan Anto nio Sulter de Mendoza_ ESPAÑA. Madrid oí de Febrero. Habiéndose dignado el Rey nuestro Señor señalar el día y del corriente para que el Excmo. Sr. D. Ana Pedro Adrián de Montmorenci, primer ba rón cristiano, principe de Laval y de Tserclaes-Tilli, conde de Buchoven, duque de S. Fernando-Luis, caballero de la Real y militar orden de S. Luis y de la de S. Juan de Jerusalen, mariscal de campo de los Reales egércitos de S. M. Cristianísima,…</t>
  </si>
  <si>
    <t>Montojo, Pedro</t>
  </si>
  <si>
    <t>Pedro Montojo</t>
  </si>
  <si>
    <t>…e y D. Mi guel Josef de Quevedo. DEPARTAMENTO DE FERROL. Ascendidos d sus inmediatas clases. A oficial primero el segundo D. Domingo Antonio Pereira; á oficial se gundo el tercero D. Pedro Montojo ; á oficial tercero el cuarto D Alejandro XJrquiza; á oficiales cuartos los quintos D. Carlos Suances y D. Fernando Bermudez, y á oficiales quintos los meritorios D. Fernando María Soto y D. Fermín López Pantoja. Graduaciones, - De comisarios de Guerra de Mar…</t>
  </si>
  <si>
    <t>Montolui, María Josefa de</t>
  </si>
  <si>
    <t>María Josefa de Montolui</t>
  </si>
  <si>
    <t>…tellarnau: gratificación, Ma riana Rivas : otra extraordinaria , Doña Narcisa de Castellarnau. 2.a clase. Premio, María Musté: gratificación, Francisca Vasallo. 3.a clase. Premio, Doña María Josefa de Montolui y de Dusai: gratifi cación , María Antonia Bartoli. ARTICULO DE OFICIO. Circulares del Ministerio de Guerra. 1.a Varios Oficiales del Real Cuerpo de Ingenieros de Ege'rciro han hecho presente al Rey nuestro Señor que hallándose destinados en esta Corte en 180…</t>
  </si>
  <si>
    <t>Moral, Manuel del</t>
  </si>
  <si>
    <t>Manuel del Moral</t>
  </si>
  <si>
    <t>…dores D. Miguel Vico y D. Francisco del Corral; y otra de la villa y cabildo eclesiástico de Vilches en el mismo reino, compuesta de Juan Bautista López Monroy, D. Juan del Campo, D. Manuel del Moral, D. Alonso Molina, D. Fran cisco Martínez Hervas, D. Josef de Lara, D. Antonio del Campo , D. Si món Matías de Mesa, D. Tomas Gallego , D. Juan de la Herrera y Godino y D. Francisco Herrera y Navarrete : todos los cuales en nombre de las corporaciones y puebl…</t>
  </si>
  <si>
    <t>Moraleda, Baldomero</t>
  </si>
  <si>
    <t>Baldomero Moraleda</t>
  </si>
  <si>
    <t>…corresponde de sus medianerías en 54958 rs., las que se hallan gravadas con varios censos ademas de las cargas Reales, y de los que se dará razón en la escribanía de provincia de D. Baldomero Moraleda. La persona que quisiere hacer postura á dichas casas ó á alguna de ellas acuda á la referida escri banía que se le admitirá siendo arreglada. Se halla vacante el partido de cirujano de la villa de Valencia de S. Juan, obis pado de León, el caal tiene de asig…</t>
  </si>
  <si>
    <t>Morales</t>
  </si>
  <si>
    <t>…o el comandan te, y hallando prevenido al enemigo, fue preciso retirar los cazadores con la corta pérdida de 12 hombres. Entre tanto se realizó la ocupación de Tierra-Bomba por el coronel Morales cpn una sección de la vanguardia. Los</t>
  </si>
  <si>
    <t>122</t>
  </si>
  <si>
    <t>…sin emprender nada. A mi llegada me informaron que los re-, beldes habían verificado un desembarco en Orcana, seis leguas sotavento de la Guaira; que habían sido deshechos por el general Morales; perseguidos con encarnizamiento por las tropas del Rey , y que obligados á reembarcar se, han abandonado en la costa un gran numero de heridos, armas y mu niciones de toda especie. Sus barcos han dado la vela en la ncche, sin que se haya podido conocer la di…</t>
  </si>
  <si>
    <t>Morales, Cayetano</t>
  </si>
  <si>
    <t>Cayetano Morales</t>
  </si>
  <si>
    <t>…el ayuntamiento se tiene reservado señalar. Los pretendien tes á esta cátedra, que ha de proveerse por oposición, acudirán con sus memoriales al secretarlo.del mismo ayuntamiento D. Cayetano Morales hasta i.° de Marzo pró ximo. - . . . En la villa de Villaviciencio de los Caballeros, provincia de León, en él dis-' frito de Campos, se ha establecido partido de médico, que‘ha de dar principio eh el próximo S. Juan de Junio, con la asignación de 160 fanegas…</t>
  </si>
  <si>
    <t>Morales, D Francisco Tomas</t>
  </si>
  <si>
    <t>D Francisco Tomas Morales</t>
  </si>
  <si>
    <t>…ca, y á la noche se hicieron al mar protegidos de la obscuridad y vientos favorables, dejando alguna guarnición en el de S. Fernando, de que se apoderaron las tropas del mando del coronel D Francisco Tomas Morales en la forma que detalla el parte núm. 2.0; quedando de este modo en nuestro poder la plaza mas importante y fuerte que tiene el Rey en todos sus dominios de la Costafirme, con sus cuatro castillos perfectamente fortificados y guarnecidos , so bre 360 piezas d…</t>
  </si>
  <si>
    <t>Morales, Dionisio</t>
  </si>
  <si>
    <t>Dionisio Morales</t>
  </si>
  <si>
    <t>…sumisión. Al dia siguiente habiéndose detenido S. M. y A. R. en la mis'ma, ciudad, se dignaron admitir también á su presencia una diputación de la villa de Menjivar, compuesta de D. Dionisio Morales, alcalde mayor ordinario, y Don Ramón Ruiz Ocaña, síndico personero, en nombre del ayuntamiento, del Dr, D. Cristóbal Carrillo de Albornoz , prior y cura párroco , en nombre del clero, y de D. Juan de Lillo Rubio y Galera, en nombre de los hacenda dos : otra…</t>
  </si>
  <si>
    <t>Morales, Domingo Izquierdo y</t>
  </si>
  <si>
    <t>Domingo Izquierdo y Morales</t>
  </si>
  <si>
    <t>…de Carondelet, al conde de Casa-Rojas, á D. Antonio de Agüe ra y Mollinedo , D. Gaspar María Soler y Arcayo, y D. Josef Bruno Mag dalena. Ayudas de cdmara A D. Nicolás Arguelles , D. Domingo Izquierdo y Morales, D. Francis co Hernández y Nogues y D. Joaquín Montujar y Larrea. NOTA. Las gracias que se han expedido por la secretaría del Despacho de Guerra se publicarán en otra gaceta. EN LA IMPRENTA REAL.</t>
  </si>
  <si>
    <t>Morales, Francisco Tomas</t>
  </si>
  <si>
    <t>Francisco Tomas Morales</t>
  </si>
  <si>
    <t>…a de Cartagena y sus inmediaciones, cuyo contenido substancial es el siguiente. En su carta número 125 incluye copia del parte que le dirige el coronel comandante de la vanguardia D. Francisco Tomas Morales, en que le noti cia haber apresado en Pasa-caballos una lancha armada con tres piezas de artillería, una del calibre de cuatro y dos del de uno, y dos bongos con to do el armamento y efectos que conducían á Cartagena, habiéndose ahogado hasta el número de 100…</t>
  </si>
  <si>
    <t>…Neptuno. En la carta número 130 da cuenta de la acción del 26 de Octubre ocur rida en el Caño del Estero , en la que según. se detalla en el parte del co mandante de la vanguardia D. Francisco Tomas Morales, se consiguió tomar un bergantín desarbolado con que los enemigós intentaban obstruir el paso del referido Caño del Estero de Pasa-caballos , un bongo de guerra, hacer varar otro en la isla de Baru, y poner en huida una balandra y dos goletas que las convoyab…</t>
  </si>
  <si>
    <t>…erístico, sin haber querido separarse de la línea para restablecer su salud, 2 pesar de haber sufrido mucho en la enfermedad de que ha sido atacado. „También recomiendo á V. E. al coronel D. Francisco Tomas Morales, que ha mandado la izquierda de la línea, y con su división de vanguardia ha trabajado con un zelo infatigable, como lo tiene antes acreditado repe tidas veces. ,,El coronel de la Victoria D. Miguel de la Torre y el sargento mayor D. Matías Escuré han llenado…</t>
  </si>
  <si>
    <t>rías inva cipa! que tuvo lugar el 13 del mismo mes en las alturas de Aguacate, dice ¡ - .lo siguiente: \ 'r „Excmo. Sr.: El brigadier D. Francisco Tomas Morales en oficio' zf del &lt;jue rige me dice; lo que copio : - . ■ . .«. „Como dije á V. S. en mi último parte me fue forzoso dtacar á los ene migos en sus formidables posiciones, para que no adelantasen los atrinchera mientos que principiaron, ni bajasen al valle de…</t>
  </si>
  <si>
    <t>…o de S. M.; no pudiendo menos de manifestar á V. E. el distinguido mérito que en esta brillante jornada ha contraído el brigadier comandante general de la divi sión de. vanguardia D. Francisco Tomas Morales, que con el entusiasmo</t>
  </si>
  <si>
    <t>Morales, Francisco Tornas</t>
  </si>
  <si>
    <t>Francisco Tornas Morales</t>
  </si>
  <si>
    <t>…oradores de la expresada isla: en efecto se verificó el paso de la tropa protegido de al gunos bongos y otras embarcaciones menores bajo el mando del comandante general de ella el coronel D. Francisco Tornas Morales, lográndose tener al amanecer ya concluida la operación.y la tropa en tierra, sin habérseles opues to inconveniente." Al mismo tiempo que se egecutaba está maniobra por mar, determiné para llamar la atención del enemigo sobre la derecha de nuestra línea que 1…</t>
  </si>
  <si>
    <t>Morales, Josef</t>
  </si>
  <si>
    <t>Josef Morales</t>
  </si>
  <si>
    <t>…sco de Murías, era graduado; D. Diego Fonseca, D. Fabio Aliponzoni, D. Norberto de Mella y D. Manuel de Cañas. A tenientes de Navio los de Fragata El graduado de teniente de Navio D. Josef Morales, D. Francisco Berminghan, D. Pedro Mareilla, D. Josef Buitrago, D. Josef Resusta y D. Pe dro Micheo. A tenientes de Fragata los alféreces de Navio D. Josef Vargas MachucaD. Josef López Sagredo, D. Francisco Ro dríguez Gelabert, D. Mateo Albornoz, D. Josef Oio…</t>
  </si>
  <si>
    <t>Morales, Teresa Salazar y</t>
  </si>
  <si>
    <t>Teresa Salazar y Morales</t>
  </si>
  <si>
    <t>…e primero de corregidor de esta villa, refrendada de D. Tomas de Sancha y Prado, escribano de su número, se hace saber á todos los acreedores de la testamentaría de la Excma. Sra. Doña Teresa Salazar y Morales, marquesa que fue de Someruelos, condesa de Montarco, y que no han comparecido todavía en el jui cio universal de dicha testamentaría, exhiban en dicho juzgado los documentos que legitimen su crédito, parándoles el perjuicio que haya lugar, caso de no hacerlo…</t>
  </si>
  <si>
    <t>…nte primero corregidor de esta heroica villa de Madrid, y por la escribanía del nú mero de D. Tomas de Sancha y Prado, se halla radicada la testamentaría de ¡a Ex celentísima Sra. Doña Teresa Salazar y Morales , marquesa que fue de Someruelos, condesa de Montarco; y habiéndose celebrado junta general de sus acreedores y he rederos el dia 19 de Noviembre último, se acordó, entre otras cosas, se vendan á pública subasta, y rematen en el mejor postor las propiedades s…</t>
  </si>
  <si>
    <t>Morales, Teresa Sdazar y</t>
  </si>
  <si>
    <t>Teresa Sdazar y Morales</t>
  </si>
  <si>
    <t>…S. M., corregidor interino de esta villa, y en contorjvdid de lo acordado en Ja junta celebrada en 28 de Abril de este año por los acreedores á la testamentaría de ia Excnn. Sra. Doña Teresa Sdazar y Morales, marquesa que fue de Someruelos, condesa de Montaren, radicada en la escribanía del número de D. Tomts de San cha y Prcdo, se han mandado sacar á pubuta por nuevo término de 20 dias las fin cas que cor e&gt;pnndrn á dicha testamentaría, á saber: las heredades ex…</t>
  </si>
  <si>
    <t>Moran, Cayetano Rodiiguez</t>
  </si>
  <si>
    <t>Cayetano Rodiiguez Moran</t>
  </si>
  <si>
    <t>…hizo el primero. Y S. M. ha mandado se publique en la gaceta este rasgo de patriotismo. En los autos seguidos en el juzgado de lo civil de la ciudad de Cádiz por la es cribanía de D. Cayetano Rodiiguez Moran, con motivo de la muerte ahintestato de D. Antonio de la Torre, notario mayor que fue del tribunal eclesiástico de esta plaza, entre Doña María Antonia de la Torre, hermana del finado, que solicitaba se le declarase su heredera, y D. Josef Ignacio Lazcano, de…</t>
  </si>
  <si>
    <t>Morand</t>
  </si>
  <si>
    <t>…erjudicial á la misma nación que los favorece. El consejo de guerra permanente de la 11.a división militar residente en la Rochela condenó el 29 del pasado en rebeldía al teniente general Morand á pena capital, por haber hecho y publicado en 3 de Abril de 181^ una pro clama, dirigida á excitar la guerra civil y aniquilar la autoridad Real. . -v- ESPAÑA. n i ■ { ' ' • ' i Barcelona 10 de Setiembre. La Real junta de Comercio de esta ciudad, que conform…</t>
  </si>
  <si>
    <t>Morant, Rafael</t>
  </si>
  <si>
    <t>Rafael Morant</t>
  </si>
  <si>
    <t>…drid ij de Junio. El día 9 del corriente tuvieron la honra de felicitar á S. M. por su con tratado augusto enlace los Excmos. Sres. duque de Montemar y el marques de Valparaíso, y D. Rafael Morant, oficial de la Secretaria de Estado y del despacho universal de Hacienda de Indias; el cual, encargado particular mente como regidor decano de la clase de nobles de la misma, dijo: „Señor: La manodnvisible del Dios de los egércitos, que abatiendo en el moment…</t>
  </si>
  <si>
    <t>Morco, Antonio</t>
  </si>
  <si>
    <t>Antonio Morco</t>
  </si>
  <si>
    <t>…. Pedro de nueva creación á D. Fernando Antonio Navarro : para la JsSacedon á D. Mariano Robledo: para la de Villablino á D. Josef García Al fonso: para la de la villa del Cerro á D. Antonio Morco é loza: para la del Burgo de Osma á D. Juan Galban Valiente: para la de Gerga á D. Miguel Antonio Compani; y para la de Cerezo á D. Josef Giménez Echevarría. Se halla vacante ía plaza de maestro de primeras letras de la ciudad de Guadalajítra, dotada en 300 d…</t>
  </si>
  <si>
    <t>Moré, Jaime</t>
  </si>
  <si>
    <t>Jaime Moré</t>
  </si>
  <si>
    <t>…oncurrir á la producción protegiendo, no prescribiendo. D. Miguel Albert: es indispensable en España la construcción de cami nos y canales para fomentar y asegurar su prosperidad. D. Jaime Moré: es absolutamente necesaria la libertad prudente dél co mercio de alimentos de primera necesidad. D. Ignacio Saball, socio de la Real academia de Ciencias naturales y ar tes de esta dudad: en una nación como nuestra España, cuya industria no puede aun competi…</t>
  </si>
  <si>
    <t>Moré, Juan</t>
  </si>
  <si>
    <t>Juan Moré</t>
  </si>
  <si>
    <t>…mia de Ciencias naturales y ar tes de esta dudad: en una nación como nuestra España, cuya industria no puede aun competir con la extrangera, son necesarias las leyes prohibitivas. D. Juan Moré: para que las contribuciones sean menos gravosas, deben recaer sobre las rentas, y np sobre ¿ascapitales; deben los contribuyentes</t>
  </si>
  <si>
    <t>More, Manuel María</t>
  </si>
  <si>
    <t>Manuel María More</t>
  </si>
  <si>
    <t>…edina del Campo y el Toboso, tuvo la honra de felicitar á S. M. y Ai R. el vicario general de ellos el Dr. D. Pió Rafael Sánchez de León: otra de la villa de Camuñas, compuesta de D. Manuel María More no, D. Juan Manuel Díaz , D. Eusebio Romero , D. Juan Antonio López de la Oliva, D. Manuel Sánchez, D. Alonso María Sahagun y Chacón, y D. Lorenzo Romero: otra del ayuntamiento y clero de Villarubia de los ojos de Guadiana , compuesta de su alcalde mayor D. S…</t>
  </si>
  <si>
    <t>Moreau</t>
  </si>
  <si>
    <t>…estituido la vista con el precioso específico de que es inventor. Una de dichas señoras es la condesa de Pagouiski, viuda del coronel de este nombre, antiguo ayudante de campo del general Moreau, que fue arcabuceado en Vineennes el año de 1810 de orden de Bonaparre. La condesa padecia de gota serena, la cual había resistido á todos los esfuerzos del arte, y en menos de seis semanas ha recobrado la vis ta con el remedio de Mr. Williams. Otra de las se…</t>
  </si>
  <si>
    <t>Moreda, Manuel</t>
  </si>
  <si>
    <t>Manuel Moreda</t>
  </si>
  <si>
    <t>…con expresión de sus nombres, oíi-; cios, sumas y épocas en que lo percibieron , como se va á demostrar ciar amente. &gt; * ; ■ CARGO. : Primeramente 60© rs. que existían en poder de D. Manuel Moreda., del comercio de esta-corte * cuando da expedición de la Real orden de 23 ^4 Ma yo anterior: 30® rs. librados;contra el mismo Moreda en 2 de Octubre de 815 por el Excmo Sr. D. Josef Je Arteaga, presidente de la comisión de causas de estado: 5 o® rs. librados…</t>
  </si>
  <si>
    <t>…illero: todos percibieron las mismas cantidades y en las mismas épocas. Resulta que han percibido los agraciados 179998 rs. y 4 mrs. vn. ,y siendo 180® lo recibido por el referido D. Manuel Moreda, resultan en su poder 64 mrs., de cuya moneda se carece en el dia, siendo de advertir, que el haber de cada uno de los citados agraciados asciende á la suma de 2812 rs* y 16 mrs. vn. = Madrid 30 de Marzo de 1816.=:Domingo Fernandez de Catnyomanes. zzTadeo Sol…</t>
  </si>
  <si>
    <t>Morejon, Antonio Hernández</t>
  </si>
  <si>
    <t>Antonio Hernández Morejon</t>
  </si>
  <si>
    <t>…e bnjo la dirección de su primer médico de cámara D. Ignacio de Jáuregui. Leerá aquel dia á las lode la mañana una oración inaugural facultativa el catedrático del establecimiento D. Antonio Hernández Morejon, médico de cámara de número, examinador de medicina &amp;c. Con arreglo á lo nuevamente mandado por S. M. en 31 del próximo pa sado mes de Agosto , y para terminar todas las solicitudes y reclamaciones que pudieran hacerse, no será admitido á examinarse de médico…</t>
  </si>
  <si>
    <t>Morelos</t>
  </si>
  <si>
    <t>…un nuevo indulto, cuando las tropas Reales acaban de conseguir ve rajas decisivas con la destrucción de varios cuerpos revolucionarios, y la prisión de su principal caudillo el ex-cura Morelos, que degradado y pros crito por la Iglesia, entregado al brazo secular, sufre hoy la pena capital correspondiente á los innumerables y enormes delitos que ha cometido casi desde el momento que abortó la injusta rebelión, que tantas plagas ha der ramado en est…</t>
  </si>
  <si>
    <t>Morelos, Josef María</t>
  </si>
  <si>
    <t>Josef María Morelos</t>
  </si>
  <si>
    <t>…Dios guarde á V. S. muchos años. San Cristóbal Diciembre 22 de 1815. A las cuatro de la tarde. = Josef Miguel de Ayala. = Sr. coronel D. Manuel de la Concha. Retractación del ex- cura Josef María Morelos. Excmok Sr.: Para descargo de mi conciencia, y reparar en lo poco que puedo (;ojalá pudiera hacerlo en un todo!) los innumerable* gravísimos da ñes que he ocasionado ai Rey, á mi patria y al Estado, como también pa ra precaver ó desvanecer el escándalo que pu…</t>
  </si>
  <si>
    <t>Morelos, Siravu Josef María</t>
  </si>
  <si>
    <t>Siravu Josef María Morelos</t>
  </si>
  <si>
    <t>…ecer del señor auditor, cayo dic tamen y superior decreto de conformidad son como siguen: DL tómen del señor auditor Je guerra oidor D. Miguel Batallcr. Excmo. Sr.: El asesino del señor Siravu Josef María Morelos está lla namente confeso del crimen de rebelión de que ha sido cabeza, y de todos los demas atroces y sin cuento que en el a h* cometido y ha hecho cometer. La única excusa que alegt en su descargo es un nuevo delito mas execrabe aun qtM^tüdos ios otros, tomo…</t>
  </si>
  <si>
    <t>Moreno, Josef Segundo</t>
  </si>
  <si>
    <t>Josef Segundo Moreno</t>
  </si>
  <si>
    <t>…ta la mitad de una casa sita en la cálle de la Magdalena de esta corte, con accesorias á la de la Cabeza, núm. 5 , manz. 8, perteneciente al concurso de acree dores del presbítero D. Josef Segundo Moreno, que está tasada nuevamente toda</t>
  </si>
  <si>
    <t>Moreno, Juan</t>
  </si>
  <si>
    <t>Juan Moreno</t>
  </si>
  <si>
    <t>…número que está á cargo del Sr. Don Ra mon García Ximenez, del consejo de S. M., su secretario , por fallecimiento de D. Nicolás y D. Matías del Barrio, se cita, llama y emplaza i D. Juan Moreno de los R ios, de quien se ignora su paradero, sin embargo de que en su busca se han practicado diligencias judiciales, para que al término preciso de 20 dias, contados desde el expresado dia 27, que por tres términos, y el último perentorio se le con ceden, c…</t>
  </si>
  <si>
    <t>Moreno, Lorenzo Viso</t>
  </si>
  <si>
    <t>Lorenzo Viso Moreno</t>
  </si>
  <si>
    <t>…a parte que pueda corresponderle. Dios guarde á V. mu chos años. Madrid 5 de Junio de 1816. El Rey nuestro Señor se ha servido nombrar en el territorio de las Or denes Militares á D. Lorenzo Viso Moreno para la vara de alcalde mayor de la villa de Villamayor de Santiago de nueva creación; y promover al ac tual alcalde mayor de Infantes D. Josef Andrés de A rellano á la vara de Pedro-Muñoz, vacante por fallecimiento de D. Francisco de Paula Pereira. Habiéndos…</t>
  </si>
  <si>
    <t>Moreno, Lúeas</t>
  </si>
  <si>
    <t>Lúeas Moreno</t>
  </si>
  <si>
    <t>…apateros de obra prima de Aranda de Duero so: ei maestro sille ro del mismo pueblo 20: el corregidor y su señora, del propio pueblo, 12 pares de zapatos y compostura de 12 sillas: D. Lúeas Moreno, del cor* crcio, 24 herrages: D. Josef Francisco Perez 24 id. : D. Domingo tía raya y Don Vicente Quintana 36 id.: Lorenzo Arcon i* pares dt -apatos*. Tr.re, de Blas, vecino de Montejo , cinco pares id.: el alcalde de fuer.: lupina 40 pares de alpargatas: la…</t>
  </si>
  <si>
    <t>Moreno, Miguel</t>
  </si>
  <si>
    <t>Miguel Moreno</t>
  </si>
  <si>
    <t>…rio de Rentas de Sanlúcar. POR LA SECRETARIA DEL DESPACHO DE MARINA. EN EL CUERPO GENERAL DE LA ARMADA. Cruces pensionadas de la Real y distinguida orden española de Carlos tii. A D. Miguel Moreno, oficial segundo primero de la secretaría de Estado y del Despacho universal de Marina ; á D. Joaquín Cisternes, ministro toga do del Consejo supremo de Almirantazgo; á D. Juan de Dios Topete , gefe de Escuadra de la Real Armada; á D*. Josef Mulier, gefe de E…</t>
  </si>
  <si>
    <t>…vio D. Agustín Berlinguero, D. Juan Martínez León, D. Francisco de la Torre y D. Antonio Angarea. Para la graduación de alféreces de Navio d los que lo son en propiedad de Fragata D. Miguel Moreno y D. Pedro Juan Barceló. A la graduación de aférez de Fragata al primer piloto prdetico D. Antonio Armengual. OFICIALES DE MAR. A la graduación de tenientes de Fragata los graduados de alféreces de Navio D. Pablo Marge, D. Guillermo Riera y D. Juan de los Reyes. A la graduación de a…</t>
  </si>
  <si>
    <t>Moreno, Ramón Antonio</t>
  </si>
  <si>
    <t>Ramón Antonio Moreno</t>
  </si>
  <si>
    <t>…si gue autos Mateo del Rio sobre la pertenencia de tres vales Reales de 300 pesos de i.° de Mayo de 1808, señalado uno de ellos con el nútn. 454881, y su último endoso puesto por D. Ramón Antonio Moreno en Guadalajara á 18 de Setiembre de 1814 en favor de D. Josef Laso; y siendo ignorado el paradero ó domicilio de este, se le cita, llama y emplaza para que en el término de 30 dias siguientes al en que se publique este auncio en la gaceta, comparezca á usar d…</t>
  </si>
  <si>
    <t>Morera, Bernardo</t>
  </si>
  <si>
    <t>Bernardo Morera</t>
  </si>
  <si>
    <t>…las Escuelas Pías, leyó unos ende casílabos, manifestando la obligación y aun necesidad que tiene el hombre de ocuparse en el bien de su patria. Y á continuación el niño premiado Don Bernardo Morera pronunció una canción, dando las gracias á nombre de sus compañeros; y lo mismo practicó por el de las niñas ia premiada Doña Brí gida Buchelli ^recitando una letrilla. ' Ultimamente el Sr. vice-director leyó un discurso , en que procuró mani festar la import…</t>
  </si>
  <si>
    <t>Morete, Josef</t>
  </si>
  <si>
    <t>Josef Morete</t>
  </si>
  <si>
    <t>…operaciones , sin que hubiese sugetos capaces sobre los cuales se des cansase. Para este fin quedó en Puertocabello el oficial segundo D. Manuel Agüete, y en Sta. Marta el quinto D. Josef Morete, á las órdenes del capi tán de fragata D. Toreuato Pjedrola, todos con mucha repugnancia, por que deseaban pasar los trabajos al lado de sus compañeros. Si la elección ha sido acerrada, lo demostrará la puntualidad con que se ha recibido todo, que á haber ten…</t>
  </si>
  <si>
    <t>Morgado, Pedro Alzorriz</t>
  </si>
  <si>
    <t>Pedro Alzorriz Morgado</t>
  </si>
  <si>
    <t>…: para la de Morata á D. Antonio Evaristo de Haro: para la de Granadilla á D. Feliciano Centeno: para la de Villagarcía á D. Josef Martínez Sarabia: para la de Arroyo del Puerco á D. Pedro Alzorriz Morgado : para la de Monteagudo á D. Francisco Fernandez Molina: para la de Mombeltran á D. Benito Gabriel de Aguilera: para la de Rioseco á D. Antonio Romero Prieto: para la de Navas del Marques á D. Rafael de Acosta: para la de Villafrechos á D. Juan García Barba:…</t>
  </si>
  <si>
    <t>Morillo</t>
  </si>
  <si>
    <t>129</t>
  </si>
  <si>
    <t>…tes de Cartagena de Indias carecían de los artículos de primera necesidad, y que la plaza se hallaba próxima á entregarse al egércíto Real que la sitiaba. En este hace-observar ei general Morillo la mas exacta disciplina, habiéndose captado asi la voluntad de las poblaciones ve cinas á Cartagena; y mientras que esta plaza carece de todo lo necesario para prolongar su defensa , las tropas de aquel general se hallan abundante mente provistas y pertrecha…</t>
  </si>
  <si>
    <t>…s por solo serlo. También lo ha sido el gobernador, y Bermudez ha reunido todo, el mando. Se asegura que la deposición de Castillo es por traición, suponién dolo de acuerdo con el general Morillo para entregarle la plaza, Puede que haya algo de esto; pero lo cierto es, que sus enemigos, que lo son todos los bárbaros caraqueños y facciosos, jamas le han podido perdonar haber derri bado á Bolívar, y el destierro de los Piñeres y de sus infernales satéli…</t>
  </si>
  <si>
    <t>…u que conduce correspondencia; y su capitán declara que por oficio, que de Caracas llegó al puerto de su salida , se supo que el dia 6 de Diciembre úl timo entraron las tropas del general Morillo en Cartagena de Indias. = Cá diz i.°de Marzo de 1816. = Manuel del Castillo. = Es copia. = Casrelldosrius. Ademas de la comunicación anterior se ha recibido la gaceta extraordi naria de Caracas, cuyo contenido es el siguiente : „E1 tiempo del orden enterament…</t>
  </si>
  <si>
    <t>…uiz é hijo Terri la que sigue: Guaira 8de Enero ae i8j&lt;Tí „ Ayer se publicó aquí de oficio con ge neral júbilo la toma de Cartagena, que se entregó el 6 del pasado al egército del general Morillo, habiéndose escapado por Playa grande los princi-</t>
  </si>
  <si>
    <t>…da áD. Pedro Alcántara (mo reno) , capitán agregado al batallón del Rey ; y el uso de la cinta nacional á cinco sargentos, siete cabos y 23 soldados del batallón del Rey. El mismo general Morillo, con fecha de 25 de Noviembre último desde el propio punto de Torrecillas, participó que las obras contra la plaza se ade lantaban á proporción que lo permitían las circunstancias , distinguiéndose á porfía en la constancia en los trabajos y actividad en las…</t>
  </si>
  <si>
    <t>…neral en gefe y yo enviar un oficial á la ciudad con un oficio, de que es copia el que acompaño á V. E. Cuando el dicho oficial llegó ya estaba abandonada, y fue á dar el aviso al general Morillo en Cópique, adonde este gefe había ido el mismo dia 5. Casi á un tiempo recibimos la noticia; aquel en el punto referido, y yo en el cuartel general. Al instante hice marchar los cazadores á las órdenes del te niente coronel D. Francisco Warleta en unión del…</t>
  </si>
  <si>
    <t>…St?ó. Domingo que ba tiese aquel fondeadero. - Entonces sí que-! podrían contarse los dias del blo queo, y determinar la época de la rendición de la plaza. Tal fue la opinioñ del general Morillo y la mía, cuando ahí tuve el honor de recibir las instrucciones de V. E., y ahora ía experiencia me ha confirmado en la mis ma idea. ,,Para el logro de esta empresa se habían construido las dos baterías de Coco-solo y punta de Periquito, y se hallaban en bahí…</t>
  </si>
  <si>
    <t>…arado y comenzado la guerra contra los Estados-Unidos. En ellos se ha insertado también la siguiente carta de la Guaira del 4 da Mayo. „Acaba de llegar un correo despachado por el general Morillo con la no ticia de qt-e el egército Real de su mando ha sometido el reino de Sta. Fe, de cuya capital se apoderó después de haber derrotado en su inarcha las di ferentes cuadrillas de insurgentes que se le opusieron. En consecuencia se habia restablecido de t…</t>
  </si>
  <si>
    <t>Morillo, Pablo</t>
  </si>
  <si>
    <t>Pablo Morillo</t>
  </si>
  <si>
    <t>…manes de los si glos medios, y pueden ser de la mayor utilidad en manos de los sabios de que- se compone esta universidad. ESPAÑA. Caracas 25 de. Octubre. Parte oficial del Excmo. Sr. D. Pablo Morillo, capitán general de Vene zuela , y en gefe del egército expedicionario. „La expedición que zarpo de Puerto Cabello el día 12 de JuWo fondeó en Santa Marta con la mayor felicidad el 23 y 24 *del mismo, arreglando allí cuanto era conducente para emprender al mi…</t>
  </si>
  <si>
    <t>…de la‘ presente 'éxtraó'rdinaría. ' 1 í &gt; ■ ' • i Igualmente ha participado el inspector 'general de América las noticias que ha "recibido de la expedición del mando del teniente general D. Pablo Morillo , las cuales alcanzan hasta el 14 de Noviembre,: en" cü y a fecha se ha llaba enteramente bloqueada la plaza de Cartagena .y ‘Se'esperaba conseguir su rendición de un día á otro. ‘ J i “ Por la audiencia del Sr. D. Jcaqu*n de Al mazan y Nimeno, del conse jo d…</t>
  </si>
  <si>
    <t>…al Armada D. Francisco de Paula Topete, procedente de la plaza de Cartagena de Indias ,ha recibido el Rey nuestro Señor en la noche de ayer pliegos de oficio del teniente ge neral D. Pablo Morillo, general en gefe del egército expedicionario de la Coíta-firme, de su segundo, y comandante general de las fuerzas navales del mismo el mariscal de campo D. Pascual Enrile, y-del teniente general D. Francisco Montalvo, capitán general del nuevo reino de Grana…</t>
  </si>
  <si>
    <t>…illería, corno aniversario de su feliz restitución á sus dominios: lo que se repite ai publico por no hallarse expresado toda vía en la Guia de forasteros de este año. El teniente general D. Pablo Morillo, general en gefe del egército expe dicionario de Costa-firme, y capitán general de las provincias de Venezue la , con fecha de 31 de Octubre del año próximo pasado, desde su cuartel general de Torrecillas en el bloqueo de Cartagena de Indias, dio cuenta al Ex…</t>
  </si>
  <si>
    <t>…sa-caballos , un bongo de guerra, hacer varar otro en la isla de Baru, y poner en huida una balandra y dos goletas que las convoyaban. A consecuencia de estas acciones el teniente general D. Pablo Morillo ha concedido á los individuos que mas se han distinguido en ellas diferentes gra cias y recompensas , que habiendo merecido la soberana aprobación de S. M., se publican á continuación para satisfacción de los interesados. Grado de teniente coronel á D. Julián…</t>
  </si>
  <si>
    <t>…ificación de los inteligentes que se elijan pa„ ra ello; todo con arreglo a lo prevenido en la citada Real orden de 21 de Enero último. ARTICULO DE OFICIO. Los tenientes generales D. Pablo Morillo y D. Francisco Montalvo, el primero general en gefe del egército expedicionario de Costa-firme , y Capi tán general de las provincias de Venezuela , y el segundo capitán general de las del Nuevo-,Reino de Granada, han dirigido al Excmo. Sr. Secretario de Estado .y del Despacho unive…</t>
  </si>
  <si>
    <t>…aciones se combinaban en ambos elementos, se aumen taba el aprecio con que se han mirado; y por mi parte es de mi obligación el decir que el general en gefe dei egército el Excmo. Sr. D. Pablo Morillo, y el de la provincia el Excmo. Sr. D. Francisco Montalvo, han contribuido á que se hiciese general la amistad y buena -armonía, que sin cesar ha reina do entre nosotros tres. ,, Concluido el sitio de Cartagena era muy natural el que el egército tu viese que…</t>
  </si>
  <si>
    <t>…constancia de las tropas de mar y tierra; y tenien do en consideración las recomendaciones hechas á favor de Jos individuos que mas se han distinguido por los tenientes generales D. Pablo Morillo y Don francisco Montalvo, el primero general en gcfe del egércjtryexpedicionario, y el segundo capitán general del Nuevo-Reino de Granada , 3’ por el maris^tfjde ofmpo. D. Pascual. JE41 tile , segundo combante general, del egéycito</t>
  </si>
  <si>
    <t>3^Q y en gefe de las fuerzas navales * se ha dignado acordar las gracias siguientes: ' ' En d egército. ; . Al teniente general D. Pablo Morillo, general en gefe del egército expe dicionario de Costa-firme, y al de la misma clase D. Francisco Montalvo, capitán general del Nuevo:-Reino de Granada, la gran cruz de la Real or den americana de Isabel la.Católica: al brigadier D. Pedro Ruíz de Porras, ober…</t>
  </si>
  <si>
    <t>…spenda el luto de corte. Circular del Ministerio de Guerra. Deseando el Rey nuestro Señor dar á todos los individuos del Egércifo y*. Armada que á las órdenes del Teniente General.D. Pablo Morillo, Capitán general de las Provincias de Venezuela, y General en gefe del Egército ex pedicionario de Costa-firme, han concurrido al bloqueo y rendición de la importante plaza de Cartagena de Indias una prueba de lo apreciables que le son sus servicios, y la con…</t>
  </si>
  <si>
    <t>…* Noticia de algunas operaciones militares ocurridas en el vireinato del Nuevo- Reino de Granada y provincias de Venezuela en los meses de Febrero y Marzo de este año. El teniente general D. Pablo Morillo, general en gefe del egército expe dicionario de Costa-firme, con fecha de 27 de Febrero último desde su cuartel general de Mompox dice al Excmo. Sr. Secretario de Estado y del despacho universal de la Guerra lo siguiente: „ Excmo. Sr.: El coronel D. Sebastia…</t>
  </si>
  <si>
    <t>…del Butaque y ll«muras de la Seyba, sanadas en 21 y 27 de Marzo anterior por las tropas del Rey sobre los rebeldes de aquellas provincias. i.° „ Excmo. Sr. *. A S. E. el teniente general D. Pablo Morillo , gene ral en gefe del egército expedicionario, digo con esta fecha lo que sigue: Ya algunos ilusos de estas provincias daban grande importancia á la banda de foragidos mandada por Zaraza » que ha causado infinitos males á los infelices habitantes del Llano a…</t>
  </si>
  <si>
    <t>…el i6 del pasado, se ha recibido de oficio ia interesante noticia de la pacífica entra da de las tropas del Rey en la capital del vireinato del Nuevo-Reino de Granada. Ei teniente general D. Pablo Morillo, general en gefe del egércio expe dicionario, da cuenta de este acontecimiento al Excino. Sr. secretario de Es tado y dei despacho universal de la Guerra desde su cuartel general de Santa Fe de Bogotá , con fecha de 3 i de Mayo último, en los términos siguien…</t>
  </si>
  <si>
    <t>Morillo, Sabio</t>
  </si>
  <si>
    <t>Sabio Morillo</t>
  </si>
  <si>
    <t>…consiguiente esta á nuestro arbitrio. Dios guarde á V. E. muchos años. Cuartel de Suratá 23 de Febrero de 1816.= Excmo. Sr. = Sebastian de ln Calzada. = Excmo. Sr. general en gefe D. Sabio Morillo. _Y aunque no</t>
  </si>
  <si>
    <t>Morillo.', Pablo</t>
  </si>
  <si>
    <t>Pablo Morillo.'</t>
  </si>
  <si>
    <t>…de alguna gracia, les conceda la que juzgue por sus méritos. „ Dios guarde á V. E. muchos a£os. Boca de Nechí 24 de Octubre de 181 ). = Excmo. Sr^Vicente Sánchez Limá.crExcmó. Sr.D. Pablo Morillo.'* Egército expedicionario.__ Boletín núm. 16. Cuartel general de Torrecilla 14 de Noviembre de 1815. Las operaciones del bloqueo contra Cartagena exigían ya apoderarse de Tierra-Bomba, donde de las Rosas y Pesca llevaban á la plaza comestibles, y daba abrigo á…</t>
  </si>
  <si>
    <t>Morote, Tuan</t>
  </si>
  <si>
    <t>Tuan Morote</t>
  </si>
  <si>
    <t>…á D. Manuel Abaida , capataz de carpin teros de Ribera: el de oficial primero del cuerpo político de marina a Don Manuel Agüete; y el de la propiedad de oficial quinto del mismo á D. Tuan Morote, que era honorario. Premios de cruces de la Real Orden de Isabel la Católica, y de la de Marina. Para comendadores de la primera al capitán de navio D. Josef de Salas, y que se tenga presente su mérito para los ascensos sucesivos con antelación, y á los capit…</t>
  </si>
  <si>
    <t>Mouthon-Duvernet</t>
  </si>
  <si>
    <t>…s del estado 7025 ; para el restablecimiento de la estatua de Henri que iv 1102, y para los pobres 6685. Los ministros de la Guerra y de Policía han sabido por el telégrafo que el general Mouthon-Duvernet, viéndose acosado en su último retiro, se en trego preso el 14 del corriente á las 10 de la* noche enMontbríson , departa mento del Alto-Loira. ; . ¡ El Rey ha conmutado la pena capital del coronel Boyer en ao años de prisión en un castillo. Desde el i.° al 1…</t>
  </si>
  <si>
    <t>Moxica, Juan Potous y</t>
  </si>
  <si>
    <t>Juan Potous y Moxica</t>
  </si>
  <si>
    <t>…nquera de Ambia , 14400 rs. que le cor respondían por pagas devengadas.__ Los clérigos pobres del obispado de León 5380 rs. en dinero , y 22 fanegas de trigo. El mariscal de campo D. Juan Potous y Moxica su paga del presente mes de Diciembre. ----Los pueblos del corregimiento de las Alpujarras 6313 rs. vn. en dinero-----D. Leonardo de Leria , prebendado de la santa iglesia colegial de Zafra, 145 54 rs. vn. de su ministros hechos á las tropas. En la villa de P…</t>
  </si>
  <si>
    <t>Moxo, Mariano</t>
  </si>
  <si>
    <t>Mariano Moxo</t>
  </si>
  <si>
    <t>…queri, D. Luis López Ballesteros y D. Manuel Corte*; D. Josef María de Aguirre, teniente goberna dor subdelegado de Rentas de Cantabria; D. Antonio Reguera., regidor de la Coruña; D. Mariano Moxo, maestrante de Ronda, y D. Francisco Durango, vecino de Santander. Cruz de mimero A D. Genaro Azcona y Balanza, oficial 'segundo primero de la secreta ría del Despacho de Gracia y Justicia. Opción a cruz de número A D. Josef Antonio Larraz , oficiab mayor pri…</t>
  </si>
  <si>
    <t>Moxó, Salvador</t>
  </si>
  <si>
    <t>Salvador Moxó</t>
  </si>
  <si>
    <t>…s , y las fuerzas Reales de mar persiguen las goletas en que van los prófugos. ,,Lo que comunico á V. S. &amp;c. Dios &amp;c. Maracaibo 23 de Diciembre de 181 s. = Pedro González Villa. = Sr. D. Salvador Moxó, capitán general interino de Venezuela.” Se han recibido también noticias oficiales del comandante general de la quinta división D. Sebastian de la Calzada, fechas en su cuartel de ¡Baigpjona el 28 de Noviembre último. Ellas contienen un diario de sus operaci…</t>
  </si>
  <si>
    <t>Moxo, Salvador</t>
  </si>
  <si>
    <t>Salvador Moxo</t>
  </si>
  <si>
    <t>…reditados soldados, dirigidos por la pericia y ar dor del sargento mayor de la Victoria D. Matías Escuté, que los manda. Han llegado á mi poder las tres banderas que se citan.” El brigadier D. Salvador Moxo, gobernador y capitán general interino de las provincias de Venezuela , con Fechas de 5 y 12 de Abril último desde Caracas dirige igualmente al Sr. Secretario del despacho de la Guerra los oñcios siguientes , dando ctoenta de las gloriosas acciones del Butaqu…</t>
  </si>
  <si>
    <t>Moxó, Salvador de</t>
  </si>
  <si>
    <t>Salvador de Moxó</t>
  </si>
  <si>
    <t>…ían cortada la red* rada, se han reunido en numero de 400 á 500 hombres, y se han internado* por el Jado de las llanuras, donde les van persiguiendo. He entregado yo mismo á S. E. D. Salvador de Moxó los paquetes que V. E. tuvo la bondad de confiarme, y no puedo menos de expresar la suma atención con que me ha recibido. las embarcaciones que debo acompañar estarán prontas dentro de ocho dias, reservándome para mi llegada el presentaros una noticia deta ll…</t>
  </si>
  <si>
    <t>Moya, Cárlos Rodríguez de</t>
  </si>
  <si>
    <t>Cárlos Rodríguez de Moya</t>
  </si>
  <si>
    <t>580 Por providencia del Sr. D. Vicente García Carero, del consejo de S. M., su alcalde de casa y corte, refrendada de D. Cárlos Rodríguez de Moya, se ha man. dado traer al pregón por el término de la ley una vara de alguacil de casa y corte, que perteneció á D. Santiago Pcrez, estimada en 74O rs. incluso el pago que se hizo del real valimiento, dotada con 11 rs. diarios, haciendo el servicio, y libre d…</t>
  </si>
  <si>
    <t>Moya, Carlos Rodríguez de</t>
  </si>
  <si>
    <t>Carlos Rodríguez de Moya</t>
  </si>
  <si>
    <t>…lmente la administración de dichos ramos. Por providencia del Sr. D. Vicente García Cavero, del consejo de S. M., su alcalde de casa y corte, refrendada del escribano de provincia D. Carlos Rodríguez de Moya , se ha mandado traer al pregón , por el Término de la lev, una rara de al guacil de casa y corte que perteneció á Santiago Perez , estimada en 74S) rs.. incluso (| pago que se hizo del Real valimiento, dotada en 12 rs. diarios haciendo el ser—</t>
  </si>
  <si>
    <t>…postura á dichos majuelos , juntos ó separados, acuda al juzgado de provincia del Sr. D. Vicente García Cavero , del Consejo de S. M., su alcalde de casa y corte, y escribanía de D. Carlos Rodríguez de Moya, que se les admitirá siendo arreglada. Se halla vacante la plaza de médico de la villa de Villaescusa de Haro, provin cia de Cuenca, que consta de 400 vecinos: su dotación son 400 ducados cobrados por el ayuntamiento, sin incluir dos comunidades religiosas y…</t>
  </si>
  <si>
    <t>…eresados en darla por 40©, pagándolos al contado en metálico, y no en papel. Quien quisiere hacer postura en la dicha cantidad acuda por dicho juzgado y escribanía de provincia de D. Cárlos Rodríguez de Moya. A instancia de los dueños de una casa sita en esta corte, calle de los Abades, níím. 17, manz. 65 , que contiene 602 of pies cuadrados superficiales de area plana, tasada en 287532 rs. vn., se está subastando en virtud de providencia del Sr. Don Joaquín de A…</t>
  </si>
  <si>
    <t>Moya, Esteban de</t>
  </si>
  <si>
    <t>Esteban de Moya</t>
  </si>
  <si>
    <t>…nsurgente. Dios guarde á V. E. muchos años. Trinidad y Enero 18 de 1816. = Excmo. Sr. = Ambrosio Mendoza, ss Excmo. Sr. D. Juan Ruiz de Apodaca.” Lista de los prisioneros que trae D. Esteban de Moya, capitán de la go leta corsario Ana de los apresados en la goleta la Popa (alias) el General Bermudez, procedente de Cartagena de Indias. A saber: ca pitan. D. Matías Padrón, ayudante del mayor general de marina del estado; segundo Joaquín Tasurt, capitán de…</t>
  </si>
  <si>
    <t>…íveres y aguada, con familias emigradas de aquella plaza el 6 del pasado, en que en traba en ella el egército expedicionario , se presentó en esta capitanía de puer to de mi cargo D. Esteban de Moya, capitán y dueño de !a goleta Ana, so licitando patente de corso para armar dicha goleta, y perseguir al dicho cor sario insurgente. Con efecto, auxiliado de este Gobierno con la fusilería com petente , y pólvora de buques particulares, con mi responsabilidad…</t>
  </si>
  <si>
    <t>Moya, Ginés Ruiz de</t>
  </si>
  <si>
    <t>Ginés Ruiz de Moya</t>
  </si>
  <si>
    <t>…tu gal Doña María Isabel Francisca los Sres. D. Francisco López de Alcaraz, ministro del supremo consejo de Hacienda, D. Juan Poutoux, mariscal de campo de ios Reales egércitos, y D. Ginés Ruiz de Moya, capellán de ho nor de S. M., obtuvieron audiencia particular el dia i.° de este mes; en la cual pronunció el Sr. Alcaraz el siguiente discurso: ,,Señor: Si los matrimonios acertadamente ajustados entre particulares producen el júbilo de las familias, los enl…</t>
  </si>
  <si>
    <t>Moyana, Tomas</t>
  </si>
  <si>
    <t>Tomas Moyana</t>
  </si>
  <si>
    <t>…entendido, y dispondréis lo necesario á su cumplimiento. = Rubricado de la Réal máno.= En Pa lacio á 27 de Enero de 1816. = A D. Pedro Ce valles. 4.* Habiendo venido en exonerar á.D. Tomas Moyana</t>
  </si>
  <si>
    <t>Moyano, Tomas</t>
  </si>
  <si>
    <t>Tomas Moyano</t>
  </si>
  <si>
    <t>…s Justicias de los pueblos de su territorio y y del recibo de esta irve dará aviso. ^Dios guaide á V. muchos años». Madrid 9 de Enero de 1816. ~D. Bartolomé Munosr. 2. a El Excmo. Sr. D. Tomas Moyano, Secretario de Estado y dél Des pacho de Gracia y Justicia, comunicó al Consejo, por medio del Excelentí simo (Sr. Duque dei Infamado, Presidente de él, con fechá i 1 de'Neviefribre del ano próximo pasado vía Real; prden siguiente :&gt; „ Exorno. Sr.: Con fecha…</t>
  </si>
  <si>
    <t>Mozo, Joaquín</t>
  </si>
  <si>
    <t>Joaquín Mozo</t>
  </si>
  <si>
    <t>…, y que mas se han distinguido por su gallardía y actividad, son los alféreces de na vio D. Manuel Mieres y D. Ramón Londoño, los de fragata D. Estéban Croquer, D. Antonio Tiscar, D. Joaquín Mozo, D. Juan de Arcos, Don Antonio Sotelo, D. Manuel Zaragoza y D. Felipe Roldan, y los guardias marinas D. Antonio Urzais y D. Juan Mesías. No me detendré en explicar la clase de méritos que han contraído , ni la recompensa que merecen sino me tomaré la libertad…</t>
  </si>
  <si>
    <t>…uan Montano, con la antigüedad á este de la promoción de 29 de Mayo del año pasado de 1815 , D.-E legarlo, de los Cuetos, D. Josef Quesada , D. Esteban Croquer, D. Antonio Tiscar, D. Joaquín Mozo, D. Juan de Arcos , D. Antonio Sotelo , D. Manuel Zaragoza , D. Felipe Roldan , Don Antonio Urzais y D. Juan Mesías: el de alféreces de fragata á los guardias marinas D. Juan Mozo, D. Segundo Díaz Herrera, D. Victoriano López Llanos, D. Josef Salcedo, D. Fran…</t>
  </si>
  <si>
    <t>Mozo, Juan</t>
  </si>
  <si>
    <t>Juan Mozo</t>
  </si>
  <si>
    <t>…Joaquín Mozo, D. Juan de Arcos , D. Antonio Sotelo , D. Manuel Zaragoza , D. Felipe Roldan , Don Antonio Urzais y D. Juan Mesías: el de alféreces de fragata á los guardias marinas D. Juan Mozo, D. Segundo Díaz Herrera, D. Victoriano López Llanos, D. Josef Salcedo, D. Francisco Osorio , D. Manuel Ibarra, D. Ma nuel Ortiz Canelas y D. Francisco S* Pedro: el de teniente de fragSta gra duado en su clase de contra-maestre á D Sebastian Garrido:el de ayu…</t>
  </si>
  <si>
    <t>Mr</t>
  </si>
  <si>
    <t>…JUEVES 25 DE ENERO DE 1816. ESTADOS-UNIDOS DE AMERICA. Nueva-Yorck 2 de Diciembre de 181$. Ciertos hechos que han ocurrido en la frontera del alto Canadá han dad® motivo entre el gobernador Mr. Cass y el coronel .James, que manda en Sandwich, á una contestación bastante acalorada , y que podrá ocasionar la guerra entre los dos países. Boston 5 de Diciembre. La noticia de la toma del fuerte Jackson por los creeks parece muy pro bable ; pues se sabia…</t>
  </si>
  <si>
    <t>…cho sentimiento que se han recibido noticias tristes sobre la colonia america na de lord Selkirck. Después de la dispersión de los colonos en ei otoño últi mo, parece que el nuevo gobernador Mr. Semples, conocido por sus viages á España, trató del restablecimiento de la colonia con muchos emigrados que habían llegado alli por la bahía de Hudson. Mr. Semple tenia instruccio nes para asegurar los derechos de lord Selkirck y los de la compañía de Hud s…</t>
  </si>
  <si>
    <t>Mr, Grey y</t>
  </si>
  <si>
    <t>Grey y Mr</t>
  </si>
  <si>
    <t>192</t>
  </si>
  <si>
    <t>…opas. Los católicos ingleses tuvieron una junta el miércoles lílrimo, y resolvie ron dirigir á las dos cámaras sus peticiones sobre emancipación , y otra al príncipe*’ Regente. El conde Grey y Mr. Guillermo Elliot serán los que pre senten dichas representaciones. FRANCIA. París 10 de Febrero. FI duque de Luxemburgo ha sido nombrado embajador cerca de la corte de Lisboa, y el duque de Alberg 'para la embajada de Turin, Mr. de Fenelon está nombrado enca…</t>
  </si>
  <si>
    <t>Mr, Hutchinson y</t>
  </si>
  <si>
    <t>Hutchinson y Mr</t>
  </si>
  <si>
    <t>…uyo se han adquirido excelentes informes sobre muchos reinos que sera preciso atravesar. Hoy avisan de París haber sido arrestados y conducidos á la prisión sir Roberto Wilson, el capitán Hutchinson y Mr. Bruce. El capitán Hutchiuson es oficial de guardias, y Mr. Bruce es hijo mayor del banquero Crawfort-Bruce. Habiéndose pasado la noticia de su arresto á nuestro em bajador sir C. Stuart, se dirigió este al gobierno francés, quien le informó que dichos oficia…</t>
  </si>
  <si>
    <t>Mr, Manuel Albuerne y D</t>
  </si>
  <si>
    <t>Manuel Albuerne y D Mr</t>
  </si>
  <si>
    <t>…usto Hermano el Infante D. Carlos, pintados por L&gt;. Vicente López, primer pintor de Cámara de S. M., y dibujados por 1). Amonio Gu jrrero, grabados en cuartilla de marca mayor por D. Manuel Albuerne y D Mr nucí Alegre. Se vende» en el almacén-de estampas de la calle Ma yor, frente á ia casa del conde de Oñate, á 6 rs. cada uno en negro y á 1 2 iluminados. EN LA IMPRENTA REAL.</t>
  </si>
  <si>
    <t>Mr, Thabaud y</t>
  </si>
  <si>
    <t>Thabaud y Mr</t>
  </si>
  <si>
    <t>…ar la perversidad de los revoltosos que perturbaron la Francia. En el día acude á este país una nueva especie de amigrados , cuya suerte es muy diferente en la opinión pública. El barón Thabaud y Mr. de Cavaigna!, que fueron individuos de la convención y votaron por la muerte de Luis xn, acaban de aumentar el número de los refugiados en esta ciudad. La fortaleza de Quesnoy fue entregada el 20 al egército de ocupación: su guarnición se compone de solo ing…</t>
  </si>
  <si>
    <t>Mu, Bartolomé</t>
  </si>
  <si>
    <t>Bartolomé Mu</t>
  </si>
  <si>
    <t>…cretario de la Junta de Recopilación para xfuéSé incorpore en ella en la primera impresión que se haga. Y para que conste fir^ mo la presente en Madrid á 6 de Noviembre de i8i6. = D. Bartolomé Mu ñoz. = Es copia de la original, de que certifico. = D. Bartolomé Muñoz.. Por Real resolución á consulta de Ja Cámara se ha servido S. M. conce,der á D. Fernando de Solis y Quintano, marques de S. Fernando., los,.hono^ .res de grande de España para sí, sus hij…</t>
  </si>
  <si>
    <t>Mú, Josef María</t>
  </si>
  <si>
    <t>Josef María Mú</t>
  </si>
  <si>
    <t>…gado un egemplar del bando á este expediente, sáquese testi monio de él, y dese cuenta á S. M. en el inmediato correo. =:Calleja. Documentos relativos d la muerte que sufrió el ex-cura Josef María Mú relos , publicados de órden del Excmo. Sr, virey. Oficio del coronel D. Manuel de la Concha. Excmo. Sr.: En cumplimiento de la superior órden que V. E. se sirvió comunicarme la noche del 21 del corriente, salí á las seis de la mañana sub secuente de esa capit…</t>
  </si>
  <si>
    <t>Mu, Miguel</t>
  </si>
  <si>
    <t>Miguel Mu</t>
  </si>
  <si>
    <t>…os 760 rs. y 10 inrs. El mariscal de camoo D. To mas Zerain i^oo rs. D. Francisco Beltran de Guevara 160. D. Rafael Crespo ico. D. josef Herrera 120. D. Juan Carrillo y Aguayo 70. D. Miguel Mu ñoz 320. D. Rafael Juanicotena 1$. D. Andrés de León 100. D. Antonio Ru iz 60. D. Angel del Riego 100. Geraido de la Fuente ^o. D. Juan de Pa nlagua 60. El colegio de escribanos 1500. D. Juan Xerez Palomo 40. D. Ber nabé Notario 160 D. Juan Xerez y Montes 40.…</t>
  </si>
  <si>
    <t>Mu-te, Lorenzo</t>
  </si>
  <si>
    <t>Lorenzo Mu-te</t>
  </si>
  <si>
    <t>…El tesorero de ren ta' 23. ES administrador de rentas 23. D. Pedro Azaituno 30. El corregidor interino 24. 1). ‘Ensebio Hernández 70. D. Vicente Crespo 20. D. Gregorio N ieto 20. D. Lorenzo Mu-te 2 3. El contador del crédito público 48. El deán de aquella santa iglesia 40 El arcediano de Avila 5 . El doctoral 23. El maestrescuela 40. D. Josef Tejero 20. D. Fernando Cerrudo 20. D. Miguel Cantero 70. D Andrés Calvedo 40. D. Victoriano Vacas 46. D. Juan…</t>
  </si>
  <si>
    <t>Muiñoz, Fabio</t>
  </si>
  <si>
    <t>Fabio Muiñoz</t>
  </si>
  <si>
    <t>…tiene aceptado S. M., 2 5 50 rs. •que alcanza por valor de 200 encerados entregados para la artillería, 2 5 5c eti créditos: D. Pedro Talasac 66: D. Antonio Sánchez Peñuela ico : D. Fabio Muiñoz 320: D. Pedro García 244. Partido de Vega y Sierra---- Pueblos. Albolote 166 rs.: Alhendin , el administrador de tabacos 588 en créditos: Beas 199: Churriana 748: idem débito que alcanza á su favor de un hacendado de aquel termino, por cu ya cobranza se está…</t>
  </si>
  <si>
    <t>Munarriz, Juan de</t>
  </si>
  <si>
    <t>Juan de Munarriz</t>
  </si>
  <si>
    <t>…dras de chispa. (Se continuaran.) El Rey nuestro Señor se ha servido promover á gefe de escuadra en el departamento de artillería de la Coruña al brigadier y coronel de dicha arma D. Juan de Munarriz. La villa de Yepes ha hecho voluntariamente á S. M. el donativo de 281706 rs. y 19 mrs. vn. que se debían de los réditos del capital de las dehesas que pertenecían á la villa, y se incorporaron al Real heredamiento de Aranjuez el año de 1806. Asimismo los vec…</t>
  </si>
  <si>
    <t>Munosr, Bartolomé</t>
  </si>
  <si>
    <t>Bartolomé Munosr</t>
  </si>
  <si>
    <t>…o expresado, y que lo comunique á las Justicias de los pueblos de su territorio y y del recibo de esta irve dará aviso. ^Dios guaide á V. muchos años». Madrid 9 de Enero de 1816. ~D. Bartolomé Munosr. 2. a El Excmo. Sr. D. Tomas Moyano, Secretario de Estado y dél Des pacho de Gracia y Justicia, comunicó al Consejo, por medio del Excelentí simo (Sr. Duque dei Infamado, Presidente de él, con fechá i 1 de'Neviefribre del ano próximo pasado vía Real; prden si…</t>
  </si>
  <si>
    <t>Muñoz, Antonio</t>
  </si>
  <si>
    <t>Antonio Muñoz</t>
  </si>
  <si>
    <t>…escogidas de Frey Lope de Vega Carpió, con un discurso sobre la oda de Marmontel: un tomo en 8.° pasta á 12 rs..Morir viviendo en la aldea, y vivir muriendo en la corte, su autor D. Antonio Muñoz, dedicado al in signe Mtruel Pascual, peroetuo voceador de las calles y paseos de Madrid : un fo lleto en rústica á 4 rs. Se hallarán en las librerías de Brun, frente i las gradas de $. Felipe, y de Rodríguez, calle de las Carretas. EN LA IMPRENTA REAL.</t>
  </si>
  <si>
    <t>Muñoz, Antonio Óubert y</t>
  </si>
  <si>
    <t>Antonio Óubert y Muñoz</t>
  </si>
  <si>
    <t>fantería, corregidor y capítan á guerra cíe la misma, D. Antonio Óubert y Muñoz con D. Mariano García Puerta, caballeros veinticuatros, y D. Mariano Zayas Fernandez de Córdoba , secretario mayor y mas antiguo del ayunramiento, acompañados de los Excmos. Sres. almirante duque de Veraguas, grande de España, del Consejo de Estado, y preside…</t>
  </si>
  <si>
    <t>Muñoz, Bartolomé</t>
  </si>
  <si>
    <t>Bartolomé Muñoz</t>
  </si>
  <si>
    <t>…ado, y que al mismo fin lo circule á las Justicias de los pueblos de su distrito; y del¡re^cibo de esta me dará aviso. = Dios guarde á V. muchos años. Madrid 9 de Enero dé i8r6. = D. Bartolomé Muñoz. : y H 1 ' ■ - r . :-i . &lt; ; 'V -'H , J, Deseando S. M. asegurar al importante establedrñiento &gt;de Almadéh .una consignación peculiar y permanente con que pueda .porcsí misnioí, y sin las consignaciones eventuales que. tenia señaladas^ sostener Sus delicadas…</t>
  </si>
  <si>
    <t>…en el siguiente dia 23 tuvieron la honra de fe licitar con igual motivo al Sexmo. Sr. Infante D* Carlos. ' ARTICULO BE, OFICIO. JReal resolución: de S* M. d consulta: del Consejo. D. Bartolomé Muñoz; de Torres, del Consejo de S. M., su Secretario, Escribano de Cámara mas antiguo y dé Gobierno del Consejo, certifico que con fecha 26 de Julio del año. próximo el Excmo Sr* D, Tomas Moyano, Secretario de Estado y del Despacho dé Gracia y Justicia, comunicó a…</t>
  </si>
  <si>
    <t>…n la primera impresión que se haga. Y para que conste fir^ mo la presente en Madrid á 6 de Noviembre de i8i6. = D. Bartolomé Mu ñoz. = Es copia de la original, de que certifico. = D. Bartolomé Muñoz.. Por Real resolución á consulta de Ja Cámara se ha servido S. M. conce,der á D. Fernando de Solis y Quintano, marques de S. Fernando., los,.hono^ .res de grande de España para sí, sus hijos y herederos primogénitos en su casa y mayorazgos. * * El Rey nuestro…</t>
  </si>
  <si>
    <t>Muñoz, Fernando</t>
  </si>
  <si>
    <t>Fernando Muñoz</t>
  </si>
  <si>
    <t>…mo diputados de la santa iglesia de Játiva , los Sres D. Josef María Mariscal y Riveiro, del Consejo de S. M., inquisidor honorario de Valencia, dignidad de chantre y canónigo , y D. Fernando Muñoz , canó nigo de la misma; el primero de los cuales arengó á S. M.; y dijo entre otras cosas lo siguiente: „Señor: Vuestro cabildo de la santa iglesia de S. Felipe de Játiva , la cual se dignó V. M. visitar en el año de 1814 , y que tenemos el honor de represen…</t>
  </si>
  <si>
    <t>Muñoz, Francisco Sánchez</t>
  </si>
  <si>
    <t>Francisco Sánchez Muñoz</t>
  </si>
  <si>
    <t>…T.adeo Segundo Gómez, ministro del Consejo Real, D. Pedro Gó mez, arcediano de la santa iglesia catedral de Teruel, é inquisidor honora rio del tribunal de Valencia, y el teniente coronel D. Francisco Sánchez Muñoz, en representación de la M. N. y M. L. ciudad de Teruel; y el pri mero dijo: ,,Señor: Después de la prodigiosa traslación de V. M. desde su cautive rio al trono de sus mayores, no ha amanecido para España dia mas ventu roso que el del matrimonio de V. M. con…</t>
  </si>
  <si>
    <t>Muñoz, Josef María Celas y</t>
  </si>
  <si>
    <t>Josef María Celas y Muñoz</t>
  </si>
  <si>
    <t>…imas elecciones de oficios que ha hecho la Real sociedad eco nómica de Amigos del País de esta corte para el presente año académico, sa-' lio electo secretario de correspondencias D. Josef María Celas y Muñoz, SU individuo de número, abogado de los Reales consejos , que vive calle deh Turco, casa de los establecimientos de fla, misma sociedad; lo que se hacesaber á las sociedades económicas dél reino extfangeras, y demas personasde fuera de Madrid que tengan que d…</t>
  </si>
  <si>
    <t>Muñoz, Juan</t>
  </si>
  <si>
    <t>Juan Muñoz</t>
  </si>
  <si>
    <t>2§7 Fernando vii; á D. Juan Muñoz, teniente de húsares de Fernando vu, y á D. Gaspar Boigas, teniente dei regimiento de Granada. La medalla de plata coronada á D.Juan Sicilia, capitán del batallón del Rey; á D. habían Perez, teniente de ídem; á D. Antonio Fernandez , te niente de ídem ; á D.…</t>
  </si>
  <si>
    <t>Muñoz, Manuel Davila</t>
  </si>
  <si>
    <t>Manuel Davila Muñoz</t>
  </si>
  <si>
    <t>…. Los que s« liciten dicha plaza, que debe proveerse el 1 5 de Julio próximo, podran dirigir sus instancias directamente al ayuntamiento de dicha ciu dad por medio de su tsciibano D. Manuel Davila Muñoz. ti 1’ arabo perdido, escrito en ingles uor J. Milton: traducido al español en verso Übre por el Excmo. Sr. D. B.n to He mida, y publicad 1 después de su fa llecí! mentó por su hija la marquesa de Sta Coloma. Fbte poema no necesita elo gio, por ser demasiadam…</t>
  </si>
  <si>
    <t>Muñoz, Ricardo</t>
  </si>
  <si>
    <t>Ricardo Muñoz</t>
  </si>
  <si>
    <t>…. Fernando Pareja uno: D. Martin Ginoves 10 rs.: D. Santiago Gallego un par de zapatos: D. Manuel Alonso uno: D. Antonio Chalanzon uno:D. Santiago Treve uno: D. Juan Hechilla uno: D. Ricardo Muñoz uno: D. Marcos Unzue uno: D. Manuel García ur.o: D. Juan Ocon uno: D. Manuel Cono uno: D. Fernando Carrillo uno: D. Josef Cantalapiedr» uno: D. Tomas Medina uno: D. Josef Salinas uno: D. Fernando Acuña uno: D. Nicolás Suarcz dos: D. Josef Robles uno: D. Blas…</t>
  </si>
  <si>
    <t>Mur, María Antonia</t>
  </si>
  <si>
    <t>María Antonia Mur</t>
  </si>
  <si>
    <t>…ones á una de las huérfanas de los militares ó patriotas que hubieren muerto en defensa de la justa causa de la nación, ha cabido en suerte del primer extractó de la de este dia á Doña María Antonia Mur, hija del patriota D. Andrés, muer to en el campo del honor. La extracción siguiente se egecutará el dia 23 de Diciembre. ARTICULO DB OFICIO. Circular de la Tesorería general de S. M. El Sr. Secretario de Estado y del Despacho de Hacienda con fecha 30 del mes…</t>
  </si>
  <si>
    <t>Murga, Martin Diez</t>
  </si>
  <si>
    <t>Martin Diez Murga</t>
  </si>
  <si>
    <t>…les estudios de dicha ciudad, ante los individuos de la junta de educación de ella D. Gerónimo Sánchez, regidor del ilustre ayuntamiento, presidente por enfermedad del corregidor, D. Martin Diez Murga, presbítero, cura de la parroquial de Santiago Apóstol, D. Grego rio Nieto, diputado de abastos mas antiguo, D. Luis de Arrabal, prior síndico general por ambos estados, y D. Pablo Aviles, su secretario, con otros concurrentes distinguidos que asistieron al a…</t>
  </si>
  <si>
    <t>Murga, Pedro</t>
  </si>
  <si>
    <t>Pedro Murga</t>
  </si>
  <si>
    <t>…evolución del Cuzco., se hallaba entre los límites de esta y aquella provincia , previne lo oportuno para su aprehensión á mi subdelegado del partido de Lampa el teniente co ronel D. Pedro Murga: sus providencias fueron tan acertadas y combinadas, que se logró el intento; y remitido aquel delincuente, el 27 del presente fue degradado y pasado por las armas, pagando asi sus execrables y trascenden tales crímenes. Lo pongo en noticia de V. E. para su i…</t>
  </si>
  <si>
    <t>Murguía, Francisco de Vea</t>
  </si>
  <si>
    <t>Francisco de Vea Murguía</t>
  </si>
  <si>
    <t>…rere á cargo de los señores hermanos Barthel'emy , ce Madrid: otra tercera de 8973 rs. plata, dada en Cádiz el 18 de Octubre de 1808 por Josef Dionisio de ligarte á su orden sobre D. Francisco de Vea Murguía , oe Alcalá, á pa gar en Madrid:, una copia de segunda letra de 6® rs. dada en Cartagena á 19 de Noviembre de 1808 por la viuda de Fernandez y compañía á orden de los señores Biliere y compañía , y á cargo de tos señores Dutari hermanos, de Madrid. Mercurio d…</t>
  </si>
  <si>
    <t>Murías, Francisco de</t>
  </si>
  <si>
    <t>Francisco de Murías</t>
  </si>
  <si>
    <t>112 6 A capitanes de Fragata los tenientes de Navio D. Francisco de Murías, era graduado; D. Diego Fonseca, D. Fabio Aliponzoni, D. Norberto de Mella y D. Manuel de Cañas. A tenientes de Navio los de Fragata El graduado de teniente de Navio D. Josef Morales, D. Francisco Berminghan, D. Pedro Mareilla, D. Josef Buitrago, D. Josef Res…</t>
  </si>
  <si>
    <t>Muriel, Santiago</t>
  </si>
  <si>
    <t>Santiago Muriel</t>
  </si>
  <si>
    <t>…sabe si seria el tal Talens ú otro-, tiene cerca de 40 años, pequeña de estatura, y de muy buena presencia. Qusen supiere su paradero tendrá la bondad de avisarlo en esta corte á D. Santiago Muriel, calle del Ave María, almacén de madera. Escuela páleográíica ó arte de leer letras antiguas desde la entrada de los godos en España hasta nuestros tiernpos, dispuesta por el P. Andrés Merino de Jesucris to, de las Escuelas Pías de Castilla, á 150 rs. en past…</t>
  </si>
  <si>
    <t>Muro, Josef</t>
  </si>
  <si>
    <t>Josef Muro</t>
  </si>
  <si>
    <t>…los versos amcbéos de la égloga tercera de Virgilio, y el segundo la oración de Cicerón pro Rege Dejotaro, haciendo de ella un fino sinopsis, y el régimen exacto de sus oraciones. D. Josef Muro y D. Felipe Ruiz dieron una puntual noticia de las partes, tropos y figuras de la retóri ca; contestando con total acierto á las muchas y delicadas preguntas que en esta parte les hicieron los directores, y con la misma puntualidad respondió T&gt;. Francheo Mathe, D. Dionisio Vi…</t>
  </si>
  <si>
    <t>Murray</t>
  </si>
  <si>
    <t>534</t>
  </si>
  <si>
    <t>…en las inmediaciones de Hounslow , en el camino de W indsor. Allí cumplimentaron á S. A. y le condugeron á Clarence-House St. James, en donde habiéndose apendo tue inmediatamente lord Murray á avisar de su llegada al Príncipe Regente, el cual envió luego al marques de W inchester á que le cumplimentase en su nombre. La flecada de este Príncipe se avisó igualmente á la Reina, á sus hijas las Princesas y al duque de Yoick, que todos enviaron gentes…</t>
  </si>
  <si>
    <t>Murray, Jaime</t>
  </si>
  <si>
    <t>Jaime Murray</t>
  </si>
  <si>
    <t>…se rie de males tan diticiles de reparar como de calcular, GRAN BRETAÑA. landres 3o de AbriL El Príncipe Leopoldo de Saxonia-Cobourg hizo ayer su entrada pública en la capital. El lord Jaime Murray, que desempeña las funciones de gentil hombre de la cámara de S. A. S., y Mr. Chester, ayudante de ceremonias, salieron á recibir al Príncipe hasta Stnallberry y Green, casa de campo de sir J. Bankes, que está en las inmediaciones de Hounslow , en el camino d…</t>
  </si>
  <si>
    <t>Musitu, Mateo</t>
  </si>
  <si>
    <t>Mateo Musitu</t>
  </si>
  <si>
    <t>…que conforme á ¡as órdenes generales que tenia de la junta de Zitacuaro, y después recibió del congreso, hizo asesinar á sangre fría en Chautla al comandante de las tropas del Rey D. Mateo Musitu con otros varios oriciales europeos, no obstante de que el primero le ofreció por su vida 5G01 pesos: tn Tasco a1 comandante García de los Rios con otros seis europeos y ocho americanos, dando por nula la capitulación que habían hecho con Galeana antes de en…</t>
  </si>
  <si>
    <t>N, Gregorio</t>
  </si>
  <si>
    <t>Gregorio N</t>
  </si>
  <si>
    <t>…tador y subalternos 60. El tesorero de ren ta' 23. ES administrador de rentas 23. D. Pedro Azaituno 30. El corregidor interino 24. 1). ‘Ensebio Hernández 70. D. Vicente Crespo 20. D. Gregorio N ieto 20. D. Lorenzo Mu-te 2 3. El contador del crédito público 48. El deán de aquella santa iglesia 40 El arcediano de Avila 5 . El doctoral 23. El maestrescuela 40. D. Josef Tejero 20. D. Fernando Cerrudo 20. D. Miguel Cantero 70. D Andrés Calvedo 40. D. Vic…</t>
  </si>
  <si>
    <t>N, Pedro</t>
  </si>
  <si>
    <t>Pedro N</t>
  </si>
  <si>
    <t>…a de S. Fernando de esta corte se celebra ron egcrcicios literario-» en los dias i, 8, 16 y 19 de Junio último por los alumnos del mismo D. Benito Gines Sánchez, D. JLuis Aquilón, D. Pedro N avas y D. Josef Badajoz, bajo ía dirección del primer catedrático , gefe lo cal del establecimiento, D# Antonio de la Cruz. Recayeron lias .disertaciones sobre la^ diferentes especies de ruibarbo dél comercio, las gomo-resinas, gálbano , amoniaco, euforbio, m…</t>
  </si>
  <si>
    <t>Nafarrondo, Fermín</t>
  </si>
  <si>
    <t>Fermín Nafarrondo</t>
  </si>
  <si>
    <t>…Al Sr. D. Juan Antonio Salcedo, cura párroco de S. Gines, individuo del cabildo de curas y beneficiados de Madrid, que vive en dicha parroquia de S. Gines. Cuartel de la Plaza. Al Sr. D. Fermín Nafarrondo, individuo de la so ciedad económica matritense. Cuarteles de S. Isidro y S. Francisco. Al Sr. D. Casiano Manuel Gon zález de Castro, contador de temporalidades, é individuo del cuerpo cole giado de la nobleza, que vive calle del Duque de Alba, casa de Consol…</t>
  </si>
  <si>
    <t>…ción de la junta general de Caridad., compuesta de D. D07 mingo Fernandez Campomanes, del Consejo Real, y gobernador de la sala de alcaldes de Casa y Corte, D. Francisco Salcedo , D. Fermín Nafarrondo* y el secretario D. Angel Barrciro, en los termines siguientes: „Señor : La junta general de Caridad de esta corte , reconocida por ranfos títulos á la incomparable beneficencia de V. M , ya por la singular gracia de su restablecimiento, ya por la concesión d…</t>
  </si>
  <si>
    <t>Nafarrondo, Fermín María de Uria</t>
  </si>
  <si>
    <t>Fermín María de Uria Nafarrondo</t>
  </si>
  <si>
    <t>…diputaciones exclusivamente como lo están las de niñas; con acuerdo de su presidente el Sr. D. Francisco Cándido de Paz, del consejo Real, y alcalde de la Real casa y corte, y del Sr. D. Fermín María de Uria Nafarrondo, caballero de la Real y distinguida orden española de Cárlos ni, censor nom brado por la Real junta general de Caridad para este cuartel, ha resuelto la referida diputación se fijen edictos, á fin de que los maestros de primeras le tras que aspiren á obtener…</t>
  </si>
  <si>
    <t>Nafarrondo, Fermín María Uria</t>
  </si>
  <si>
    <t>Fermín María Uria Nafarrondo</t>
  </si>
  <si>
    <t>Cuartel de Palacio; Al' Sr. corregidor de Madrid, y hallándose vacante en la actualidad este destino, se encargó al Sr.D. Fermín María Uria Nafarrondo, caballero de la Real y distinguida orden española de Cárlos m, que vive bajada de Sta Cruz, núm. 4, cuarto 2.0 ... Cuartel de S. Gerónimo. Al Sr.D. Francisco Ramiro y Arcayós,inqui-; sidor honorario y visitador eclesiástico de Madrid, que vive calle del Lobo…</t>
  </si>
  <si>
    <t>Nafarrondo, Uria</t>
  </si>
  <si>
    <t>Uria Nafarrondo</t>
  </si>
  <si>
    <t>…e vive calle del Lobo, casas de S. Ignacio, cuarto principal. Cuartel del Barquillo. El Sr. visitador eclesiástico de Madrid, y no ha biéndole actualmente, se encargó al.expresado Sr. Uria Nafarrondo. Cuartel de Amafies. Al Sr. D. Rafael de Reinalte, caballero de la Real y distinguida orden española de Cárlos 111, y regidor de Madrid, que vive calle de la Espada , níím. 1, cuarto principal. ; Cuartel de S. Martin. Al Sr. D. Juan Antonio Salcedo, cura párr…</t>
  </si>
  <si>
    <t>Nájera, Miguel de</t>
  </si>
  <si>
    <t>Miguel de Nájera</t>
  </si>
  <si>
    <t>…. Y no habiendo' llegado dichos pliegos á su destino, se suplica al que sepa la existencia de ellós los dirija en Cádiz al dicho D. Francisco Antonio Fernandez Llar, ó en Madrid á Don Miguel de Nájera, agente por S. M. de los del número de Indias. El 21 de Enero próximo pasado se le perdió una cartera con varios papeles á iin sacardote que desde esta corte pasaba á Chinchilla. Se suplica á quien los haya encontrado lo avise á D. Jósef Díaz Gamones, oficial…</t>
  </si>
  <si>
    <t>Nallet</t>
  </si>
  <si>
    <t>…iese la tropa á la iglesia; y habiendo oido una misa rezada del Espíritu Santo, se dirigió en seguida á la plaza de armas para prestar allí el juramento de fide lidad al Rey; y el mariscal Nallet les arengó en los términos siguientes: „ Las legiones se forman en todos los departamentos de la Francia, pres tando á porfia juramento de fidelidad al Rey nuestro legítimo Soberano. Vo sotros sois llamados hoy á cumplir con este deber sagrado: la gloria adqu…</t>
  </si>
  <si>
    <t>Naranjo, Roque</t>
  </si>
  <si>
    <t>Roque Naranjo</t>
  </si>
  <si>
    <t>…para la de Teba á D. Juan Alonso de Prado: para la de la Coruña á D. Manuel Fernandez .Duran: para la de Miranda del Castañar á D, Francisco Cornsgo: para la de Fuente de Cantos á D. Roque Naranjo: para la de Jarandilla á D. Josef González: para la de Salas de los Infantes á D. Manuel de! Pozo: para la de Curiel á D. Esteban Sánchez de la Iglesia: para la de Huelma á D. Antonia Josef Ximenez de Vega: para la de Peñaflor á D. Dionisio Rodríguez Gon zále…</t>
  </si>
  <si>
    <t>Narganes, Francisco</t>
  </si>
  <si>
    <t>Francisco Narganes</t>
  </si>
  <si>
    <t>…acaba de morir, para que S. M. recompense la bi zarría de este oficial, bien en su familia ó en quien fuere de su soberano agra do : á los tenientes de cazadores del mismo cuerpo D. Francisco Narganes y D. Josef Andrade, y los subtenientes D. Fernando Vázquez y D. Casimi ro Mendivil: á los capitanes del regimiento del Rey D. Manuel María Mar tínez de Aparicio, D. Lino López Quintana y D. Manuel Guevara, y al teniente D. Josef García, al subteniente D. Juan Meseron, al sargen…</t>
  </si>
  <si>
    <t>Narganes, Jacinto María de</t>
  </si>
  <si>
    <t>Jacinto María de Narganes</t>
  </si>
  <si>
    <t>…rovinciales de Galicia: para el empleo que este deja al teniente coronel D. Cárlos de Vargas, capitán del regimiento provincial de Ronda; y para coronel del provincial de Laredo á D. Jacinto María de Narganes, comandante del segundo batallón del re gimiento infantería de Burgos. El Rey nuestro Señor se ha servido nombrar auditor de guerra del egér cito y provincia de Navarra á D- Manuel Subiza y Armendariz; y para igual empleo del egército y provincia de Valencia…</t>
  </si>
  <si>
    <t>Narvaez, Antonio</t>
  </si>
  <si>
    <t>Antonio Narvaez</t>
  </si>
  <si>
    <t>…4 averiguar las personas ó corporaciones á quienes cor respondan la huerta de Morales y una hacienda de olivas sitas en la provincia de la ciudad de Córdoba, que se compraron por D. Antonio Narvaez, vecino de esta corte, al Gobierno intruso. Lo que se hace saber para que 4 las a quienes perte nezcan acudan á acreditarlo con los competentes documentos , y con poder y en for maren el término 4c 1 5 dias primeros siguientes i la publicación, por la audienc…</t>
  </si>
  <si>
    <t>Naúdin, Tomas</t>
  </si>
  <si>
    <t>Tomas Naúdin</t>
  </si>
  <si>
    <t>…320 rs.: la Sra. baronesa de Amella con 60 rs. para un premio en la enseñanza de la compañía: el Sr. D. Juan Martínez de Hermcsilta con i 2ors.; para las Escuelas Pías: los Sres. D. Tomas Naúdin y D. Joaquín Ferraz y Cornel con ico rs. cada uno con destino á lasescuelas.de los arrabales ; y el Sr. D. Manuel Ortells con 60 rs. para un premio. : &gt; , Habiendo ocupado los premiados el lugar distinguido según costumbre, y cesado la música que solemnizaba .este tierno acto, el socio h…</t>
  </si>
  <si>
    <t>Nava, Francisco de Paula Aguijar y</t>
  </si>
  <si>
    <t>Francisco de Paula Aguijar y Nava</t>
  </si>
  <si>
    <t>…que se ha dado noticia , se dignaron también S. M. y A. R. oír las que tuvieron la honra de pro nunciar las siguientes diputaciones: una de la ciudad de Ubeda , repre^ sentada por D. Francisco de Paula Aguijar y Nava y D. Fernando Ale xia y Aranda : otra del cabildo eclesiástico de la iglesia catedral de Jaén : otra de la ciudad de Montilla; otra de la Real maestranza de Granada; y otra da la villa del Moral de Calatrava , compuesta de D. Mateo Ruiz de León y Don Juan del Corro; todos…</t>
  </si>
  <si>
    <t>Nava, Francisco de Paula Aguilar y</t>
  </si>
  <si>
    <t>Francisco de Paula Aguilar y Nava</t>
  </si>
  <si>
    <t>…atural de Morelfe; D. Vicente María Aguiar , dignidad de la catedral de Mondoñedo ; D* Juan JosefiFagoaga, ve cino de México ; D. Juan PedraGómez, natural de Talavera de la Reina; D. Francisco de Paula Aguilar y Nava , regidor de la ciudad de Ubeda; Don</t>
  </si>
  <si>
    <t>Nava, Laureano Melena y</t>
  </si>
  <si>
    <t>Laureano Melena y Nava</t>
  </si>
  <si>
    <t>…epresentada po¡ su corregí* dor D. J uan de Dios Alonso y Herrera , y los Sres. D. Fernando M rino y TJlloa , caballero cadete del Real cuerpo de Guardias de la Persona deS. M., y D. Laureano Melena y Nava , caballero gu trdia del mismo cuerpo; de ios que el primero dijo entre otras oosas lo siguiente:</t>
  </si>
  <si>
    <t>Navajas, Casto de</t>
  </si>
  <si>
    <t>Casto de Navajas</t>
  </si>
  <si>
    <t>…hoy, escoltado con 25 hombres de los del piquete de la tercera compañía de ca ballería, y 60 de los vecinos del pueblo de Ambaná, al mando del capitán de la segunda de caballería D. Casto de Navajas, y el alférez de la tercera , lo despaché para la ciudad de la Paz. „ Estoy tratando de ver si se me ha quedado alguno mas escondido para sacarlo; en cuya diligencia podré tardar de tres á cuatro dias, pues en ellos ó se presentan, ó se prenden, ó mueren de n…</t>
  </si>
  <si>
    <t>Navar, Antonio</t>
  </si>
  <si>
    <t>Antonio Navar</t>
  </si>
  <si>
    <t>38í las sematias á afeitar á las casas de todos los capitulares: el estado eclesiástico le ptga con separación. Los pretendientes remitirán sus memoriales á D. Antonio Navar* ro, secretario de aquel ayuntamiento. La escuela de primeras letras de la villa de Orusco, á siete leguas de esta corte, se halla vacante: su dbtacion son siete rs. diarios y 16 fanegas de trigo anuales, con dos mas y 640 rs. que dará el cura párroco, pagado…</t>
  </si>
  <si>
    <t>Navarrere, Benito Fernandez de</t>
  </si>
  <si>
    <t>Benito Fernandez de Navarrere</t>
  </si>
  <si>
    <t>…ta de terminación del cabildo, lo avisa por medio de este.periódico para qu*e las viudas que se hallen en este caso acudan con sus memoriales al deandeáqíieHa santa iglesia el Ür. D. Benito Fernandez de Navarrere. ,,' En virtud de Real facultad concedida en 23 de Julio de 1768-, se celebra mercado los sábados de cada semana en la, villa de Colmenar del Arroyo, distante ocho leguas* detesta corte. Eo que se avisa.a,1 publico para que .el*,que quiera concurra á éí á la…</t>
  </si>
  <si>
    <t>Navarrete, Francisco Herrera y</t>
  </si>
  <si>
    <t>Francisco Herrera y Navarrete</t>
  </si>
  <si>
    <t>…del Moral, D. Alonso Molina, D. Fran cisco Martínez Hervas, D. Josef de Lara, D. Antonio del Campo , D. Si món Matías de Mesa, D. Tomas Gallego , D. Juan de la Herrera y Godino y D. Francisco Herrera y Navarrete : todos los cuales en nombre de las corporaciones y pueblos que representaban manifestaron á S. M. y A. la sa tisfacción que les cabía*por ver ya satisfecho el mayor dé sus deseos, pro testando que no cesarían de pedir al cielo que derramase sus beneficios, p…</t>
  </si>
  <si>
    <t>Navarrete, Josef</t>
  </si>
  <si>
    <t>Josef Navarrete</t>
  </si>
  <si>
    <t>…id, varias señoras en nombre de su junta, y un crecido y lucido número de personas de distinción, que concurrió en virtud del anun cio que se hizo al público. Presidió la junta e! Sr. D. Josef Navarrete, ministro de la Rota , y sub director de la Real sociedad , quien abrió la sesión manifestando el objeto de ella. Fueron examinados D. Martin López , D. Marcelo Sevillano , D. Josef Trespuentes y D. Teiesforo Abascal, los cuales hicieron los egeroicios que pr…</t>
  </si>
  <si>
    <t>Navarrete, Juan</t>
  </si>
  <si>
    <t>Juan Navarrete</t>
  </si>
  <si>
    <t>…Para la misma graduación al que lo estd de alférez de Fragata D. Andrés Freire. DEPARTAMENTO DE CARTAGENA. Para teniente de Navio al primer piloto graduado de teniente de Fragata D. Juan Navarrete. A la graduación de tenientes de Fragata d los que lo están de alféreces de Navio D. Agustín Berlinguero, D. Juan Martínez León, D. Francisco de la Torre y D. Antonio Angarea. Para la graduación de alféreces de Navio d los que lo son en propiedad de Fragata D…</t>
  </si>
  <si>
    <t>Navarrete, Martin Fernandez de</t>
  </si>
  <si>
    <t>Martin Fernandez de Navarrete</t>
  </si>
  <si>
    <t>…ucidos por los Excmos. Seño res consiliarios duque dei Parque y duque de Hijar, en calidad de padrinos, nombrados por S. A. para este acto. Tomada después la venia de S A. leyó el Sr. D. Martin Fernandez de Navarrete, secretario de S. M. y de la Academia, un discurso en que manifes tando la necesidad que tienen las nobles artes «ara su fomento y perfección de ser honradas y protegidas por los grandes P:íncipes, especialmente cuan do después de una guerra tan sanguinaria y…</t>
  </si>
  <si>
    <t>Navarro, Fernando Antonio</t>
  </si>
  <si>
    <t>Fernando Antonio Navarro</t>
  </si>
  <si>
    <t>…Or ne y Garav : para la de Villalba de Alcor á D. Pedro Brenes Lobato: para la del Viso de Alcor á D. Antonio María de Rodas: para la de las Peñas de S. Pedro de nueva creación á D. Fernando Antonio Navarro : para la JsSacedon á D. Mariano Robledo: para la de Villablino á D. Josef García Al fonso: para la de la villa del Cerro á D. Antonio Morco é loza: para la del Burgo de Osma á D. Juan Galban Valiente: para la de Gerga á D. Miguel Antonio Compani; y para la d…</t>
  </si>
  <si>
    <t>Navarro, JosefPerez</t>
  </si>
  <si>
    <t>JosefPerez Navarro</t>
  </si>
  <si>
    <t>…DE CADIZ. Promovidos d sus inmediatas clases. A oficial primero el segundo D. Josef Quevedo ; á oficial segundo el ter cero D. Joaquín Luis de Mendoza; á oficial tercero el cuarto D. JosefPerez Navarro; á oficiales cuartos los quintos D. Juan Ferrer y D. Josef Rodrí guez Flores , y á oficiales quintos los meritorios D. Sixto Tomaseti y D. Jo sef Gómez Roldan. Graduaciones, Graduación de oficial primero al segundo D. Miguel Sarmiento; gra duación de oficiale…</t>
  </si>
  <si>
    <t>Navarro, Justo Ibar</t>
  </si>
  <si>
    <t>Justo Ibar Navarro</t>
  </si>
  <si>
    <t>…n de Nueva-España al teniente general D. Francisco Xavier Venegas. Honores de la Cámara de Castilla á D. Andrés García Hernández, arce diano de Vivero en la catedral de Mondoñedo; D. Justo Ibar Navarro, consejero honorario con sueldo del Consejo Real; D. Amonio María Izquier do, conventual de justicia en la orden de S. Juan, y Secretario de Cámara de S. A. R. el Sermo. Sr. Infante D. Carlos María Isidro. Asimismo se ha servido S. M. conceder á Fr. Cirilo Al…</t>
  </si>
  <si>
    <t>Navarro, Pedro Galindo</t>
  </si>
  <si>
    <t>Pedro Galindo Navarro</t>
  </si>
  <si>
    <t>…oticia. Dios guarde á V. muchos años. Madrid 11 de Junio de 1816. En la villa de Chihuagua, de las provincias internas de Nueva-España, falleció abintestato en 20 de Abril de 1805 D. Pedro Galindo Navarro, natural de esta península; y habiéndose remitido al consejo supremo de Indias copia de los- autos de la testetr.cntaría , sin resultar de ellos noticias de sus legítimos herederos mas que el tener algunos parientes en la villa de Car.avaca, y haber reconocid…</t>
  </si>
  <si>
    <t>Navas, Juan de</t>
  </si>
  <si>
    <t>Juan de Navas</t>
  </si>
  <si>
    <t>…eten por falta de verdaderos y fundamentales principios, de donde se puede sacar un perfec to conocimiento para la egecucion de las operaciones de los partos: segunda edición, por D. Juan de Navas: dos tomos en 4.0 Se hallará en la librería de Sancha, calle de la C ¿incepción , y de Dávlla, calle de las Carretas. Retrato de la Reina nuestra Señora, sacado á su paso por la ciudad de Sevilla, y grabado en esta corte. Se hallará á 3 rs. en las librerías d…</t>
  </si>
  <si>
    <t>Navas, Pedro</t>
  </si>
  <si>
    <t>Pedro Navas</t>
  </si>
  <si>
    <t>…En los dias 17 , t8, 20, 22 , 25 y 26 de Junio próximo pasado hubo egercicios públicos de historia natural farmacéutica, en los que D. Josef Ma ría Hernández , D. Manuel Saldiña, D. Pedro Navas, D. Antonio de la Barrera, O Pedro Mezquia y D. Francisco Guzman, discípulos de este Real colegio de Farmacia de S. Fernando, manifestaron su grande aplicación</t>
  </si>
  <si>
    <t>Navia, Francisco Copons y</t>
  </si>
  <si>
    <t>Francisco Copons y Navia</t>
  </si>
  <si>
    <t>…s consolatorias para disminuir la impresión que debe ha ber causado la noticia en aquellos habitantes. Habiendo tenido á bien el Rey nuestro Señor resolver en 18r4 que el teniente general D. Francisco Copons y Navia, que se hallaba mandando en el egército y principado de Cataluña, se trasládase á esta corte, deter minando posteriormente que se detuviese en Sigüenza, con el fin de que por ello no padezca el menor detrimento el buen concepto de este general, ha de terminad…</t>
  </si>
  <si>
    <t>Navia, Josef</t>
  </si>
  <si>
    <t>Josef Navia</t>
  </si>
  <si>
    <t>…eño de Jesús, del original de Antonio Pe reda , dibujada y grabada por D. Blas Ametller: á 12 rs.~E1 origen de la pintura, de original de autor desconocido, dibujado y grabado por D. Josef Navia: á 8 rs. ( Se continuará.) D. Josef Iglesias, natural de Málaga, hijo de D. Manuel y de Doña Felipa de Rojas, se ausentó de dicha ciudad de edad de 20 años, pudiendo tener en el dia 56 a 60; se sabe viajó á varias partes de América en clase de marinero, y que…</t>
  </si>
  <si>
    <t>…s por D. Manuel Salvador Carmona, y grabadas por D. Jum Antonio Carmona, á 8 rs. rzColección de 20 cabezas devotas, copi ¡s de originales de varios célebres pintores, grabadas por D. Josef Navia, á 2 rs. cada una. {Se continuará.) Se vende una casa sita en esta corte y su calle de Cabestreros, señalada con el m'im. 8 de la manz. 66, que contiene de area plana 1908 | pies, y está tacada e* 44249 rs. vn. Quien quisiere hacer postur i acuda ante el Sr.…</t>
  </si>
  <si>
    <t>Negrete, Rosalía de</t>
  </si>
  <si>
    <t>Rosalía de Negrete</t>
  </si>
  <si>
    <t>…os 6. D. Juan Cantarero 60. D. Joaquín Obrero 400. D. Diego Bernia 100. D. Pedro Herrera 200. D. Antonio Velasco ioo. D. Manuel Estaquero 120. D. Ra fael Salinero, presbítero, 60. Doña Rosalía de Negrete 20. El colegio de San Roque 500. El convento de S. Pablo, religiosos dominicos , 8800. La Exce lentísima Sra. marquesa de Benamejí 16®. El convento de religiosos de la Merced 4®___Viíiafranea----D. Mateo Coronado, alcalde mayor, 500 rs. D. Bartolomé Belmar, a…</t>
  </si>
  <si>
    <t>Neira, Josef de</t>
  </si>
  <si>
    <t>Josef de Neira</t>
  </si>
  <si>
    <t>…na, ortografía, aritmética y urbanidad ; habiéndose hecho dignos del aplauso del lucidísi mo concurso y de los premios que se Ies distribuyeron D. Manuel Caro, D, Ildefonso Lucas, D. Josef de Neira , D. Antonio Montero, D. Antonio Rodríguez, D. Antonio Villar., D. Antonio Ulloa y D. Antonio Cartnona. Para dar fin á este acto D. Cristóbal Romero García, cura mas antiguo y beneficiado propio de lá Encarnación de esta villa, profirió un elegante y enérgico…</t>
  </si>
  <si>
    <t>Nelson</t>
  </si>
  <si>
    <t>1099 En el ataque de Copenhague por lord Nelson el 2 de Abril de 1801 ha bía 11 navios de línea y cinco fragatas con 7© hombres, y resultaron 234 muertos y 641 heridos; total S75. En la batalla de Trafalgar el 21 de Octubre de 1805 había 27 navios de línea y 17© hombres, y murieron de ellos 412, y hubo her…</t>
  </si>
  <si>
    <t>…arlota, que rodos los ingleses van a verla, y la dan el nombre de Princesa 3 Lord Exmouih riene &gt;7 año*. Se di rí :guió particularmente en ’a batalla de Trafalgar á las órdenes de lord Nelson. Én la expedición contra Argel ha principiado í mandar en ge fe. Escriben de Calcuta, con fecha de 33 de Abril, que el 7 d- Febrero había muerto en Mignore el raj. h Je Berar, á quien suc-dió su hijo &lt;dn opo sición alguna. El rajah ha legado, según dicen, á l…</t>
  </si>
  <si>
    <t>Nestrosa, Luis de</t>
  </si>
  <si>
    <t>Luis de Nestrosa</t>
  </si>
  <si>
    <t>…sejo de Castilla, y su sala de Provincia, se cita, llama y emplaza á D. Pedro Gómez de Rozas, vecino de esta corte, D. Andrés Cálvelo, D. Manuel de Entrambasaguas, D. Manuel Cano, D. Luis de Nestrosa , O. Antonio Castillo de Lerin, apoderados del conde de Vistaflorida, de D. Josef Manuel de Trevilla, D. Josef Rubiano y otros consortes, acreedoies á la testamentaria de D. Manuel Rivas Aibear, vecino y del comercio que fue de esta corte, al defensor de los…</t>
  </si>
  <si>
    <t>Neufchateau, Francisco de</t>
  </si>
  <si>
    <t>Francisco de Neufchateau</t>
  </si>
  <si>
    <t>…o perpetuo, Ducis, •el conde de Choiseul Gduftier, Morellet, el conde d’Aguesseau, el conde Volney, Andrieux, el abate Sieard, ei conde de Cessac, villar, el conde de Fontanes, el conde Francisco de Neufchateau, ei conde Bigot de Preameneu , el conde de-Segur , Lecretelle primogénito, el conde Daru, ReynOuard, Pieard, el conde Destutt-Tracy, Lemercier, Perseval- Grandmaison, el.viz conde de Chateaubriand, Lacretelle , Alejandro Duval, Campenon, Michaud , Aignau, de…</t>
  </si>
  <si>
    <t>Ney</t>
  </si>
  <si>
    <t>…rancesas en aquella colonia y porque casi to dos los soldados se han venido á Francia. Madama Lavalette se halla aun en la cárcel. Habita actualmente en el cuarto en que estaba el mariscal Ney, que también ocupó en otro tiempo el general Georges. El 27 del pasado evacuaron los ingleses el cuartel de Mont-Blanc; pero ocupan todavía el de la calle del arrabal Poissonntere, y algunos pueblos del norte de París, asi como las alturas de Mont-Martre. La…</t>
  </si>
  <si>
    <t>623 Saona en i8h » y reconoció y proclamó al usurpador el 14 de Marzo, en virtud de las órdenes del mariscal Ney, fue condenado á muerte el 27 de es te mes por el consejo de guerra de Strasburgo. Las tropas suizas que están en Besa nznu se han repartido en dos batallo nes , mandados por ti capitán Hcíd gger y por el teniente coronel Riaz. El primero de estos batallones…</t>
  </si>
  <si>
    <t>…do á todos los oficiales los honores y prerogativas que les correspondían, el general Grouchy no debía ser juzgado sino por un tri bunal superior en la camara de los pares como el mariscal Ney. El consejo de guerra, después de haber deliberado sobre este punto , se declaró incompetente. El hijo del general que presentó este recurso es el vizconde de Grouchy, coronel de cazadores, caballero de S. Luis, é individuo de la legión de Honor. La Prusia ac…</t>
  </si>
  <si>
    <t>Ni</t>
  </si>
  <si>
    <t>…mismo dia.se reunieron en dicho pa lacio todas las autoridades civiles y militares de las cinco primeras clases. El Emperador fue dos horas después á la iglesia mayor con el gran duque Ni colás, recibiendo á su tránsito las mayores aclamaciones del pueblo. Sé'.cantó un solemne.73? Deu'm, no cesando entre tanto el repique de campanas y las salvas de artillería, que duraron hasta la noche. Las principales autoridades tuvieron la honra de comer c…</t>
  </si>
  <si>
    <t>…ra de alcalde mayor del Valle de Soba, Ruesga y Villaverde a D Jcsef Manuel Fagle: para la de Alcalá la Real á Don' Miguel de Lerin Bracamonte: para la de villafranca del Vierzo á D. Ni colás Gómez Villaboa: para la de Zueros á D.Nereo de Dueñas y Vilches: para la de-.Barcarota á D. Josef Villegas Cevallos: para la de Montcalegre á D. Pascual Ramírez Cerezo: para la de Teba á D. Josef Antonio Aivarez Valle: para la de Calahorra de Granada á…</t>
  </si>
  <si>
    <t>Nico</t>
  </si>
  <si>
    <t>…os á D. Juan Adinero, señalados con los números 363743» 364806, 360339 y 373375 , y últimamente endosados el pnnVero á los señores viuda de R. Boon é hijos, de Cádiz; el segundo á D. Nico lás Billester y Flotats; el tercero á D. Tomas de Urruti.i, y el cuarto í D. Josef Gallinaus: dós dé á 300 pesos, el mismo encabezamiento y crea.ion, con los nú meros 8098*2 y 84337 , y endosados últimamente el uno á D. Eduardo B. Ittymaurice, y el otro al mi…</t>
  </si>
  <si>
    <t>Nico, Fernando</t>
  </si>
  <si>
    <t>Fernando Nico</t>
  </si>
  <si>
    <t>…ayuntamiento, hasta i.° de Majo próximo. Aventuras deTelémaco, hijo de Ulises: obra escrita en francés por el limo. Sr. Fenelon, arzobispo de Cambray, traducido al castellano por D. Fernando Nico lás de Rebolleda. Hay tres ediciones, una de 4 tomos en 8.° con el texto francés y la versión al frente, muy útil para los que principian á traducir este idioma, á 40 rs. en pasta y á 64 con 24 estampas finas: otra en dos tomos en 8.° con la traducion sola, á…</t>
  </si>
  <si>
    <t>Nicolás</t>
  </si>
  <si>
    <t>…ausentó de la casa de D. Andrés María Fariña Tarrio, vecino y del comercio de la ciudad de Santiago, reyno de Galicia , un chico de edad de 13 años, llamado Josef Varela, hija de D. Nicolás, ya difunto, vecino que fue de la villa de Puente de Ume, en don de reside su viuda Doña Josefa Martínez Perez, madre del chico; las señales de este son poca talla, cargado de hombros, cara redonda, color trigueño , ojos negros, á veces mira torcido, nariz re…</t>
  </si>
  <si>
    <t>…en los autos de testamentaría pendientes en la escribanía del número que está á cargo del Sr. Don Ra mon García Ximenez, del consejo de S. M., su secretario , por fallecimiento de D. Nicolás y D. Matías del Barrio, se cita, llama y emplaza i D. Juan Moreno de los R ios, de quien se ignora su paradero, sin embargo de que en su busca se han practicado diligencias judiciales, para que al término preciso de 20 dias, contados desde el expresado dia 27, que por tres términos…</t>
  </si>
  <si>
    <t>…cia las harán inútiles , y responsables á ellos de los perjuicios que con este motivo se hayan podido seguir á las per sonas á quienes las hayan dado. El viage de S. A. I. el gran duque Nicolás se extenderá por Smoleasko, Mohilew y Kiow hasta Odessa y el interior de la Crimea. AUSTRIA. Viena 20 de Junio. El precio de los comestibles se ha aumentado considerablemente, y las medidas tomadas por el Gobiern® para evitarlo, lejos de conseguirlo, no han c…</t>
  </si>
  <si>
    <t>…nstantino pasó junto á Bidani revista á todas las tropas, que tuvieron la satisfacción de que S. A. I. les manifestase Ja suya por la exacta disciplina que reina en ellas. El gran duque Nicolás debe visitar principalmente las provincias polacas del imperio para poder presentar á S. M. I. un cuadro exacto del estado en que se hallan , y de instruirse á fondo sobre su organización. B A VIERA. Munich 20 de Junio. Hoy ha salido S. M. para visitar las pr…</t>
  </si>
  <si>
    <t>…felicitaciones de lord cor regidor y del ayuntamiento de Londres, con motivo de la victoria consegui da por lord Exmouth contra el déy de Argel. Se espera de hoy á mañana al gran duque Nicolás con su comitiva , que ie *lojair'áPé'Á4a- chss^Bá^Brtfresxvick. • • -ni d&amp;adüegadó-á eFó^tsraÓuth da fragata portuguesa la Pecóla t que conduce álicandfe de Palméltí-,1 erabajador de su' corte., y al mismo tiempo trae 55 ca miones de vasillá de^plárajy de oro…</t>
  </si>
  <si>
    <t>…Según las noticias que se Han recibido de Moscówloshabitahtes de aque lla ciudad están sumamente gozosós-'de qué se halle-al#ei Emperador. El 30 de Agosto S. M. y S. A. I. el gran duque Nicolás fueron á la asociación de la nobleza, donde se reunieron mas de :i 5op persogas &gt; tanto de los indivi duos de la asociación como de convidados. El día siguiente los directores de la asociación se presentaron en-palacio á dar gracias al Emperador por el ho nor…</t>
  </si>
  <si>
    <t>…Nicolai, que está nombrado ministro de Rusia cerca de nuestra corte , no vendrá , á residir aquí hasta la primavera, porque ante? tiene-que acompañar á Londres á S. A. I. el gran duque Nicolás* ■ AUSTRIA. . ;v í: Vima i.° de Octubre. Escriben de Gratz lo siguiente : „ En el espacio de dos meses se han desem-i barcado en Trieste mas de 15 oS) fanegas de trigo traídas deOdessa y de Ale jandría (en Egipto)-. Nuestro amado Soberano, deseando remediar l…</t>
  </si>
  <si>
    <t>…rreo se desmiente hoy esta noticia, y aun se añade que no se espe ra en Londres á dicho Príncipe, y que los preparativos hechos por el em bajador de Rusia son para recibir al gran duque Nicolás , quien tardará to davía en llegar, pues debe detenerse algunas semanas mas en Berlín y Brusélas. El Padre Santo ha enviado á Inglaterra varios monumentos de escultura antigua, que regala al Príncipe Regente como una prueba de su reconoci miento al principal…</t>
  </si>
  <si>
    <t>…via un ayudante de campo del Rey, encargado de una comisión que debe desempeñar cerca de S. M. el Emperador de Rusia. No se trata ya de la venida de este Monarca á Berlín. El gran duque Nicolás debe salir para Inglaterra á fines de este mes. Escriben de Varsovia que el Emperador Alejandro ha aprobado varios planes que le ha presentado Mr. Nowosilzoff para mejorar la instrucción pública___ Se trata de tomar algunas providencias contra los judíos, cuy…</t>
  </si>
  <si>
    <t>…mayor á la condesa viudade Lazanski, que ob tenía el mismo destino cerca de S* A. I. la Archiduquesa Leopoldina. PAISES-B AJOS-UNID OS. JBrusélas y de Noviembre. $. A. I. el gran duque Nicolás, hermano del Emperador Alejandro , lle gó á esta ciudad ayer á las io de la noche, y se apeó en el palacio del Prín cipe Real de Orange su cuñado. El navio de guerra de S. M. el Príncipe Federico, destinado para Batavia, estuvo cruzando io dias en el canal po…</t>
  </si>
  <si>
    <t>…ra de los mercados europeos. GRAN BRETAÑA. Londres 14 de Noviembre, El dia 12 salieron de aquí dos coches de la casa Real para Douvres con eí objeto de conducir á l óndres al gran duque Nicolás. El embajador de Rusia ha ido á aquel puerto para acompañar al Príncipe. Idem ¡ 8, En los condados de Somerset y de Glocester se ha formado una asocia ción pata pedir al parlamento que imponga un derecho de 30 por 100 en la exportación de todos ios productos…</t>
  </si>
  <si>
    <t>…onnaire, condenado 2 1* deportación, acaba de fallecer en S. Pelagio, donde se hailaba preso. En una carta de Calais de 18 del corriente se dice: „Ayer llegó aquí S. A. I. el gran duque Nicolás, y hoy ha recibido con mucha afabilidad á tes autoridades civiles y militares, y á todos los cuerpos de oficiales. Con cluida esta ceremonia se embarcó S. A. I. en una falúa, y su comitiva á bordo de un paquebote, con dirección á Douvres.” Escriben de'Marsell…</t>
  </si>
  <si>
    <t>…ulta dos útiles. Los insensatos que se juntaron en Spitalfields, bajo la dirección de Mr. Hunt, han fijado un cartel de estilo muy diferente,anunciando una nue va junta. , El gran duque Nicolás con su comitiva y sir William Congreve se pre sentaron en el palacio de la Reina. El gran duque fue recibido con toda consideración. El conde de Pálmela , nuevo embajador de Portugal, fue igual mente introducido, y tuvo una audiencia de S. M., en que presentó…</t>
  </si>
  <si>
    <t>…aquella isla habia reinado por espacio de algunas semanas la fiebre amarilla, haciendo mucho estrago en las personas que 110 estaban acostumbradas á aquel clima. S. A. R. el gran duque Nicolás fue ayer á ver el arsenal de WoIwich,y lo que mas llimó su atención fue una nueva máquina de vapor que hace mo ver un martinete de mucho peso para forjar anclas. La escuadra anglo americana ha llegado á la bahía deGibraltar de vuel ta de Argel. Parece que el…</t>
  </si>
  <si>
    <t>Nicolás, Pedro</t>
  </si>
  <si>
    <t>Pedro Nicolás</t>
  </si>
  <si>
    <t>…de lá ciudad de Lucena por su augusto enlace y el Excmo. Sr. conde de Colomera , capitán genial-de los Reales-egércitos; él marisca [ de campo D. Gaspar Alvarcz de Soro mayor , y D. Pedro Nicolás5 del.Válle,, del,Conse-* jo de S. M. en el de Hacienda ; el primero arengó á S. Midioiendoieqrrebtrasi cosas lo siguiente: . &lt; . 5 • • • -;!*• ’ írSeñor: La ciudad de Lucena, siempre constantc en lealtad, respeto y</t>
  </si>
  <si>
    <t>Nieto, Dámaso</t>
  </si>
  <si>
    <t>Dámaso Nieto</t>
  </si>
  <si>
    <t>…salientes, acordó hacer una demostración ú todos los demas, y que en su nombre pasasen dos diputados á 1as casas de D. J'osef Francisco de Hordas, maestro de primeras letras, y de D. Dámaso Nieto, catedrático de latinidad, á darles gracias por el buen método, zelo y •exactitud con que cada uno desempeña su magisterio, presentándoles al mis mo tiempo un agasajo en señal de gratitud. Madrid u de Octubre. En el día 6 deí corriente tuvieron la honra de fe…</t>
  </si>
  <si>
    <t>Nieto, Francisco</t>
  </si>
  <si>
    <t>Francisco Nieto</t>
  </si>
  <si>
    <t>…illa y Bonifaz, escribano que fue de Rentas Reales y del número de la villa de Palma del Rio, reino de Córdoba, acudirá con documentos justificativos á di cha villa á sus albaceas D. Francisco Nieto, administrador de Reales loterías, y D. Nicolás Oamero, escribano de cabildo y del número de la misma. Se hallan vacantes en los regimientos de caballería dos mariscalías mayores, con la dotación de 600 rs. vn. al mes, y diez segundas con la de 400, cuyas pla…</t>
  </si>
  <si>
    <t>No, Ramón Aguilar y</t>
  </si>
  <si>
    <t>Ramón Aguilar y No</t>
  </si>
  <si>
    <t>,9*sejo de S. M., teniente corregidor de esta villa, dada por la escribanía del número de D. Cristóbal de Vicuña, se cita, llama y emplaza á D. Ramón Aguilar y No guera, D. Simón de Amaga, D. Josef Vicente de Iraz.ibal, D. Josef de Llamas, Dona Josefa lgnacia de Muxica , I). Juan Bautista de Torres y D. Juan Simón de A muga , tenedores de nueve vales Reales de 300 pesos, de Mayo de 808, señaiados con los números 423341…</t>
  </si>
  <si>
    <t>Nobreda, Juan</t>
  </si>
  <si>
    <t>Juan Nobreda</t>
  </si>
  <si>
    <t>…bildo eclesiástico 4:00. Intendencia, contaduría y oficinas 1473. IX Pedro Espina 9 '‘O. D Sebastian Hernández 120. D. Felipe Barra 100. D. Manuel García 80. D. Gaspar Arribas 20. D. Juan Nobreda 20. D; Manuel Saudin Calderón 8. D. Fernando Gómez 10. Doña Margarita Martin 20. D. Santos Avoin Coronel en efectos y dinero 360. D. Manuel Cisneros 200. D. Anto nio Echenique 140. D. Josef Perez 40. D. Fructuoso Tejedor 30. D. Josef Lozano 30. D. Victorio Va…</t>
  </si>
  <si>
    <t>Nogueira, Josel</t>
  </si>
  <si>
    <t>Josel Nogueira</t>
  </si>
  <si>
    <t>…bido Pardo y López, que demostró su exquisito cuidado en desterrar ios abusos en la pronunciación, enseñando á leer los niños con sentido y ortografía, en cuya ciase fue pre miado D. Josel Nogueira: se vieron los escritos de los de esta clase, y ana liza Joí con mi lurez se adjudicó el premio á D. Juan Caneda; y al lin se ha instruido el publico y ei ayuntamiento de la exactitud del maestro, entre gado todo a la educación lina de los niños, á quienes ha…</t>
  </si>
  <si>
    <t>Ñogues, Cayetano</t>
  </si>
  <si>
    <t>Cayetano Ñogues</t>
  </si>
  <si>
    <t>…mpetencia promovida entre el Consulado de Valencia y el Santo Oficio de la Inquisición acerca del cono cimiento de un expediente suscitado por el comerciante D. Jaime Roig con tra D. Cayetano Ñogues, Secretario jubilado é Inquisidor honorario , sobre el reintegro de unos vales Reales, y de io que prescribe la ley 18, tít. i.°, lib. 4.° de la Novísima Recopilación, como posterior á la 1*5 del mismo tí tulo y libro sobre el método establecido para decidir…</t>
  </si>
  <si>
    <t>Nogués, Mariano</t>
  </si>
  <si>
    <t>Mariano Nogués</t>
  </si>
  <si>
    <t>…areli, hijos de los Excmos. Sres. marqueses de A\erve, 1) Fernando Garai, O. Jaime Sa la-, D. V ¡cente Kna, D. Tomas Ma teo y D. Bienvenido Cortés, seminarútas en el mfmo colegio, D. Mariano Nogués, D Pedro Nogués , D Pedro Ortiz, D. Joaquín Miranda, D. Pe dro Navarro, D. Juan Josef Lahorda, D- Lorenzo Biscasillas, D. Antonio Ttmprado, D. Martin Jucez, D. Josef La&gt;, D. Josef Martin, D. Manuel Laredo, D. Gaspar Gailat, D. Inocencio Maicas, D. A: mnio Ceb…</t>
  </si>
  <si>
    <t>Norberro</t>
  </si>
  <si>
    <t>…calificación de los que lp§ hayan de obtener. . V. Por orden del imperial y Real tribunal de justicia en Mitán se- notifica' k Pedro Josef Francisco Antonio Del la porta, hijo de D. Norberro. y de Doña Ma riana dé Glancer, qué nació en dicha ciudad eh 19 de" Julio de 17 5 5 y que en Junio de' 1801 servia tíe militar en ‘ Espáña , .haberle presentado * a nte este tribunal por Josef, Mariana'ana Luisa y Rosa , hermano y hermánas 'Oiivierj, domicili…</t>
  </si>
  <si>
    <t>Noricga, Juan Antonio Diaz</t>
  </si>
  <si>
    <t>Juan Antonio Diaz Noricga</t>
  </si>
  <si>
    <t>…ortelano, tasado todo en 13CS) rs. vn. Está señalado para su remate el 24 del cor riente á las 12 en punto de su mañana en la audiencia de dicho señor y escribanía de provincia de D. Juan Antonio Diaz Noricga, adonde se podrán dirigir las per sonas qtte quieran hacer sus posturas. Se halla vacante la plaza de médico de la villa de Ablitas, en Navarra, que consta de 350 vecinos; su salario, cobrado por dicha villa , es el de 6Q400 rs. vn.r al que se aumentarán á su…</t>
  </si>
  <si>
    <t>Noriega, Gabriel de Hevia y</t>
  </si>
  <si>
    <t>Gabriel de Hevia y Noriega</t>
  </si>
  <si>
    <t>…mismos comisionados felicitaron con igual motivo al Sermo. Sr. In fante D. Carlos. En el dia ii del corriente el colector general de Espolios y Vacantes D. Tomas Aparicio Santin, D. Gabriel de Hevia y Noriega, del supremo Consejo de la Inquisición, y D. Vicente Ruiz de Albillos, juez en el tribunal</t>
  </si>
  <si>
    <t>…Santin, colector general de Espolios; D. Manuel Martínez del Campo, del supremo Consejo de la Inquisición, sumiller de cortina de S. M., y audi tor de Rota en la corte de Ronva ; D. Gabriel de Hevia y Noriega , del mismo Consejo de la Inquisición, y D. Cayetano Campos , teniente principal cura de palacio, y honorario del mismo Consejo, dignidades y prebendados de la Sta. Primada iglesia de Toledo, tuvieron la honra en el dia 17 de Octubre de ofrecerse á los pies d…</t>
  </si>
  <si>
    <t>Noriega, Juan Antonio Díaz</t>
  </si>
  <si>
    <t>Juan Antonio Díaz Noriega</t>
  </si>
  <si>
    <t>…ate, con apercib:miento de que no haciéndolo se rematará en esta suma. Por providencia del Sr. D. Andrés OHer, deí consejo de S. M,, alcalde en su Real casa y corte, refrendada de D. Juan Antonio Díaz Noriega, escribano de pro vincia, se hace saber á los acreedores ausentes é ignorados al concurso de D. Josef Lara,,que concurran por sí 11 otra persona á su nombre con poder bastante á la po sada del mismo señor el dia 16 de Abril próximo á las 9 de su mañana, para…</t>
  </si>
  <si>
    <t>Noriega, Juan Antonio Diaz</t>
  </si>
  <si>
    <t>Juan Antonio Diaz Noriega</t>
  </si>
  <si>
    <t>47° de un acreedor, acuda ante el Sr. D. Andrés Oller, del consejo de S. M., alcalde de su Real casa y corte, por la escribanía de provincia de D. Juan Antonio Diaz Noriega, que despacha el infrascrito en virtud de Real habilitación, dentro del térmi no de 30 dias contados desde esta fecha. .Habiendo sido extraídos de la casa de D. Eulogio del Rosal, del comercio de Cádiz, 15 vales Reales de 300 pesos, creación de i.° de Mayo, q…</t>
  </si>
  <si>
    <t>…da en 45 3890 rs., que se vende para hacer pago á acreedores, acuda ante el Sr. Don And res Qller, del Consejo de S. M., alcalde de casa y corte, por la escribanía de provincia de D. Juan Antonio Díaz Noriega, que despacha D. Pedro Josef de Ibabe, lo haga hasta el dia 17 de Diciembre próximo venidero, en el que se ha de celebrar su remate á las 12 en punto de la mañana en la audiencia de S. S. y cita da escribanía. Pablo y Virginia, por Jacobo Bernardino Henrique…</t>
  </si>
  <si>
    <t>Norigat, Guillermo</t>
  </si>
  <si>
    <t>Guillermo Norigat</t>
  </si>
  <si>
    <t>…nz. 393 , cuyos rendimientos disfruta por alimentos de viudedad; se ha mandado se cite, llame y emplace á D. Josef Julián Díaz, á los herederos de D. Francisco del Valle, á los de D. Guillermo Norigat, á los del sastre Manuel Suarez , y á los de D. Gregorio de Tejada, que no concurrieron á dicha junta por no habérseles podido citar, á causa de no tener noticia de sus habitaciones, para que en el término de 15 dias, que por tercero se les señala, y el últim…</t>
  </si>
  <si>
    <t>Nose, Luis</t>
  </si>
  <si>
    <t>Luis Nose</t>
  </si>
  <si>
    <t>…el V. Fr. Sebastian Sillero, del original de Don Gregorio Ferro, grabada por D. Manuel Salvador Carmona: á 10 rs. ~Retrato de Carlos n, del original de Claudio Coello, grabado por D. Luis Nose^et: i 8 rs.= Retrato del P. Fr. Francisco de los Santos, del original de Claudio Coello, graba do por D. Luis Noseret: á 8 rs. zrEl sueño de Jesús, del original de Antonio Pe reda , dibujada y grabada por D. Blas Ametller: á 12 rs.~E1 origen de la pintura, de…</t>
  </si>
  <si>
    <t>Noséret, Luis</t>
  </si>
  <si>
    <t>Luis Noséret</t>
  </si>
  <si>
    <t>…a casa del conde de Ofía te, se hallará la nueva estampa de S.Francisco Xavier, apóstol de las Indias, dibuja da por D. Antonio Guerrero, y grabada en cuartilla de marca mayor por D. Luis Noséret, á 3 rs. cada una, corno también otras muchas de igual tamaño. : 1 i EN IA IMPRENTA REAL.</t>
  </si>
  <si>
    <t>Noseret, Luis</t>
  </si>
  <si>
    <t>Luis Noseret</t>
  </si>
  <si>
    <t>…del conde de Olía te, se vende la estampa nueva de Sta. Ana, acompañada de la Santísima Virgen María, en cuartilla de marca mayor, dibujada por D. Antonio Guerrero, y grabada por D. Luis Noseret; otras varías de igual tamaño á 3 rs. cada una, países y marina de diferentes tamaños de los mas acreditados profesores. . EN LA IMPRENTA REAL.</t>
  </si>
  <si>
    <t>…, frente á la casa del conde de Ofiate, se vende la estampa nueva de S. Joaquín, padre de nuestra Señora, dibujada por D. Vicente Ximeno, y grabada en cuartilla de marca mayor por D. Luis Noseret: juntamente hay 24 mas de igual tamaño de los santos y santas de mayor de voción, á 3 rs. cada una en negro y á 10 iluminadas. Se rende las Cenas de Pavón del tamaño de la de Morguen y la de Reinaldi, países y marinas de los mejores profesores de diferentes t…</t>
  </si>
  <si>
    <t>…calle Mayor, frvnte á la casa del conde de O ñate , se vende la estampa nueva de bta. María Magdalena, dibujada por D. An tonio Guerrero, y grabada en cuartilla de marca mayor por D. Luis Noseret, jun tamente con otros muchos santos y santas de i^ua, tam.iño, á 3 rs. cada una. EN LA IMPRENTA REAL.</t>
  </si>
  <si>
    <t>…Retrato de Carlos n, del original de Claudio Coello, grabado por D. Luis Nose^et: i 8 rs.= Retrato del P. Fr. Francisco de los Santos, del original de Claudio Coello, graba do por D. Luis Noseret: á 8 rs. zrEl sueño de Jesús, del original de Antonio Pe reda , dibujada y grabada por D. Blas Ametller: á 12 rs.~E1 origen de la pintura, de original de autor desconocido, dibujado y grabado por D. Josef Navia: á 8 rs. ( Se continuará.) D. Josef Iglesias, na…</t>
  </si>
  <si>
    <t>…vende en la librería de Dávila, calle* de las Carretas, á 14 rs. Estampa nueva de S. Nicolás de Barí en cuartilla de marca ma3'or# dibujada por D. Antonio Guerrero , y grabada por D. Luis Noseret, que forma colección con las ya publicadas, todas ellas á 3 rs. en negro y á 10 iluminadas. = Retrato del SL P. Pió vh en cuartilla regular, grabado á puntos por D. Juan Bruneti, á « reales en negro y á 6 iluminado. Se hallarán con otras muchas en el almacén…</t>
  </si>
  <si>
    <t>…elipe , y de Barco, carrera de S. Gerónimo. , Retrato de la Reina nuestra Seño a Doña María Isabel db Bracanza, di bujada por D. Vicente Ximeno, y grabada en cuartilla regular por D. Luis Noseret. Se vende en el almacén de estampas de la calle Major, frente á la casa del . conde de Olíate, á 3 rs. «o negro y á 6 iluminado: puede ir en carta. EN LA IMPRENTA REAL.</t>
  </si>
  <si>
    <t>…Retrato de la Reina nuestra Señora y su augusta Hermana Doña María Fran cisca dé Braganza, Infanta de España, dibujadas por D. Vicente Ximeno, y graba das en cuartilla regular por D. Luis Noseret. Se venden en el almacén de estampas de la calle Mayor, frente á la casa del conde de Oñate, á 3 rs. cada una en negro y á 6 rs. iluminadas: son de un mismo tamaño, y pueden ir en carta. EN LA IMPRENTA REAL.</t>
  </si>
  <si>
    <t>Novas, Miguel Agustín de</t>
  </si>
  <si>
    <t>Miguel Agustín de Novas</t>
  </si>
  <si>
    <t>…a la de Montcalegre á D. Pascual Ramírez Cerezo: para la de Teba á D. Josef Antonio Aivarez Valle: para la de Calahorra de Granada á D. Francisco Mirambell: para la de Estremera á D. Miguel Agustín de Novas: para la de Friones á I). Josef de Aguirre; y para la de Aznalcázar á D. Josef Joaquín Romero del Már mol. Y ha prorogado S. M. por seis años en la vara de Vegas dei Condado á D. Román Rodríguez. En la dirección del establecimiento del Crédito publico, situad…</t>
  </si>
  <si>
    <t>Novo, Santiago</t>
  </si>
  <si>
    <t>Santiago Novo</t>
  </si>
  <si>
    <t>1130 DEPARTAMENTO DE FERRO!, Para la graduación de tenientes de Fragata d los que lo están de alféreces de Navio D. Diego Gil, D. Joaquín Díaz Hurtado, que lo es en propiedad; Don Santiago Novo, D. Josef Sánchez, D. Josef Antonio Suarez, D. Cayetano Inzuela y D. Jacobo Auli. Para la graduación de alféreces de Navio d los que lo son en propiedad de Fragata D. Antonio Torneo y D. Manuel Guin de Torres. Para la misma graduación al que lo estd de alfére…</t>
  </si>
  <si>
    <t>Ntco, Josef</t>
  </si>
  <si>
    <t>Josef Ntco</t>
  </si>
  <si>
    <t>…causas admitidas para dispensarlo,, seguía práctica constante de ia dataría apostólica, conforme literalmente á la que remitió de oficio desde Roma en 5 de Julio de 1781 el Excmo. Sr. D. Josef Ntco;as de Azara, ministro plenipotenciario á la sazón en aquella corte, con una tarifa formula y cangeada ininisterialmente del coste fijo de las dispensas mas frecuentes, y una adición de varias que no lo son tanto, y pue den servir de gobierno pjra otras de igu…</t>
  </si>
  <si>
    <t>Nugent, Príncipe</t>
  </si>
  <si>
    <t>Príncipe Nugent</t>
  </si>
  <si>
    <t>…er en el mejor estado el egórcito, y se cree que en todo el mes Je Aeo'to estará vestido de nuevo. S. A. R. el Príncipe Leopoldo tie ne el mando de las tropas napolitanas. El ftld-mariscal Príncipe Nugent, ge neral en ge fe de tas tropas austríacas , obra de acuerdo con S. A. R. en cuanto ai movimiento de las tropas.___S. M. tiene intención de poner una fuerza marítima que contenga á los piratas berberiscos, y que liberte á es te reino de pagar á aquellas rege…</t>
  </si>
  <si>
    <t>Nuñez, Josef Fernandez</t>
  </si>
  <si>
    <t>Josef Fernandez Nuñez</t>
  </si>
  <si>
    <t>…dos á ios terceros D. Juan María Carranque y D. Angel Torredemer; graduación de terceros á los cuartos D. Manuel Trugillo y D. Jacinto Bota na; graduación de cuartos á los quintos D. Josef Fernandez Nuñez y Don Nicolás Arias Mandia , y graduación de quintos á los meritorios D. Josef Suarez Albanell y D. Alejandro de la Calle. DEPARTAMENTO DE CARTAGENA. Promovidos d sus inmediatas clases. A oficial segundo el tercero D. Juan Andrisain; á oficial tercero el cuar to D. Josef Santiag…</t>
  </si>
  <si>
    <t>Núñez, Juan</t>
  </si>
  <si>
    <t>Juan Núñez</t>
  </si>
  <si>
    <t>…n 1808 de Húsares, hijo de Cristóbal García y de Agustina Ramal, todos vecinos y naturales de la ciudad de Molina de Ara gón, en la provincia de Guadalajara, se servirá avisarlo á D. Juan Núñez y D. Jo sef Vázquez Franco, vecinos de dicha ciudad, y testamentarios del Cristóbal, padre del Luis, quienes instruirán á quien legítimamente se presente en los derechos y demas de la expresada testamentaría. Tratados de matemática para la instrucción de los militare…</t>
  </si>
  <si>
    <t>Nuñez, Manuel Antonio</t>
  </si>
  <si>
    <t>Manuel Antonio Nuñez</t>
  </si>
  <si>
    <t>…los otros alumnos de las clases de rudimentos y sintaxis, satisfaciendo á cuanto se les preguntó. En esta clase de latinidad se distinguieron D Josef Viejo* D. Francisco Martínez, D. Manuel Antonio Nuñez, D. Manuel Paez, Don Manuel Perez , D. Manuel Saiz, D. Manuel Valles, D. Manuel Manso, Don Gregorio Colmeneroy D. Francisco Arribas; los cuales dieron pruebas de su constante aplicación y adelantamientos, y de hallarse aptos para emprender otros estudios, por…</t>
  </si>
  <si>
    <t>O, Vicente Diaz de</t>
  </si>
  <si>
    <t>Vicente Diaz de O</t>
  </si>
  <si>
    <t>…la de Buendia á D. Felipe Mingojuan: para la de Sal.«s u&gt; I fuves i D. Ped.o Puma rejo y Velarde : para la de Pedraza á D. SanJti; &gt; Orne y Garay ; y para la del Valle de Ay ala á D. Vicente Diaz de O.arte. Por resolución á consulta de! supremo Cornejo de Hacienda , y á so lici tud del teniente coronel de infanteiía D. Francisco Antonio \ aiü lomar y del Lie. I). Gaspar García Aramburu , síndicos procurador ger.rsl y p.ersonero de la villa de Castro dei Rio…</t>
  </si>
  <si>
    <t>O, Vnrordo de</t>
  </si>
  <si>
    <t>Vnrordo de O</t>
  </si>
  <si>
    <t>…88045 rs. vn.í y4 Vi otra en la c^le de S. Pedtb y S. Pablo, núm. 13, manz. 314, que tiene de sitio 2 48 p;e*¡ • £ , Tisa la en 49^01 m. vn. pertenecien tes á la testamentaría de D. Vnrordo de O ero, Jo ciernan en el término de 30 dias por que se sacan al pregón, contadas desde el 1 1 dei corriente, acudiendo al efecto á la audiencia del señor arcalde de caía v corte I &gt;. Joset s&gt;aiv¿tdor López del Pan , y escribanía de provin.ia de D. Luis López de…</t>
  </si>
  <si>
    <t>O-Donell</t>
  </si>
  <si>
    <t>…ha especie de moneda lo egecatará dentro deí termino referido ante dicho señor juez y escribanía. ; Se desea saber el paradero del coronel D. Josef Darquines, ayudante que fue del general O-Donell en ei egército de Cataluña, para comunicarle un asunto que pue de serle de importancia. La persona que lo supiese tendrá' la bondad de avisarlo al teniente coronel D. Juan Rodríguez Calderón, calle de los Remedios, núm, 22, cuarto secundo. La persona que supi…</t>
  </si>
  <si>
    <t>…cados y vendidos bajo el último Gobierno. AUSTRIA. Carlsbad ( Bohemia) 14 de Julio. Se espera aquí de un dia para otro al teniente feld-mariscal conde de Klebelsberg y al coronel conde O-Donell. EL primero está encargado de cum plimentar en nombre del Emperador á S. M. el Rey de Prusia, que viaja tajo el nombre de conde de Ruppin: el segundo es gentilhombre de este Mo narca___No se sabe aun cosa alguna positiva sobre la venida de los otros Soberanos…</t>
  </si>
  <si>
    <t>Oake</t>
  </si>
  <si>
    <t>…dos-Unidos era en 178; de 2.^89*,00 indivi duos: en 1790 subía á 3 928088: según el censo hecho hace dos años ascen día á 7.5 ocíe) ; y en el dia se dice que es de 10 millones. El capitán Oake, encargado por el Gobierno Ingles de llevar á Italia las preciosidades artísticas restituidas por la Francia, ha sido recibido en triunfo en Civitavechia. El cardenal Gonzalvi pasó allá expresamente de orden del Papa para convidarle á que fuese á Roma con los…</t>
  </si>
  <si>
    <t>Oamero, Nicolás</t>
  </si>
  <si>
    <t>Nicolás Oamero</t>
  </si>
  <si>
    <t>…número de la villa de Palma del Rio, reino de Córdoba, acudirá con documentos justificativos á di cha villa á sus albaceas D. Francisco Nieto, administrador de Reales loterías, y D. Nicolás Oamero, escribano de cabildo y del número de la misma. Se hallan vacantes en los regimientos de caballería dos mariscalías mayores, con la dotación de 600 rs. vn. al mes, y diez segundas con la de 400, cuyas plazas han de darse por oposición en la Real escuela veter…</t>
  </si>
  <si>
    <t>Obregon, Jos.éf Manuel</t>
  </si>
  <si>
    <t>Jos.éf Manuel Obregon</t>
  </si>
  <si>
    <t>…ya se ha dado cuenta en este periódico, una de la ciudad de Arcos de la Frontera, com puesta de los Sres. D Josef Bravo y Torices, D. Antonio María de Aler, D. Juan Zapata y Cena, D. Jos.éf Manuel Obregon y D. Pedro Josef Za pa, los cuales', en representación del ayuntamiento y del estado eclesiástico de aquella ciudad , tuvieron la honra el día 7 de Seriembre próximo pasado de ofrecer á S. M. y A. los sinceros homen.iges del amor y Tespeto de aque llos leales vecinos. En aque…</t>
  </si>
  <si>
    <t>Obregon, Josef María</t>
  </si>
  <si>
    <t>Josef María Obregon</t>
  </si>
  <si>
    <t>…a Frontera, y estando equi vocados los apellidos de otros, se advierte que los sugetós nombrados fueron Don Mateo Francisco de Rivas, D. Antonio María Alcx, D. Juan Zapata y Caro, Don Josef María Obregon y D. Pedro Josef Zapata. EN LA IMPRENTA REAL.</t>
  </si>
  <si>
    <t>Obrero, Joaquín</t>
  </si>
  <si>
    <t>Joaquín Obrero</t>
  </si>
  <si>
    <t>…cisco Carrillo del Valle, administrador general ,2411 rs. y 26 mrs. D. Antonio de Ramos y Ximenez 200 rs. D. Francisco Rafael González 60. Catalina Prados 6. D. Juan Cantarero 60. D. Joaquín Obrero 400. D. Diego Bernia 100. D. Pedro Herrera 200. D. Antonio Velasco ioo. D. Manuel Estaquero 120. D. Ra fael Salinero, presbítero, 60. Doña Rosalía de Negrete 20. El colegio de San Roque 500. El convento de S. Pablo, religiosos dominicos , 8800. La Exce lentís…</t>
  </si>
  <si>
    <t>Ocaf.a, Martin</t>
  </si>
  <si>
    <t>Martin Ocaf.a</t>
  </si>
  <si>
    <t>…ente Telio 4. D. Manuel Cisneros 23. D. Valentín.Ximenez 20. D. Carlos Milre40. D. Esteban Gómez 20. D» Felipe Eneri y Seda 40. D. Gregorio Fernan dez 46. D. Fernando Larrondo 92. D. Martin Ocaf.a 20. D. Blas María 20. D. Pedro Pacheco 20. D. Fernando Prieto 24. D. Juan Ballesteros 20. Don Ruperto Molinero 16. D Josef Brochero 40. D Manuel Palomares 30. Don Pabio Aviles 23 D. Joaquín Delgado 69. D. Sebastian Zahonero 60. D. Pe dro Espina 11 5. D. Manue…</t>
  </si>
  <si>
    <t>Ocaña, Ramón Ruiz</t>
  </si>
  <si>
    <t>Ramón Ruiz Ocaña</t>
  </si>
  <si>
    <t>…S. M. y A. R. en la mis'ma, ciudad, se dignaron admitir también á su presencia una diputación de la villa de Menjivar, compuesta de D. Dionisio Morales, alcalde mayor ordinario, y Don Ramón Ruiz Ocaña, síndico personero, en nombre del ayuntamiento, del Dr, D. Cristóbal Carrillo de Albornoz , prior y cura párroco , en nombre del clero, y de D. Juan de Lillo Rubio y Galera, en nombre de los hacenda dos : otra de la villa de Martos, compuesta del teniente cor…</t>
  </si>
  <si>
    <t>Ochoa, Franci-co Xavier de</t>
  </si>
  <si>
    <t>Franci-co Xavier de Ochoa</t>
  </si>
  <si>
    <t>…do por el Sr. gobernador de la isla, con el cual salió para ek pueblo de la mar mandando la vanguardia de su división de 200 hombres. Por Real orden de 7 de este mes comunicada al Sr. D. Franci-co Xavier de Ochoa, decano del supremo consejo de las Ordenes, y presidente de la Real junta económica de las encomiendas vacantes de la orden de S. Juan, se dignó S. M., en obsequio de la ilustre memoria del difunto bailío Fr. Don Antonio Valdés y Bazan, y en atención á la súp…</t>
  </si>
  <si>
    <t>Ochoa, Josef Pascual de Mora y</t>
  </si>
  <si>
    <t>Josef Pascual de Mora y Ochoa</t>
  </si>
  <si>
    <t>…admitida el 16 del corriente á felicitar y besar la Real mano de S. M. por medio de sus comisionados el Dr. D.Tiburcio Saez, ca pellán de honor de S. M., y canónigo de Orihuela, y D. Josef Pascual de Mora y Ochoa, agente fiscal del Real y supremo Consejo de Hacienda; y ei primero de ellos dijo: „ Señor: Vuestros leales vasallos de Viilarobiedo rendidos á L. R. P. fe licitan á V. R. M. por la discreta elección de vuestro enlace, por la dichosa y justamente celebrada ve…</t>
  </si>
  <si>
    <t>Ochterlong</t>
  </si>
  <si>
    <t>…e. La junta general de accionistas de la compañía de la India en su sesión del 29 de este mes deliberó sobre la resolución tomada por los directores de ia misma compañía de dar al general Ochterlong una pensión anual de 1® libras esterlinas, á fin de que pueda jnantener con el debido decoro el título hereditario de baronet que le ha conferido el Príncipe Regente. Mr. Jackson se, opuso á esta resolución, pareciéndole extraño que se diese tal recompensa á…</t>
  </si>
  <si>
    <t>Ochterloni</t>
  </si>
  <si>
    <t>…que man da lord Exmouth, y esperamos que dentro de poco tiempo serán reducidos á la razón los berberiscos. Se han recibido noticias de la India hasta el 3 de Marzo. Según ellas el general Ochterloni empezó las hostilidades,dejando á sus espaldas tres plazas fuertes para dirigirse en derechura á la capital de Napaul. Ha habido ya al gunas escaramuzas, de cuyas resultas fue herido un oficial, y algunos solda dos muertos. Según noticias de la Jamaica, que l…</t>
  </si>
  <si>
    <t>Ocon, Juan</t>
  </si>
  <si>
    <t>Juan Ocon</t>
  </si>
  <si>
    <t>…go un par de zapatos: D. Manuel Alonso uno: D. Antonio Chalanzon uno:D. Santiago Treve uno: D. Juan Hechilla uno: D. Ricardo Muñoz uno: D. Marcos Unzue uno: D. Manuel García ur.o: D. Juan Ocon uno: D. Manuel Cono uno: D. Fernando Carrillo uno: D. Josef Cantalapiedr» uno: D. Tomas Medina uno: D. Josef Salinas uno: D. Fernando Acuña uno: D. Nicolás Suarcz dos: D. Josef Robles uno: D. Blas López cuatro: el mar ques de Villadangos dos : e! marques de C…</t>
  </si>
  <si>
    <t>Oderiz, Josef</t>
  </si>
  <si>
    <t>Josef Oderiz</t>
  </si>
  <si>
    <t>…la cruz de comendadores de la Real orden americana de Isabel la Católica: al capi tán D. Melchor Castaños, teniente de Artillería, la cruz de caballero de lá misma orden : al Dr. D. Josef Oderiz* teniente vicario general del egército, una canongía en Valencia ó Sevilla : al capellán D. Manuel Ortíz una canongía de Caracas, y al ilustre cabildo de la ciudad de Sta. Marta los honores de mariscal de cámpo de los Reales egércitos. EnlaArtyiada. Al marisc…</t>
  </si>
  <si>
    <t>Oginski</t>
  </si>
  <si>
    <t>…ovidencias benéficas del Monarca con los naturales de aquel antiguo gran ducado. Esta diputación, compuesta de los individuos de ias familias mas ilustres, estaba presidida por el conde Oginski, senador y consejero privado, uno de los patricios lithuanios mas distinguidos por su zelo en favor de la instrucción pública y de los adelantamientos de la universidad de Wilna. El Emperador recibió la diputación del modo mas afectuoso. AUSTRIA. Viena jp de…</t>
  </si>
  <si>
    <t>OH, Andrés</t>
  </si>
  <si>
    <t>Andrés OH</t>
  </si>
  <si>
    <t>…. Cirios por sus concertados enlaces, á no r,h e y r pr mentación de la ciudad de Gerona, el Sr. D. Narciso de Foji y do B.ijiJor*, harón de B ji, regidor perpetuo de la misma; el Sr. Don Andrés OH r, aLa.de Je la Real casa y corte, y el Dr. D. Jaime Ferrer, abogado del colegio de esn corte, y ases r de la sacra asamblea, Real cá mara priora! ycapíuilos provinciales de la órd^n de S. Juan dejcrusalen; de los cuales encargados particularmente para este o…</t>
  </si>
  <si>
    <t>OHer, Andrés</t>
  </si>
  <si>
    <t>Andrés OHer</t>
  </si>
  <si>
    <t>…rla acuda á la audiencia de dicho señor ei dia 29 cítfcorriente, dia señalado para su remate, con apercib:miento de que no haciéndolo se rematará en esta suma. Por providencia del Sr. D. Andrés OHer, deí consejo de S. M,, alcalde en su Real casa y corte, refrendada de D. Juan Antonio Díaz Noriega, escribano de pro vincia, se hace saber á los acreedores ausentes é ignorados al concurso de D. Josef Lara,,que concurran por sí 11 otra persona á su nombre con…</t>
  </si>
  <si>
    <t>Oiozaga, Josef</t>
  </si>
  <si>
    <t>Josef Oiozaga</t>
  </si>
  <si>
    <t>…Josef Resusta y D. Pe dro Micheo. A tenientes de Fragata los alféreces de Navio D. Josef Vargas MachucaD. Josef López Sagredo, D. Francisco Ro dríguez Gelabert, D. Mateo Albornoz, D. Josef Oiozaga, D. Francisco Gascón, D. Tomas Ciscar, D. Francisco Ristori y D. Santiago Soroa. A alféreces de Navio los de Fragata D. Luis Romero, D. Josef Sevilla, D. Félix Martínez, D. Ildefonso Yoldi, D. Josef del Solar, D. Juan de Lerena, D. Pedro Teruel, D. Ber nardo…</t>
  </si>
  <si>
    <t>Olañeta, P A. de</t>
  </si>
  <si>
    <t>P A. de Olañeta</t>
  </si>
  <si>
    <t>…de que desear. Dios guarde á V. E. muchos años. Cuartel general en Mondragon Fe brero 3 de 1816. = Excmo. Sr.=Joaquin de la Pezuela. = Excmo. Sr. virey marques de la Concordia. El coronel D. P A. de Olañeta al Excmo. Sr. D. Joaquín de la Pezuela. Excmo. Sr.: Tengo el honor de poner en noticia de V. E. el feliz ensa yo con que la vanguardia ha alejado á los rebeldes que se hallaban en esta vilia acaudilla Jos del perjuro Rodríguez-----Empeñado este en alucinar co…</t>
  </si>
  <si>
    <t>Olañeta, Pedro Antonio de</t>
  </si>
  <si>
    <t>Pedro Antonio de Olañeta</t>
  </si>
  <si>
    <t>4*3 zadas D. Pedro Antonio de Olañeta detalla la brillante victoria que los va lientes batallones ligeros de infantería, cazadores y partidarios, y el escua drón segundo de cazadores á su mando, consiguieron el 20 del corriente en el puntó de Venta y Media sobre el batallón de cazadores de á pie…</t>
  </si>
  <si>
    <t>Olañeta, Simón de</t>
  </si>
  <si>
    <t>Simón de Olañeta</t>
  </si>
  <si>
    <t>…lleres ni otro alguno de medicina á los que lo pretendan con otros literarios ganados en los expresados Reales colegios. El Rey nuestro Señor se ha servido premiar la fidelidad de D. Simón de Olañeta, confiriéndole la contaduría Real de. Diezmos y colecturía general de Anualidades del arzobispado de Charcas. A instancia del Gobierno del cantón de Lucerna, en la Confederación Suiza, se avisa á los que tuvieren noticia de la existencia ó fallecimiento de Jo…</t>
  </si>
  <si>
    <t>Olavarria, Eugenio</t>
  </si>
  <si>
    <t>Eugenio Olavarria</t>
  </si>
  <si>
    <t>herí Jos en el regimiento del Rey el subteniente D. Antonio Iilfzondo y el teniente D. Minué! Listeri, y en las milicias de Valencia el capitán Don Eugenio Olavarria: de tropa han muerto 34 individuos, 78 heridos, y dos contuso5:. „ No puedo menos de recomendar á V. S., para que se digne hacerlo con el Excmo. Sr. general en gefe, al digno teniente coronel D. Manuel Bau sa, mayor de la Union, que fue herido en el calor del…</t>
  </si>
  <si>
    <t>Olazaba, Juan Josef de</t>
  </si>
  <si>
    <t>Juan Josef de Olazaba</t>
  </si>
  <si>
    <t>itíy Olazabal y Reroíz y D. Juan Josef de Olazaba! y Gaitan , quienes eq un elegante discurso manifestaron á S. M. los nobles sentimientos de amor y lir delidad de que están animados aquellos habitantes, y la suma satisfacción que habían experimentado con la plausible noticia de tan gloriosos matrimonios. C…</t>
  </si>
  <si>
    <t>Olazabal, Francisco Florencio de</t>
  </si>
  <si>
    <t>Francisco Florencio de Olazabal</t>
  </si>
  <si>
    <t>…zquez Balles teros, ministro de la Audiencia de Aragón ; D. Josef Ruiz de Copegni, vocal que fue de la junta de Burgos; D. Ventura Tagle Soasaga, racionero de la catedral de Lima; D. Francisco Florencio de Olazabal, vecino de Sevilla; D. JosefPerez de Rosas, corregidor de Logroño; D. Juan Jabat, ministró plenipotencia io en Constantinopla; D. Josef Iznardi, ministro residente en Hamburgo; D. Josef Antonio Iparraguirre, cónsul en Bayona; D. Francisco Verges, canónigo de…</t>
  </si>
  <si>
    <t>Olegario</t>
  </si>
  <si>
    <t>…su bizarría , y en ser el primero que ha tenido la casualidad de obedecer la orden de abordar á cualquier buque que se presentase. También recomiendo á V. E. al alférez de fragata Don Olegario de los Cuetos, que mandó una balandra en el último mes. ,,El teniente de navio D. Francisco Topete ha tenido una parte muy di recta en el buen éxito del bloqueo, pues decidió con su manejo á los habi tantes de la isla Baru á que abrazasen el partido del Rey,…</t>
  </si>
  <si>
    <t>Olivan, Miguel</t>
  </si>
  <si>
    <t>Miguel Olivan</t>
  </si>
  <si>
    <t>…e felicitar i S. M. por su au gusto enlace, como comisionados por la ciudad de Tortosa, el Exorno. Se ñor marques de Villel, conde de Darnius, gentilhombre de cámara de S M. ,y el Sr. D. Miguel Olivan, capellán de honor de S. M., juez de su Real capilla, y prior mayor de la santa iglesia de Tortosa; de los cuales el segundo dijo: „Señor: La ciudad de Tortosa, que mereció á los augustos predecesores de V. M. el ser distinguida con los heroicos timbres de mu…</t>
  </si>
  <si>
    <t>Ollcr, Andrés</t>
  </si>
  <si>
    <t>Andrés Ollcr</t>
  </si>
  <si>
    <t>…id 4 de Julio. El dia 9 de Junio último la diputación de la ciudad de Cerrera, en el rincipado de Cataluña, compuesta del Excmo. Sr. duque de Frías y de Ucemarques de Villena &amp;c., D. Andrés Ollcr , del consejo de S. M., alcaldeSa, de su Real casa y corte, D. Benito losada Pernaldo de Qtirós, teniente coronel agregado al regimiento de Borbon, y D. Fausto M^sót, regidor perperuo de dicha ciudad, tuvo el honor de felicitar á S. M. con motivo de su contra…</t>
  </si>
  <si>
    <t>Oller, Andrés</t>
  </si>
  <si>
    <t>Andrés Oller</t>
  </si>
  <si>
    <t>…so Victorio de la Concha, para que dentro .dé; 30 dias primeros siguientes al en que se anuncie por gaceta comparezca por sí, ó por procurador conpcido con poder bastante, ante el Sr. D. Andrés Oller, .^el consejo de.S. M.,»alcaldq en su Real casa y corte, por la escribanía de provinl^!?;dc D.'Juan Antonio, Diaz Noriéga á contestar el traslado, que se le ha comuni cado de la demanda instaurada por parte- de D. Domingo Santacruz sobre la perte nencia de uñ…</t>
  </si>
  <si>
    <t>47° de un acreedor, acuda ante el Sr. D. Andrés Oller, del consejo de S. M., alcalde de su Real casa y corte, por la escribanía de provincia de D. Juan Antonio Diaz Noriega, que despacha el infrascrito en virtud de Real habilitación, dentro del térmi no de 30 dias contados desde esta fecha. .Habiendo sido extraí…</t>
  </si>
  <si>
    <t>…y escribanía da provincia de D. Luis López de Castro; con aper cibimiento que no compareciendo dentro de dicho término le parará el perjuicio que haya luí?.ir. Por procidencia del Sr. D. Andrés Oller, del Consejo de S. M., alcalde en su Real casa y corte, refrendada del infrascrito secretario, se han mandado vender i voluntad de su dueño una huerta como de cuatro fanegas de sembradura muy férti les: tiene cantidad de árboles frutales, olivos, peros, albar…</t>
  </si>
  <si>
    <t>Olmo, Manuel Diez del</t>
  </si>
  <si>
    <t>Manuel Diez del Olmo</t>
  </si>
  <si>
    <t>…o á los últimos tenedores, ignorándose el paradero de D. Vicente Alzaibar, D. Juan Montalbo, l&gt;. Juan Iluminad, D. Manuel Sánchez Cogolludo, cuyos endosos suenan hechos en Madrid; D. Manuel Diez del Olmo, en Sevilla; D. Josef Gallisans y L). Miguel González Villanueva, en Cádiz; se les cita, llama y emplaza para que en el término de 30 dias siguientes al en que se anuncie al público por la gaceta de esta corte, comparezcan á usar de dicho traslado conferido;…</t>
  </si>
  <si>
    <t>Olmos, Josef</t>
  </si>
  <si>
    <t>Josef Olmos</t>
  </si>
  <si>
    <t>…n la c^lle que llaman del nuevo, lir.d? con el mesón y cas;: de aquella parroquial, tasada en 11360 is. y 30 mrs. ■. otra en la Calle ¿el Peine, linde con una de las Animas, la de D. Josef Olmos y otra de Manuel Mcn-</t>
  </si>
  <si>
    <t>…la calle que llaman del Mesón nuevo, linde con el mesón y casa de aquella parroquial, tasada en 11360 rs. 30 mrs.: otra en la calle del Peine, lin de con una de las Animas, la de D. Josef Olmos y otra de Manuel Mendoza, en 5050 rs.: una tierra á ia entrada del sitio del Espinilio, de 3 fanegas y 6 celemines, en 1225 rs.: otra á la entrada del cerro del Aguila, de caber 4 fanegas poco mas ó menos; y otra en dicho sitio mas adelante, ambas en 1980; y…</t>
  </si>
  <si>
    <t>Olozaga, Salustiano de</t>
  </si>
  <si>
    <t>Salustiano de Olozaga</t>
  </si>
  <si>
    <t>…dica, y cuatro el qpe mas de la primera en- la tierna edad- de nueve á doce años. Primera clase.. D. Josef Serrano ,. D. Bernardino P'erez y D&gt; Manuel de las Heras. Segunda clase. D. Salustiano de Olozaga, D. Cosme Giménez de Anti1100,0. Cosme Cordon, O. Cayetano Barosa, D. Angel de las Heras, Don Manuel Vega , D. Roque Alonso, Di Felipe Saiuz Robles, D. Valentín. Alonso y D. Manuel Serrano-</t>
  </si>
  <si>
    <t>Oñate, Felipe de Payueta y</t>
  </si>
  <si>
    <t>Felipe de Payueta y Oñate</t>
  </si>
  <si>
    <t>…a D. Juan Antonio de Urraza, se ha señalado el domingo 24 del cor riente á ias 9 de su mañana en la posada de S. S. para celebrar junta general de acreedores á Ja testamentaría de D. Felipe de Payueta y Oñate, abogado que fue del ilustre colegio de esta corte, y agente fiscal de los tribunales de Cruzada y Ex* ¿usado, para que los que sean acudan por sí, ó por medio de sus legítimos repre sentantes; con apercibimiento de que en su defecto les parará el perjuicio q…</t>
  </si>
  <si>
    <t>Ondarza, Marcelo de</t>
  </si>
  <si>
    <t>Marcelo de Ondarza</t>
  </si>
  <si>
    <t>…las generales de Valores y Distribucion de mi Real Hacienda, y en la de la Dirección general de Remas Provinciales del Reino. Dada en Palacio á 19 de Julio de i8r6.=rYO KL REY.=Yo D. Marcelo de Ondarza, Secretario del Rey nuestio Señor , lo hice escribir por su mandado. =E1 Almirante Duque dé Veragua. = D. Josef Perez Caballero. — Francisco López de Alcaraz.^ Tomóse razón de esta Real cédula * escrita en las cuatro fojas antecedentes tji los libros de la Co…</t>
  </si>
  <si>
    <t>Onís, Luis de</t>
  </si>
  <si>
    <t>Luis de Onís</t>
  </si>
  <si>
    <t>…abían lle gado á dicho puerto de Aux-Cayes en cinco dias de,su crucero en las aguas de Cartagena, y con la noticia de que Cartagena habia sido tomada por los españoles europeos.__ D. Luis de Onís , ministro de S. M. Católica én los Estados-Unidos , ha sido formalmente reconocido, y el ministro americano nombrado para Madrid deberá embarcarse dentro de 15 ó 20 dias en una fragata de guerra americana para España.” Todo lo que lie creído deber an ticipar…</t>
  </si>
  <si>
    <t>Oniza, Francisco Antonio</t>
  </si>
  <si>
    <t>Francisco Antonio Oniza</t>
  </si>
  <si>
    <t>…e de Játiva : á D. Joser Perranaiz y Sánchez para la del Villar del Arzobispo: á D. Ra fael Calabuíg para la de la villa de Ay ora: á D. Tomas Oírra y Castelló para la de Jalón: á D. Francisco Antonio Oniza para la de la villa de Ri va roja: á D. Josef Giménez Vinerta para la de Catarro ja : para la de la villa de Relchite á D. Francisco Fernandez de Gal vez; y para la de la villa de Epila á D. Rafael Larraz. Igualmente se ha servido S. M. nombrar para la agenci…</t>
  </si>
  <si>
    <t>Oñoro, Francisco</t>
  </si>
  <si>
    <t>Francisco Oñoro</t>
  </si>
  <si>
    <t>…o concurso, yen la noche hubo iluminación general con repique de campanas. En el siguiente dia 24 con la misma asistencia y solemnidad se cantó la mi sa, en la que el orador Mtro, D. Francisco Oñoro, prebendado de la ma gistral y su maestro de ceremonias, predicó el sermón mas análogo á la fes tividad , correspondiendo ai alto concepto que disfruta; y en la tarde se sa caron en procesión por las calles de la ciudad las Santísimas Formas; conclu yendo la…</t>
  </si>
  <si>
    <t>Oquendo, Gonzalo Recio</t>
  </si>
  <si>
    <t>Gonzalo Recio Oquendo</t>
  </si>
  <si>
    <t>…f Gomara, Don Pedro Subviaga, D. Domingo de la Torre, D. Manuel García Tejada, D. Santiago Merino y D. Ignacio Yanci pueden ocurrir por sí ó sus poderes á cobrar de los bie nes de D. Gonzalo Recio Oquendo, marques de Real Proclamación, sus capitales y premios á que está comprometido en los autos que sobre el asunto le siguieron sus apoderados en la Havana, pues el actual marques ha satisfecho hasta el año de 1813 ia cantidad de 6o9 pesos correspondientes á dic…</t>
  </si>
  <si>
    <t>Or, León de</t>
  </si>
  <si>
    <t>León de Or</t>
  </si>
  <si>
    <t>…ente del regimiento de la Victoria, y D. Manuel Ramos, idem del de Barbastro, el grado de teniente: al brigadier D. Anto nio Cano, comandante general de una división del egército, D. León de Or tega, teniente coronel del regimiento infantería del Rey, D. Anselmo de Bierna, asesor general y auditor de guerra de la capitanía general del NuevoReino de Granada, y D. JosefMaría Ramírez, secretario de la misma , la cruz de comendadores de la Real orden am…</t>
  </si>
  <si>
    <t>Or, Sandalio de</t>
  </si>
  <si>
    <t>Sandalio de Or</t>
  </si>
  <si>
    <t>…lez: para la de Aimanza á D. Antonio Merino y Calvo: para la de Quesada á D. Dionisio González: para la de Palma del Rio á D. Cristóbal Benitez: para ía de Salas de los Infantes á D. Sandalio de Or ne y Garav : para la de Villalba de Alcor á D. Pedro Brenes Lobato: para la del Viso de Alcor á D. Antonio María de Rodas: para la de las Peñas de S. Pedro de nueva creación á D. Fernando Antonio Navarro : para la JsSacedon á D. Mariano Robledo: para la de Vi…</t>
  </si>
  <si>
    <t>Orachea, Ramón</t>
  </si>
  <si>
    <t>Ramón Orachea</t>
  </si>
  <si>
    <t>…ro 70. D Andrés Calvedo 40. D. Victoriano Vacas 46. D. Juan Ser na 40. D. Felipe Raguimido 40. D. Diego Veruega 44^ E! lectoral 23. Don Julián Ga.scueña 46. D Antonio Arguello 48. D. Ramón Orachea 48. Don Fernando Perez 2o. Sr. Corrales, racionero de aquella santa iglesia, 20. El cura de S. Juan 20. El beneficiado de Gracia 24. El cura de Sfo. Domingo 46. El cura de S. Nicolás 20. El cura de Santiago 100. El cura de S. Andrés 3a.</t>
  </si>
  <si>
    <t>Ordeix, Jaime</t>
  </si>
  <si>
    <t>Jaime Ordeix</t>
  </si>
  <si>
    <t>…O. Ensebio Domingo de Urqutjo, D. Josef Vidal y Garriga, D. Fran cisco Arger é hijos, D. Agustín Alcgrin, D. Domingo Perez é hijo, D. Miguel Alvarez de Pazos, D. 'Carlos Bazzoni y D. Jaime Ordeix, interesados en un vale Real de 600 pesos, creación de j.° de 'Setiembre, señalado con el núm. 2927, para que en el término de 30 dias, contados desde el 22 del pasado, acudan al referido juzgado y citada escribanía á deducir el derecho con que se crean asist…</t>
  </si>
  <si>
    <t>Ordenner</t>
  </si>
  <si>
    <t>…lincourt todo el negocio, teniendo á sus órdenes á Rosey y á Mehee; y mientras que el marchaba á OfTenburgo para hacer arrestar algunos emigrados de distinción, el general F. y el coronel Ordenner fueron despachados á Ettenheim con un oficial de la gendarmería, llamado Charlot, y un sargento del mismo cuerpo nombra do PferdsdorfF. Estos se informaron antes de lachabitación del Príncipe; de si eran muchos los oficiales que le acompañaban y sus criados;…</t>
  </si>
  <si>
    <t>Ordoño</t>
  </si>
  <si>
    <t>…las prisiones á esta santa iglesia. Señor.a Reinas. i.a La Sra. Reina Doña Urraca , esposa del Sr. Rey D. Alonso el iv. 2.a La Sra. Reina Doña Elvira , segunda esposa del Si. Rey D. Ordoño el 111. 3.a La Sra. Reina Doña Urraca, esposa del Sr. Rey Don Ramiro el 111. 4.a La Sra. Reina Dona Elvira, esposa del Sr Rey’ D. B.rmudo el 11. ^.a La Sra. Reina Doña Elvira, e'poi^a del Sr Rey D. Alonso el v. 6.a La Sra. R ¿riña Doña Ximena , espo*adel Sr.…</t>
  </si>
  <si>
    <t>Orduña, Pedro</t>
  </si>
  <si>
    <t>Pedro Orduña</t>
  </si>
  <si>
    <t>…dadas en Sevilla, la primera á favor del. Sr. D. Miguel de Tovia, endosada al Sr. D. Manuel María Adriaensens, y después á los,señores Gargollo» hermanos : la segunda Á favor del Sr. D. Pedro Orduña, y endosada para los de la primera: seis dadas en Cádiz á favor de los señores Gargollb y hermanos, endosados al Sr. D. Manuel María Adriaensens: una dada en Santiago á favor del Sr. Don Gregorio Suarez de Leis, endosada al Sr. D. Joaquín Antonio de Quintana;…</t>
  </si>
  <si>
    <t>Orellana, Esteban Antonio de</t>
  </si>
  <si>
    <t>Esteban Antonio de Orellana</t>
  </si>
  <si>
    <t>…uerte un general sentimiento en todos los buenos, que es el mayor premio que puede darse á la. virtud acá en la tierra. En virtud de providencia fecha 28 dé Marzo ultimo del limo. Sr. D. Esteban Antonio de Orellana, dél concejo y cámara de S. M. en el Real y supremo de la G uerra, y asesor general de tropas de casa Real y su juzgado privativo, se ha man dado citar, llamar y emplazar, como por el presente se cita ^ llama y emplaza: á to das y cualesquiera personas que se…</t>
  </si>
  <si>
    <t>Orellana, Estéban Antonio de</t>
  </si>
  <si>
    <t>Estéban Antonio de Orellana</t>
  </si>
  <si>
    <t>…que actualmente despacha D. Bernardo Diaz de Antoñaaa; apercibidos que de lo contrario les parará el perjuicio.que haya lugar. En virtud de providencia del 31 del pasado del limo. Sr. D. Estéban Antonio de Orellana, del Consejo y Cámara de S. M. en el Real y Supremo de la Guerra,y asesor general de todos los cuerpos y tropas de casa Real y su juzgado privilegiado se cita, Harina y emplaíi i todas y cualesquiera personas que se contemplen con de recho í los bienes quedad…</t>
  </si>
  <si>
    <t>Oren, Casimiro de</t>
  </si>
  <si>
    <t>Casimiro de Oren</t>
  </si>
  <si>
    <t>…terio de Huelgas, cerca de Burgos, á nombre de su comunidad y monasterios de su filiación, D. Pedro Díaz de la Peña y Ro zas , señor de Rivacardo, y teniente de fragata retirado ; D. Casimiro de Oren se y Rábago , abogado de los Reales Consejos, y del ilustre colegio de la cor te^ D. Lino Díaz de la Peña y Vera, subteniente del provincial de Bur gos; de los cuales el primero pronunció el siguiente discurso: „ Señor: Desde que la abadesa y comunidad de Hue…</t>
  </si>
  <si>
    <t>Oren, Lorenza de</t>
  </si>
  <si>
    <t>Lorenza de Oren</t>
  </si>
  <si>
    <t>…sensibilidad de su Real corazón admitiendo este obsequio. El día 7 del corriente fueron admitidos á cumplimentar á SS. MM. por su efectuado matrimonio, y comisión de la lima. Sra. Doña Lorenza de Oren se , abadesa del Real monasterio de Huelgas, cerca de Burgos, á nombre de su comunidad y monasterios de su filiación, D. Pedro Díaz de la Peña y Ro zas , señor de Rivacardo, y teniente de fragata retirado ; D. Casimiro de Oren se y Rábago , abogado de los Rea…</t>
  </si>
  <si>
    <t>Oria, Alejo de</t>
  </si>
  <si>
    <t>Alejo de Oria</t>
  </si>
  <si>
    <t>…S. M. por so con tratado y augusto enlace á nombre de la ciudad de Soria sus comisionados el mari cal de cam &gt;0 D. Francisco González del Cas tejón y el regidor de la misma ciudad D. Alejo de Oria; el primero de los cuales dirigió a S. M. el discurso siguiente: ,,Señor: A L R. P. de V. M. llenos del mas constante amor hácia su au gusta'Persona D. Francisco González del Castejon, caball. ro de Justicia del dicten de S. Juan, gentilhombre de cámara con e…</t>
  </si>
  <si>
    <t>Ornano</t>
  </si>
  <si>
    <t>…adas tantas pruebas de fi delidad. ' S. M. el Emperador de Austria ha dirigido una carta al senado de Franc fort dándole parte del casamiento de los Archiduques Carlos y Josef. El general Ornano, que estaba preso en la Abadía , ha sido puesto en libertad. : - ■ . Hace algunos dias que se ha puesto sin comunicación á los generales Drouet, Dehelle y Cápibrone, cuyos procesos están próximos á sentenciarse. Se dice que el general Belair ha sido preso y c…</t>
  </si>
  <si>
    <t>Orrantia, Francisco</t>
  </si>
  <si>
    <t>Francisco Orrantia</t>
  </si>
  <si>
    <t>…ias correrías fue apresar dos rebeldes, y recoger al gún ganado. En el segundo acompaña el parte que con fecha 8 de Octubre en el pue blo de Dolores le dirigió el infatigable gefe D. Francisco Orrantia, avisándo le que en el pueblo de S. Luis de la Paz apresó al cabecilla titulado coronel y comandante de la provincia del Potosí Antonio Valdés, con un capitán y otros tres, que mandó fusilar, quitándoles cuatro fusiles y un cañón de á 3. También le participa…</t>
  </si>
  <si>
    <t>Ortega, Jósef Julián de</t>
  </si>
  <si>
    <t>Jósef Julián de Ortega</t>
  </si>
  <si>
    <t>…e esta ciudad. _ .. ESPAÑA. Madrid 5 de Abril. &gt;....... El dia 31 de Marzo cumplimentaron á S. M. por su futuro matrimonio en nombre de la villa de Linares, en el reino de .J-aen, D. Jósef Julián de Ortega, corregidor de la misma, el limo. Sr. D. Gonzalo Jósef de Vilches, del consejo y cámara de S. M., el marques de Fontanar, D. Diego María Badil los, del supremo consejo del Almirantazgo, D. Diego Luis de Salido, brigadier de los Reales egérciros, y comandante…</t>
  </si>
  <si>
    <t>Ortega, Josef Julián de</t>
  </si>
  <si>
    <t>Josef Julián de Ortega</t>
  </si>
  <si>
    <t>044 Sr. D. Fernando vii; y su corregidor el Dr. D. Josef Julián de Ortega, reuniendo el ayuntamiento, propuso y se acordó unánimemente que una bri llante iluminación de todas las casas del vecindario, las consistoriales y pla za , con el repique general de campanas y la música de la parroquia preve nida al intento anunciasen tan pl…</t>
  </si>
  <si>
    <t>…y en seguida tuvieron igual mente la benignidad de adrniiir á besar sus Reales manos á una diputación de la villa de‘Linares, del reino de Jaén , compuesta de su corregidor el Dr. D. Josef Julián de Ortega &gt; y de’los regidores perpetuos D. Josef Ranz de Yanguas, D. Gregorio de Toaar y D. Manuel García de los Ríos , que en nombre de los vecinos de aquella villa que representaban prestaron á S. M. y A. R. los debidos homenages de respeto y fidelidad; y poco despu…</t>
  </si>
  <si>
    <t>Ortega, León de</t>
  </si>
  <si>
    <t>León de Ortega</t>
  </si>
  <si>
    <t>…uadrón de Fernando vn y dragones de la Union D. Manuel Villavicencio y D. Josef de Navas, y mis ayudantes dé «ampo el teniente coronel comandante del regimiento infantería del Rey Don León de Ortega y el alférez de dragones de la Union D. Juan Salazar. „ La ciudad presentaba el espectáculo mas horroroso á nuestra vista. Las calles estaban llenas de cadáveres que infestaban el aire , y la mayor parte de ios habitantes se encontraban moribundos por resulta…</t>
  </si>
  <si>
    <t>Ortega, Manuel de</t>
  </si>
  <si>
    <t>Manuel de Ortega</t>
  </si>
  <si>
    <t>…la de S. Hermenegildo, con decorado con las cruces deTalavera, segundo egército y estrella del Norte, y gobernador político y militar de la ciudad de Almagro y su partido, que con D. Manuel de Ortega,capitán retirado, y D. Rafael Bautista Cámara forma ban la diputación, á nombre de la cabeza y demas pueblos del campo de Calatrava. El primero arengó á S. M. y A. , quienes quedaron satisfechas del afecto y fidelidad de aquellos naturales: dicha diputación s…</t>
  </si>
  <si>
    <t>Ortega, Ramón de</t>
  </si>
  <si>
    <t>Ramón de Ortega</t>
  </si>
  <si>
    <t>Conrreras Torres y Espejo y D. Ramón de Ortega: otra del clero de la misma villa, representada por D. Luis Baile, prior de Ja parroquia de San Amador, y por los presbíteros D. Manuel Sánchez y Martos y D. Antonio Vénzala: otra de la villa de Mancha Real, del reino de Jaén, que represen taba su corregidor…</t>
  </si>
  <si>
    <t>Ortega, Salvador</t>
  </si>
  <si>
    <t>Salvador Ortega</t>
  </si>
  <si>
    <t>…bución de Real hacienda, importa 49117 en créditos: D. Diego de Huete 44: el Excmo. Sr. marques -de V¡Hadarías 10®: la congregación de clérigos menores 1692 : D.Josef Oga yar iqo: D. Salvador Ortega 80: los herederos de D. Pablo Portillo y 14mrs. : D. Juan Antonio Pitaluga ofrece, y tiene aceptado S. M., 2 5 50 rs. •que alcanza por valor de 200 encerados entregados para la artillería, 2 5 5c eti créditos: D. Pedro Talasac 66: D. Antonio Sánchez Peñuela i…</t>
  </si>
  <si>
    <t>Ortells, Manuel</t>
  </si>
  <si>
    <t>Manuel Ortells</t>
  </si>
  <si>
    <t>…ez de Hermcsilta con i 2ors.; para las Escuelas Pías: los Sres. D. Tomas Naúdin y D. Joaquín Ferraz y Cornel con ico rs. cada uno con destino á lasescuelas.de los arrabales ; y el Sr. D. Manuel Ortells con 60 rs. para un premio. : &gt; , Habiendo ocupado los premiados el lugar distinguido según costumbre, y cesado la música que solemnizaba .este tierno acto, el socio honorario P. Rafael del Angel Custodio, rector de las Escuelas Pías, leyó unos ende casílabos,…</t>
  </si>
  <si>
    <t>Ortiz, Demetrio</t>
  </si>
  <si>
    <t>Demetrio Ortiz</t>
  </si>
  <si>
    <t>…D. Rafael Larraz. Igualmente se ha servido S. M. nombrar para la agencia liscal de ía cámara á D. Josef Ruiz Barriopedro: para una plaza de oidor de la audiencia de Ex tremadura á D. Demetrio Ortiz , alcalde del crimen mas antiguo de ella: para esta resulta á D. Josef Antonio Serrano; y para otra de alcalde del crimen de la misma audiencia á D. Josef Olivas y Denia, oidor de la de Canarias, Asimismo se ha dignado nombrar S. M. para el corregimiento de l…</t>
  </si>
  <si>
    <t>Ortiz, Francisco García</t>
  </si>
  <si>
    <t>Francisco García Ortiz</t>
  </si>
  <si>
    <t>…l de Trebujena á Don Josef Sánchez Rollan : para el de Valencia de Don Juan á D. Manuel de Quevedo y los Ríos : para el de Atienza á D. Juan Antonio Vergara: para el de Jadraque á D. Francisco García Ortiz : para el del valle de Soba-Ruesga y Villaverde á D. Josef Muñoz Contreras: para el de Montejaque á Don Josef Moreno Ramírez : para el de Jodar á D. Florencio García Colmenero: para el de Setenil á D. Josef París y Romero, y reponer en el de Dueñas á D. Pedro…</t>
  </si>
  <si>
    <t>Ortiz, Francisco María</t>
  </si>
  <si>
    <t>Francisco María Ortiz</t>
  </si>
  <si>
    <t>…a de Curiel á D. Esteban Sánchez de la Iglesia: para la de Huelma á D. Antonia Josef Ximenez de Vega: para la de Peñaflor á D. Dionisio Rodríguez Gon zález: para la de Cogolludo á D. Francisco María Ortiz: para la de Algari-</t>
  </si>
  <si>
    <t>Ortiz, Gabriel</t>
  </si>
  <si>
    <t>Gabriel Ortiz</t>
  </si>
  <si>
    <t>…nales de ciencias naturales. De las mismas obras que el primer premio, excepto las traducidas, cons taban los segundos de agricultura, conferidos á D. Francisco Martínez Ro bles y D. Gabriel Ortiz. El tercero lo recibió D. Josef Eusebio de Quintanilla en las Observacio nes , obra del Herrera y Filosofía botánica indicadas. Por la clase de botánica médica se presentó á recibir el Apparatus medicamentorum de Murray, los nuevos Elementos de materia médica…</t>
  </si>
  <si>
    <t>Ortiz, Josef Alonso</t>
  </si>
  <si>
    <t>Josef Alonso Ortiz</t>
  </si>
  <si>
    <t>…e de Hijar en esta corte. Investigación de la naturaleza, y causas de las riquezas de las naciones: escrita en ingles por el Dr. Adam Smith , y traducida al castellano por el Lie. D. Josef Alonso Ortiz, con varias notas é ilustraciones relativas á España: segunda edición muy corregida y mejorada. Se hallará en la librería de Sojo, calle de las Carretas. Retrato del limo. Sr. D. Pedro de Alcántara Quevedo y Quintana, obispo de Orense, delineado por Maella, y…</t>
  </si>
  <si>
    <t>Ortiz, Juan de Padilla y</t>
  </si>
  <si>
    <t>Juan de Padilla y Ortiz</t>
  </si>
  <si>
    <t>…Campo: para la de Oáa a \j. Anto nio Rojo y Gandía: para la de Trigueros á D. Josef María Herrera: para la de Villarubia de los Ojos á D. Salvador Gramaje: para la Je Ayamot te á D. Juan de Padilla y Ortiz: para la vara segunda de teniente de asúrente de la ciudad de Sevilla á D Francisco Belloc y Navarro: para la de Yillamañan á D. Gerónimo Ti jerina: par¿ la del Real sitio y villa del Fscoral, juez privativo de aquellos Reales bosques, de los de la abadía de…</t>
  </si>
  <si>
    <t>Ortíz, Manuel</t>
  </si>
  <si>
    <t>Manuel Ortíz</t>
  </si>
  <si>
    <t>…s, teniente de Artillería, la cruz de caballero de lá misma orden : al Dr. D. Josef Oderiz* teniente vicario general del egército, una canongía en Valencia ó Sevilla : al capellán D. Manuel Ortíz una canongía de Caracas, y al ilustre cabildo de la ciudad de Sta. Marta los honores de mariscal de cámpo de los Reales egércitos. EnlaArtyiada. Al mariscal de campo D. Pascual Enrile la graii' cruz dé la Real orden</t>
  </si>
  <si>
    <t>Ortuño, Juan</t>
  </si>
  <si>
    <t>Juan Ortuño</t>
  </si>
  <si>
    <t>…o y D. Diego Rol dan : tanto estos como los ayudantes de ambos D. Juan Antonio Anunzarri, del primero, y D. Francisco Villavaso, del segundo.* el recomendable capi tán de egército D. Juan Ortuño, ayudante de órdenes mío; el teniente de partidarios D. Ignacio de la Riva; el subteniente de cazadores D. Josef María Valdés, y el de igual clase del segundo escuadrón D. Casimiro Peralta, se han hecho acreedores á las gracias que V. E. tenga á bien dispensa…</t>
  </si>
  <si>
    <t>Ortuzir, Francisco Durango y</t>
  </si>
  <si>
    <t>Francisco Durango y Ortuzir</t>
  </si>
  <si>
    <t>…ctos que convengan: en la inteli gencia que los individuos nombrados por S. M. para formar dicha Junta son D. Tosef de Imaz, Director general de Rentas» D. Juan López de Peñalver, D. Francisco Durango y Ortuzir, D. Manuel Benito Carranza, Vista de la Aduana de C:í iiz , y D. Vicente Iturriria» Vista de la de la Corana.” Lo que traslado á V. S. 1. de Real orden para que disponga el Consejo su cumpli miento en la parte que corresponde.” Publicada ftn el Consejo pleno…</t>
  </si>
  <si>
    <t>Orvallo, Pedro</t>
  </si>
  <si>
    <t>Pedro Orvallo</t>
  </si>
  <si>
    <t>…e la hospitalidad, é igualmente con la dotación que j ide. Tcndreislo entendido, y dispondréis su cumplimiento. = i&lt; uWicado de la Real mano. =. Palacio 2 de Setiembre de 1816.=:A D. Pedro Orvallo*. S. M. se ha servido nombrar para el corregimiento de Conil á D. Tuan Galban Valiente, y para el de Castrojeriz á L&gt;. Francisco Fernandez ina: para la vara de alcalde mayor de Algarinejo á D. Jo* f V-n-nz de T jada: para la de Crecente á D. Anselmo del Campo…</t>
  </si>
  <si>
    <t>Oses, Juan Ramón de</t>
  </si>
  <si>
    <t>Juan Ramón de Oses</t>
  </si>
  <si>
    <t>…la propia, á D. Francisco Antonio de Velasco, alcalde electo del crimen de ella: la fiscalía del crimen de dicha audiencia de México, vacante por trasla ción á la de Goatemala de D. Juan Ramón de Oses, á D. Josef Ignacio de Berrazuera ; la fhcalía del crimen de la audiencia de Cuba, por fallecimien to de D. Josef Antonio Zaldivia, á D. Josef Mariano García Valero: la fis calía de! crimen de la Real audiencia de Manila á D. Pedro Antonio García de Agui’a é…</t>
  </si>
  <si>
    <t>Osorio, Alvaro Navia</t>
  </si>
  <si>
    <t>Alvaro Navia Osorio</t>
  </si>
  <si>
    <t>…D. Bernardino de Rebolledo, y D. Luis de Góngora.= Cuaderno 6.°: D. Alonso Tostado, Luis Vives, D. Diego Hurtado de Mendoza, D. Gerónimo de Zurita, D. Diego de Saavedra Fajardo, y D. Alvaro Navia Osorio.—Cuaderno 7.0: D. Luis de Requesens, D. Bartolomé Leonardo de Argensola, D. Francisco Valles, D. Juan de Ribera, D. Juan de Palaíox y Mendoza, y el Mt ro. Fr. Luis Ponce de León. (iV continuará.') Por providencia de los Sres. del Real y supremo Consejo de Cas…</t>
  </si>
  <si>
    <t>Osorio, Felipe Carlos</t>
  </si>
  <si>
    <t>Felipe Carlos Osorio</t>
  </si>
  <si>
    <t>eorte á los 57 años y 4 dias de edad el Excmo Sr. D. Felipe Carlos Osorio, Castelví, Guzman, Mercader &amp;c., conde de Cervelion, de EIda y de Anna; marques de Villatorcas, de Nules, de Quirra y de Noguera; grande de Es paña; gentilhombre de cámara de S. M. con egercieio; caballero gran cruz de la Real y distinguida orden española de…</t>
  </si>
  <si>
    <t>Osorio, Francisco</t>
  </si>
  <si>
    <t>Francisco Osorio</t>
  </si>
  <si>
    <t>…oldan , Don Antonio Urzais y D. Juan Mesías: el de alféreces de fragata á los guardias marinas D. Juan Mozo, D. Segundo Díaz Herrera, D. Victoriano López Llanos, D. Josef Salcedo, D. Francisco Osorio , D. Manuel Ibarra, D. Ma nuel Ortiz Canelas y D. Francisco S* Pedro: el de teniente de fragSta gra duado en su clase de contra-maestre á D Sebastian Garrido:el de ayudante de contra- maestre de construcción á D. Manuel Abaida , capataz de carpin teros de Rib…</t>
  </si>
  <si>
    <t>Osorio, Joaquin de Navia</t>
  </si>
  <si>
    <t>Joaquin de Navia Osorio</t>
  </si>
  <si>
    <t>959 El t6 de Marzo último falleció en esta corte á los 66 años, n meses y 27 dias de su edad, y 54 años de servicios el Excmo. Sr. D. Joaquin de Navia Osorio , Miranda, Arguelles, Celles, Vigil, La Rúa, Lantoira y Montenegro; marques de Sta. Cruz de Marcenado ; vizconde del Puerto; ba rón de Bombon ; regidor perpetuo de la ciudad de Oviedo, y de los concejos de Siero y Labiana; álferez mayor del de Sariego en el p…</t>
  </si>
  <si>
    <t>Osorno, María Ignacia</t>
  </si>
  <si>
    <t>María Ignacia Osorno</t>
  </si>
  <si>
    <t>…ste Real establecimiento; desde cuyo dia hasta fin de Junio de 1817 continuarán los profesores explicando sus respectivas asignaturas en la calle del Barco, casa núm. 18, 19 y 20. Doña María Ignacia Osorno, viuda de D. Escolástico Simón de Castro, que mu rió en Veracruz en 21 de Octubre de 1802 sirviendo la plaza de oficial primero de aquella factoría en Tabacos, quedó con un niño de menor edad, hijo de ambos, que ahora tendrá la de 16 años, llamado D. Luis Gon…</t>
  </si>
  <si>
    <t>Osuna, Domingo</t>
  </si>
  <si>
    <t>Domingo Osuna</t>
  </si>
  <si>
    <t>…llcjo, á cuatro jóvenes, que adema? 4c los dichos conocimientos juntaban el de la gramática castella na ; y fueron Josef Calixto , Miguel Gutiérrez , Josef León y Pedro de Torre?. D. Domingo Osuna é Ines Morales recibieron un egerhplar de dicha gra mática y otro del catecismo. D. Nicolás Abreu , maestro de la escuela Real, que presentó mayor nú mero de niños premiados, recibió una medalla de oro de cuatro duros, y un egemplar ia colección de muestras d…</t>
  </si>
  <si>
    <t>Otero, Arttomo</t>
  </si>
  <si>
    <t>Arttomo Otero</t>
  </si>
  <si>
    <t>…**8045 rs;* y 1¿ otra en la calle de S. Pedio y Pab»o, rúm. 13 , manz. 314, que tiene dt si tio i688f- pies, tasad i en 49801 rs. vn., peí tenecientes ambas a la testamentaría de D. Arttomo Otero, se ha señalado el nía 3 de Agosto próximo a las 11 de su mañrr.a en la audiencia del ^r. L) JosefSa vador Lo &gt;ez del Pan, alcalde de asa y corte , y escribanía dr provincia de D Luis L«&gt;pez de Castra». La persona que qui siere hacer postura á di has casas lo…</t>
  </si>
  <si>
    <t>Oüer, Andrés</t>
  </si>
  <si>
    <t>Andrés Oüer</t>
  </si>
  <si>
    <t>…os terceras partes de su valor en metálico, y se ven de para hacer pago á acreedores, se ha señalado el sabido 22 del corriente á las 11, en punto de su mañana en la audiencia del Sr. D. Andrés Oüer, del consejo, d« S. M., alcalde en su Real casa y corte, y escribanía de pro\incia de D. Juan An tonio Ditz Noriega, donde se admitirán las mejoras que se lucieren. Quien quisiere hac^r postura ¿ dos casas sitas erl esta Corte , la una en la calle de! Limón,…</t>
  </si>
  <si>
    <t>Oviedo, Rodrigo de</t>
  </si>
  <si>
    <t>Rodrigo de Oviedo</t>
  </si>
  <si>
    <t>…verso y pTosa con la explicación de cada palabra, y en el orden con que deben traducirse, adviniendo el nombre, caso, declinación, número, género y demas partes de la oración: por D. Rodrigo de Oviedo, catedrático de buena versión de los Reales estudios de esta corte: 2 to mos en 8.°: su precio 14 rs. en pasta. Se hallarán en Ja librería de Bailo, calle de las Carretas. Poemas cristianos , en que se exponen con sencillez las verdades mas importan tes de la…</t>
  </si>
  <si>
    <t>Oxtiz, Josef Carlos</t>
  </si>
  <si>
    <t>Josef Carlos Oxtiz</t>
  </si>
  <si>
    <t>…D. Rafael de Blancas 60. D. Andrés Ramírez Sousa .60. D, Antonio Melero 60. D. Pablo del Valle 40 Juan Pastor 80. Antonio Féiíx Ortiz 80. D. Lorenzo Gavi lán 50. Miguel Romero 50. D. Josef Carlos Oxtiz 50. Antopio Nieto 50.</t>
  </si>
  <si>
    <t>P., L. G.</t>
  </si>
  <si>
    <t>L. G. P.</t>
  </si>
  <si>
    <t>…término sin hacerlo íes parará el perjuicio que haya lugar. Los Mártires, ó triunfo de la religión cristiana, que escribió en francés F. A. de Chateaubriand, y tradujo al español D. L. G. P. La inmensa erudición sagrada y profana que el autor hi reunido en esta obra, el modo admirable con que ha presentado en ella lo mas bello y lo mas grande de nuestra religión, las interesan tes aventuras y los castos amores de Eudoro y de la virgen Crmodocea, que…</t>
  </si>
  <si>
    <t>P., L. O.</t>
  </si>
  <si>
    <t>L. O. P.</t>
  </si>
  <si>
    <t>…ulado de Sanlúcar de Barrameda, á quien podrán dirigirse. Los Mártires, ó el Triunfo de la religión cristiana, que escribió en francés F. A. de Chateaubriand, y tradujo al español D. L. O. P. La inmensa erudición sagrada y profana que el autor ha reunido en esta obra; el modo admirable con que ha presentado en ella lo mas bello y lo mas grande de nuestra religión ; las intere santes aventuras y los castos amores de Eudoro y de la virgen Cimodocea, qu…</t>
  </si>
  <si>
    <t>Pa</t>
  </si>
  <si>
    <t>…s can inos inrrai sltables los arredran. ,,No puedo menos de recomendar á Y . E., para que lo haga i S. M., el mérito que ha contraido en esta gloriosa campaña el mariscal de empo Don Pa cual Er.rüe, mi 'efundo y £efe de estado mavo&gt;‘ del egército, que incan sable en loe trabajos ha contribuido mucho con su eticada v disposiciones i e*te tán feliz reMÓtn J--»; v me será muv sutbfactorio que S. M. premie el mé rito de este benemérito general,…</t>
  </si>
  <si>
    <t>…, plaza de S. Francisco» Nueva gramática de la lengua francesa y castellana, ó nuevo método para apren der el francés en poquísimas lecciones, y casi sin necesidad de maestro: por D. Pa blo Antonio NoveJJa, profesor de lengua francesa é italiana en esta corte, y del sey m’narío de S. Femando de Avapies. Se hallará á 16 rs. en rústica en la librería de Q 1 iros, calle de Atocha; en la de la viuda de Quíroga, cálle de las Carretas, y en la pue…</t>
  </si>
  <si>
    <t>Pa, Eugenio</t>
  </si>
  <si>
    <t>Eugenio Pa</t>
  </si>
  <si>
    <t>…rionuevo , y en la librería de Sojo, calle de las Carreta*. 'Sot.i. En la pacerá núm. 81 del sábado 29 de Junio de 1816, en la pá gina 6do, lúteas 7,8. 14 y 47, donde se habla del teniente D. Eugenio Pa~ j&gt;oll, debe leerse D. Eugenio Paliol. EN LA IMPRENTA REAL.</t>
  </si>
  <si>
    <t>Pa, Juan de</t>
  </si>
  <si>
    <t>Juan de Pa</t>
  </si>
  <si>
    <t>…era 120. D. Juan Carrillo y Aguayo 70. D. Miguel Mu ñoz 320. D. Rafael Juanicotena 1$. D. Andrés de León 100. D. Antonio Ru iz 60. D. Angel del Riego 100. Geraido de la Fuente ^o. D. Juan de Pa nlagua 60. El colegio de escribanos 1500. D. Juan Xerez Palomo 40. D. Ber nabé Notario 160 D. Juan Xerez y Montes 40. D. Francisco Carrillo del Valle, administrador general ,2411 rs. y 26 mrs. D. Antonio de Ramos y Ximenez 200 rs. D. Francisco Rafael González…</t>
  </si>
  <si>
    <t>Pacheco, Alonso</t>
  </si>
  <si>
    <t>Alonso Pacheco</t>
  </si>
  <si>
    <t>…ARMADA. Honores de médico consultor al primer médico-cirujano de la matrícula de Malaga D. Josef Salamanca. Honores de primer profesor médico-cirujano al médico-cirujano aprobado D. Alonso Pacheco* A segundo cirujano con la graduación de primero de la Real Armada al cirujano auxiliar D. Josef Rodríguez. Honores de primer cirujano al segundo jubilado D. Josef López.</t>
  </si>
  <si>
    <t>Pacheco, Lino</t>
  </si>
  <si>
    <t>Lino Pacheco</t>
  </si>
  <si>
    <t>…an dujo, O. Cándido Pulleiro, D. Joaquín Hernández, D. Eusebio Arróspide, D. Ramón González ,D. Domingo Balay y D. Vicente M itis.En trigonome tría esférica D. Francisco Galceran, D. Lino Pacheco, D. Marcelino Deus, y los citados Hernández, Arróspide, Bandujo , Pulleiro, González y Balay, feu cosmografía dichos Bajujo, Deus y Pulleiro. En geografía Hernández, Arróspide y Bandujo. En navegación Bandujo y Pulleiro. En la aplicación del álgebra á la geom…</t>
  </si>
  <si>
    <t>…andujo, Don Cándido Pulleiro, D. Joaquín Hernández, D. Eusebio Arróspide, D. Ra món González, D. Domingo Valay y D. Vicente Matis. En trigonometría esférica D. Francisco Gaiceran, D. Lino Pacheco, D. Marcelino Deus, y los citados Hernández, Arróspide, Bandujo, Pulleiro, González y Va lay. En cosmografía dichos Bandujo,Deus y Pulleiro. En geografía Hernán dez, Arróspide y Bandujo. En navegación Bandujo y Pulleiro. En la apli cación del álgebra á la geo…</t>
  </si>
  <si>
    <t>Pacheco, Luis</t>
  </si>
  <si>
    <t>Luis Pacheco</t>
  </si>
  <si>
    <t>…el dia, mandando las tropas el comandante de la vanguardia el coronel D. Francisco Tomas Mo rales , y las fuerzas de mar el teniente de navio D. Josef Laserna , y á sus órdenes el capitán D. Luis Pacheco, edecán del Excmo. Sr» capitán general de la provincia» La popa señaló nuestra expedición, y al momento dieron la vela desde Castillo-grande seis goletas y balandras con otros tantos bongos y lanchas de cañón , y aterrándose á la orilla de la isla atacaron á…</t>
  </si>
  <si>
    <t>…o caño neo á la inmediación del Caño del Loro, que du.ó de un modo horrorosd todo el dia¿ En él sufrieron nuestros buqües algunas averías, y experimenta mos la pérdida del espitan D. Luis Pacheco, ayudante del capitán generaí del Nuevo-Réino de Granada, sugeto de valor acreditado, y cuatro mari neros ; distinguiéndose mucho el teniente de navio de la Real armada D. Josefde la Sema , que mandaba nuestras fuerzas sutiles, manifestando sus co nocimientos…</t>
  </si>
  <si>
    <t>Pacheco, Pedro</t>
  </si>
  <si>
    <t>Pedro Pacheco</t>
  </si>
  <si>
    <t>…Valentín.Ximenez 20. D. Carlos Milre40. D. Esteban Gómez 20. D» Felipe Eneri y Seda 40. D. Gregorio Fernan dez 46. D. Fernando Larrondo 92. D. Martin Ocaf.a 20. D. Blas María 20. D. Pedro Pacheco 20. D. Fernando Prieto 24. D. Juan Ballesteros 20. Don Ruperto Molinero 16. D Josef Brochero 40. D Manuel Palomares 30. Don Pabio Aviles 23 D. Joaquín Delgado 69. D. Sebastian Zahonero 60. D. Pe dro Espina 11 5. D. Manuel García 46. D. Francisco Meneses 4. D.…</t>
  </si>
  <si>
    <t>Pacheco, Tomas</t>
  </si>
  <si>
    <t>Tomas Pacheco</t>
  </si>
  <si>
    <t>…que todavía duraba á las ocho de la mañana del 13 de Noviembre, y se empeño un combate naval en la bahía, en el cual, al qüerer abordar una de las goletas enemigas mi ayudante el capitán D. Tomas Pacheco con dos bongos de guer ra que mandaba, una bala de canon le partió el tobillo del pie derecho, ha biendo muerto á ios tres días. El oportuno arribo de seis obuseras y cañone ras de las del bloqueo por Pasa-caballos contuvo á los insurgentes, los cua les se re…</t>
  </si>
  <si>
    <t>Padilla, Salvador Giménez</t>
  </si>
  <si>
    <t>Salvador Giménez Padilla</t>
  </si>
  <si>
    <t>: S. M. se ha'servido tiombrhrapara el obispado dé.Popayao ,; vacante por renuncia de Dv Pedro Alvares^, á D. Salvador Giménez Padilla, cano? nigo de la santa iglesia catedral de Málaga. El Réy nuestro Señor en atención á los singulares méritos y servicios de D. Josef Guillermo de la Torre, secretario de cámara habilitado de la comi sión nombrada por S. M. para la sustanciación y determinaci…</t>
  </si>
  <si>
    <t>Padrón, Matías</t>
  </si>
  <si>
    <t>Matías Padrón</t>
  </si>
  <si>
    <t>…rae D. Esteban de Moya, capitán de la go leta corsario Ana de los apresados en la goleta la Popa (alias) el General Bermudez, procedente de Cartagena de Indias. A saber: ca pitan. D. Matías Padrón, ayudante del mayor general de marina del estado; segundo Joaquín Tasurt, capitán de corsario, mulato; medico D. Ignacio Carreño, capitán de infantería; subteniente D. Antonio Pauno; idem Francisco Urbina ; ídem Manuel Carreño; idem Ignacio Romero; un sargent…</t>
  </si>
  <si>
    <t>Paez, Juan</t>
  </si>
  <si>
    <t>Juan Paez</t>
  </si>
  <si>
    <t>…supremo de Hacienda , con honores y antigüedad del deCasrilla , de cano; D. Bernardo Riega, de este consejo y cámara ; el conde de Torremuzquiz , del consejo y cámara de Indias ; D. Juan Paez de la Cadena, del de Guerra; D. Diego María Badiilos, del de Almirantazgo; D. Santiago Masarnau y Torres , secretario de la mayordomía mayor; D. Francisco Escariad, contador general de la Real casa y patrimonio; D. Pedro de Vargas , teso rero general de la mi…</t>
  </si>
  <si>
    <t>Paez, Manuel</t>
  </si>
  <si>
    <t>Manuel Paez</t>
  </si>
  <si>
    <t>…clases de rudimentos y sintaxis, satisfaciendo á cuanto se les preguntó. En esta clase de latinidad se distinguieron D Josef Viejo* D. Francisco Martínez, D. Manuel Antonio Nuñez, D. Manuel Paez, Don Manuel Perez , D. Manuel Saiz, D. Manuel Valles, D. Manuel Manso, Don Gregorio Colmeneroy D. Francisco Arribas; los cuales dieron pruebas de su constante aplicación y adelantamientos, y de hallarse aptos para emprender otros estudios, por lo que merecier…</t>
  </si>
  <si>
    <t>Palacio, Diego de</t>
  </si>
  <si>
    <t>Diego de Palacio</t>
  </si>
  <si>
    <t>…natural del valle de Soba, montañas de Santander, que pasó á América mu chos años hace, y si en el caso de haber fallecido dejó hijos ó herederos legítimos, se servirá avisarlo á D. Diego de Palacio, del comercio de Madrid , que se halla en cargado de comunicarle cierto asunto que le interesa. Examen marítimo teórico y práctico, ó tratado de la mecánica, aplicado á la construcción, conocimiento y manejo de ios navios y demás embarcaciones: por D. Jorge J…</t>
  </si>
  <si>
    <t>Palacio, Ignacio Gil del</t>
  </si>
  <si>
    <t>Ignacio Gil del Palacio</t>
  </si>
  <si>
    <t>…Cárlos. ARTICULO DE OFICIO. Circular del Ministerio de Hacienda. El Sr. Secretario del Despacho de Estado me dice con fecha de 30 de Setiembre anterior lo que sigue: ,,Excmo. Sr.: D. Ignacio Gil del Palacio me ha dirigido desde Sevilla la representación adjunta, en que solicita que el Superintendente de la Real Fá brica de Tabacos de aquella ciudad le devuelva la libranza de 62481 reales y 27 maravedís que presentó , dada por D. Mateo Fabier, Intendente del egér…</t>
  </si>
  <si>
    <t>Palacios, Andrés Fernandez de Ranilla y</t>
  </si>
  <si>
    <t>Andrés Fernandez de Ranilla y Palacios</t>
  </si>
  <si>
    <t>…ibos de rédi os de acciones dtl R«ial empréstito de 160 millones de rs. : Doña Bárbara de Retz ha cedido 12800 rs. de los caídos que tiene por su viudtdad en el monte pió milirar: D. Andrés Fernandez de Ranilla y Palacios 2?coS rs. que tenia en créditos contra la Real Hacienda: Doña M^ua Ordeñes Acuña , vecina de Villaviciosa ,en el principado de Astúrias, por si y ñ nom bre de su hijo D. Juan Miguel de Htvia , 33136 rs. y 9 \: is. en retidos de suministros hechos ¿1 egército:…</t>
  </si>
  <si>
    <t>Palacios, Ignacio</t>
  </si>
  <si>
    <t>Ignacio Palacios</t>
  </si>
  <si>
    <t>…el Vicario, D. Josef Vicente Veigi, D Josef Alonso, D. Juan Vega, D. Manuel Rodríguez Almeiras j D. Cayetano Cruz. En geometría D. Josef Pujadas, D. Fermín Galceran, D Josef Sada, D. Ignacio Palacios, D. Tomas Diago, y los citados D Josef Perez y D. Juan Pablo Rodríguez. En trigonometría plana D. Manuel Ban dujo, O. Cándido Pulleiro, D. Joaquín Hernández, D. Eusebio Arróspide, D. Ramón González ,D. Domingo Balay y D. Vicente M itis.En trigonome tría esfér…</t>
  </si>
  <si>
    <t>128o sef Alonso, D. Juan Vega\ D. Manuel Rodríguez Almeiras y D. Cayetano Cruz. En geometría D. Josef Pujadas, D. Fermín Gaiceran, D. Josef Sada, D. Ignacio Palacios , D. Tomas Díago, y los citados D. Josef Perez y Don Juan Pablo Rodríguez. En trigonometría plana D. Manuel Bandujo, Don Cándido Pulleiro, D. Joaquín Hernández, D. Eusebio Arróspide, D. Ra món González, D. Domingo Valay y D. Vicente Matis. En trigonometría es…</t>
  </si>
  <si>
    <t>Palacios, Joaquín</t>
  </si>
  <si>
    <t>Joaquín Palacios</t>
  </si>
  <si>
    <t>…cho universal de la Guerra, del marques de Feria, su gentilhombre de ser vicio, y de D. Fernando Queipo de Llano, gentilhombre y secretario de S. A.; del genti hombre con entrada D. Joaquín Palacios, y del mayordo mo de semana D. Ramón Valdés: S. A. se dignó examinar y enterarse muy detenidamente del objeto y trabaj) en que se ocupa cada una de las seccio nes en que se halla subdividida U referida comisión; y con su caracterbtica bondad se dignó manifest…</t>
  </si>
  <si>
    <t>Palafbx</t>
  </si>
  <si>
    <t>…ara asistir al santo sacrificio de la misa, y otras para antes y después de la confesión y sagrada comunión: contie ne el oficio de nuestra Señora que compuso el limo, y venerable Sr. Palafbx, ador nado con estampas finas: un tomo en 8.°, á 10 rs. en pasta.z^TriduoSacro: colec ción de poesías en que se expresan los misterios de la pasión y resurrección de nuestro Señor Jesucristo, con estampas finas: un tomo en 8.°, á 10 rs. en pasta. Egercicio co…</t>
  </si>
  <si>
    <t>Palafox, Genaro de Perellós y</t>
  </si>
  <si>
    <t>Genaro de Perellós y Palafox</t>
  </si>
  <si>
    <t>…ritorios D. Aquilino Ibérnon y Don Josef María Martinez. POR LA SECRETARIA DE MAYORDOMIA MAYOR. Llaves de Gentileshombre s de camara con ejercicio Al Excmo. Sr. conde de Fuentes , D. Genaro de Perellós y Palafox, conde de Revillagigedo, marques de Albaida, conde de Casaflores, y marques de Barbará. Gentileshombres de cdmara con entrada Al Sr. D. Martin de Zaldivar, D. Juan Alonso Espino, conde de Calatrava, marques de Casa-boca , y marques de Corpas. Mayordomos de se…</t>
  </si>
  <si>
    <t>Palanco, Julián Sanz</t>
  </si>
  <si>
    <t>Julián Sanz Palanco</t>
  </si>
  <si>
    <t>…e Asís. Efectivamente se cantó el le Deum en el expresado dia 22 , hubo misa solemne con su Ma gestad patente y sermón alusivo al asunto, que predicó el cura párroco de esta villa D. Julián Sanz Palanco. La asistencia á esta solemnísima función de ambos cabildos eclesiástico y secular, su egemplar modestia y devoción, y la que observó este vecindario, edificaron á todos los asistentes: y estos leales vasallos de S. M., con su ale gría , demostraciones de júb…</t>
  </si>
  <si>
    <t>Paliol, Eugenio</t>
  </si>
  <si>
    <t>Eugenio Paliol</t>
  </si>
  <si>
    <t>…de las Carreta*. 'Sot.i. En la pacerá núm. 81 del sábado 29 de Junio de 1816, en la pá gina 6do, lúteas 7,8. 14 y 47, donde se habla del teniente D. Eugenio Pa~ j&gt;oll, debe leerse D. Eugenio Paliol. EN LA IMPRENTA REAL.</t>
  </si>
  <si>
    <t>Palmrston</t>
  </si>
  <si>
    <t>…con tribuciones ha servido para pagar las tropas, y la otra se ha depositado en la caja militar. Se adoptó la propuesta. CAMARA DE LOS COMUNES. Gastos del egército. A propuesta de lord Palmrston se formó en comisión la cámara para de liberar ulteriormente sobre los gastos del egército y votar las diversas canti dades propuestas. Durante la discusión, Mr. Ponsomby preguntó á cuanto subían los gas tos que hacia este reino por la custodia de Bonaparte e…</t>
  </si>
  <si>
    <t>Palomares, Andrés de Andrés García</t>
  </si>
  <si>
    <t>Andrés de Andrés García Palomares</t>
  </si>
  <si>
    <t>…de la Comisión deReemplazos los caudales que produzca. Comunicólo á V. S. de Real orden para su cumpli miento. Dios guarde á V. S. muchos años. Madrid 4 de Agosto de 1S16. El Dr. D. Andrés de Andrés García Palomares , confesor ordinario y ca pellán mayor del segundo mona&lt;terio de la Visitación de Sta. Marta, fue ele gido obispo de Albarracin en 20 de Agosto de 181 -í . _ Se consagró en 23 de Junio de 18x6 en la iglesia de clérigos menores titulada del Espíritu-San</t>
  </si>
  <si>
    <t>Palomino, Juan</t>
  </si>
  <si>
    <t>Juan Palomino</t>
  </si>
  <si>
    <t>…ar. Cuadernos del tomo segun dóle trages de España, del original del Ticiano, copiados y grabados por D. Josef Camarón, iluminadas á 20 r$. izrldem sin iluminar á 6. rz Retrato de D. Juan Palomino, grabado por D. Ton»s Engrúdanos, á 2 rs. zf Retrato de D. Rafael Mengs, a 2 rs zr:Trece estampas de varios'pensamientos, inventados y grabados al 3§ua fuerte por D. Ramón Fayeu, á 12 rs, conthiuará.') ,</t>
  </si>
  <si>
    <t>Palomo, Juan Xerez</t>
  </si>
  <si>
    <t>Juan Xerez Palomo</t>
  </si>
  <si>
    <t>…320. D. Rafael Juanicotena 1$. D. Andrés de León 100. D. Antonio Ru iz 60. D. Angel del Riego 100. Geraido de la Fuente ^o. D. Juan de Pa nlagua 60. El colegio de escribanos 1500. D. Juan Xerez Palomo 40. D. Ber nabé Notario 160 D. Juan Xerez y Montes 40. D. Francisco Carrillo del Valle, administrador general ,2411 rs. y 26 mrs. D. Antonio de Ramos y Ximenez 200 rs. D. Francisco Rafael González 60. Catalina Prados 6. D. Juan Cantarero 60. D. Joaquín Obrero…</t>
  </si>
  <si>
    <t>Pan, Jnsef Salvador López del</t>
  </si>
  <si>
    <t>Jnsef Salvador López del Pan</t>
  </si>
  <si>
    <t>…3 , manz. 543, que tiene de sitio 659*! P^s, tasada últimamente en 358693 rs. vn., lo egecutarj en el término de 30 días, contados desde el 6 del corriente, y por la audiencia del Sr. D. Jnsef Salvador López del Pan, del Conse-jo de S. M., su alcalde de casa y corte, y escribanía de provincia de D. Luis López de Castro, donde se admitirán las que hicieren siendo arregladas. Por providencia del Sr. D. Tadeo Soler, del Consejo de S. M. , alcalde decano de la Real casa y co…</t>
  </si>
  <si>
    <t>Pan, Josef López del</t>
  </si>
  <si>
    <t>Josef López del Pan</t>
  </si>
  <si>
    <t>…sitio 6597§ pies,, tasada en 358693 rs., y se ha rematado en 320'$ rs. á dinero metálico sonante. La persona que quisiere hacer mejora lo egecutará ante el señor alcalde de corte D. Josef López del Pan, y escribanía de provincia de Don Luis López de Castro, donde se admitirán siendo arreciadas; y se señala á las 12 de su mañana el dicho día 2 ó para el segundo remate en ia audiencia de dicho se ñor y expresada escribanía. Se venden dos C3sas y diferentes ti…</t>
  </si>
  <si>
    <t>Pan, Josef Salvador López del</t>
  </si>
  <si>
    <t>Josef Salvador López del Pan</t>
  </si>
  <si>
    <t>…istros hechos á las tropas; y S. M. | se dignado admitir es'a oferta , mandando que se publique en la gaceta f para satisfacción de los interesados. | En virtud de providencia del Sr. D. Josef Salvador López del Pan, del consejo</t>
  </si>
  <si>
    <t>…Mendiola á la de Cuba. _ 11 ■— 1 " — ■'»'■■■■■■■■ ■ .......- '■ ,'■■■' .■■■■■. !■ i ., i ■ ■. 111 ............. .............................v * 1,11 En virtud de providencia del Sr. D. Josef Salvador López del Pan, alcalde de su Real casa.y.corte.» pronunciada en 9 del corriente, y refrendada por el escriba no de provincia y comisiones de,la misma D. Luís López de Castro, se cita, llama y emplaza I todos jos acreedores de P. Ramón Antonio Sierra, que hasta el día ;no s…</t>
  </si>
  <si>
    <t>…efecto lo comunique á V. pa ra su inteligencia y gobierno en los casos que puedan ocurrir. Dios guarde á V, muchos años. Madrid 12 de Febrero de 1816. En virtud de providencia del Sr. D. Josef Salvador López del Pan, del consejo de S. M., alcalde de su Real casa y corte, pronunciada en 21 del corriente, y re frendada de D. Luis López de Castro, escribano de provincia y comisiones de la misma Real casa y corte, se cita, llama y emplaza por el preciso término de 20 dias, c…</t>
  </si>
  <si>
    <t>…a &gt; con destino á Puerto-Rico y la ííávana, conducirá lá-correspondencia de estas islas, Costa-firme y NuevaEspaña, y se-avisa al público para su inteligencia. Por providencia del Sr. D. Josef Salvador López del Pan , del consejo de S. M. alcalde.d*e casa y corte, dictada el día 6 del corriente, y refrendada por D. Luis Ló pez de Castro, escribano de Provincia y comisiones de la misma, se ha señalado para el remate de una.huerta de secano, con su casa de moderna planta,…</t>
  </si>
  <si>
    <t>…pa go. Quien quisiere hacer postura á ellas, ó cada una, acuda ante dicho señor y es cribanía , donde se instruirá de todo, y admitirán las que sean conformes. Por providencia del Sr. D. Josef Salvador López del Pan, del consejo de S. M., Alcalde de casa f corte , dada en 17 del corriente mes, refrendada del escribano de provincia D. Luis López de Castro, se ha mandado señalar para el día x.° de Julio próximo venidero ti remate de un oficio de receptor del número de los…</t>
  </si>
  <si>
    <t>…tellet y Ribera, condesa de Peraiada, y con las cualidades de pobres y parientes de dicha señora, para que los que •si fuesen se presenten á deducir su acción en el juzgado del Sr D. Josef Salvador López del Pan, del consejo de S. M., alcalde de su Real casa y corte, y escribanía de provincia de D. Luis López de Castro, en donde está radicada la testamentan*, lo que verifiquen en el preciso y perentorio término de 40 dias, contados de.de el • 1 del corriente,1 jr por…</t>
  </si>
  <si>
    <t>…compo nen 137846 rs., y dan por ellas 141346 rs. en vales Reales, a§9 rs. en intereses de estos, y 2500 rs. en dinero metáiúo. La persona que quisiere hacer mejora acu da ante el Sr. D. Josef Salvador López del Pan, del Consejo de S. M., sü alcalde de</t>
  </si>
  <si>
    <t>…ersonas que quieran hacer postura o mejora á dLha finca lo egecutenante el referido señor comisionado, jr por la escribanía de! número de FX Fran.isco Alcázar. Por providencia del Sr. D. Josef Salvador López del Pan, del Consejo de S. M., tu alcalde de casa y corte, pronunciada en 11 del corriente, y refrendada por el es cribano de provincia y comisiones de la misma D. Luis López de Castro, se ha se ñalado para el dia 31 ilel corriente á las 11 de su mañana en la audienc…</t>
  </si>
  <si>
    <t>…en ¡y¡3 rs. en vales, 259 en intereses de estos, y ic9en dinero metálico sonante. La persona que quisiere hacer mejora lo egecutará dentro del referido término en la audiencia del Sr. D. Josef Salvador López del Pan , del Consejo de S. M., alcalde de su Real casa y corte , y escribanía de provincia de D. Luis López de Castro, donde se admitirán las que hicieren. Real cédula que S. M. se ha servido expedir, en la que comete á su Consejo y Cáinarj de Guerra el conocimiento…</t>
  </si>
  <si>
    <t>…icareis á quien corresponda para su cum plimiento. = Rubricado de la Real mano de S. M.=En Palacio á 29 de Setiem bre de i8i6.=Al Duque Presidente del Consejo. Por providencia del Sr. D. Josef Salvador López del Pan , del Consejo de S. M., alcalde de casa y corte, dada en 27 del pasado, y refrendada del escribano de pro vincia y comisiones de la misma D. Luis López de Castro, se cita, llama y empla za á Francisco Hernández, para que en el preciso término de ío dias, cont…</t>
  </si>
  <si>
    <t>…ias, que dejaron á todos enteramente penetrados del mas dulce agradecimiento y admiración por las virtudes benéficas de un Príncipe que no se cansa de premiar. Por providencia del Sr. D. Josef Salvador López del Pan , del Consejo de S. M., su alcalde de casa y corte, dada en 26 del pasado, y refrendada por el escribano de provincia y comisiones de la misma D. Luis López de Castro, se ha mandado hacer saber al público la postura hecha á la casa que se halla en pública sub…</t>
  </si>
  <si>
    <t>…el Consejo de S. M., teniente primero de corregidor de esta villa para su remate efdia 30 del corriente á las 12 y inedia de su mañana en la audiencia de S. S. Por providencia dül Sr. D. Josef Salvador López del Pan, del Consejo de S. M., su alcalde de casa y corte, dada en 14 del corriente, y refrendada por el escribano de provincia y comisiones de la misma D. Luis López de Castro, se ha mandado señalar para el remate de la casa calle de la Montera, núm. 23, manz. 343,…</t>
  </si>
  <si>
    <t>…ales, el conde de la Roca, D. Antonio Gordonez, y el abad y cabildo de la capilla colegial del Señor Santiago del Castallar de Santistéban del Puerto. En virtud de providencia del Sr. D. Josef Salvador López del Pan, del Consejo de S. M., su alcalde de casa y corte, dada en 8 del corriente, y refrendada por el escribano de provincia y comisiones de la misma D. Luis López de Castro, se cita, llama y emplaza á todos los parientes del Sr. D. Francisco Ruiz de Vergara, del C…</t>
  </si>
  <si>
    <t>1256 Por providencia del Sr. D. Josef Salvador López del Pan, del Consejo de S. M., su alcalde de casa y corte, y refrendada por el escribano de provincia'y co misiones D. Luis López de Castro, se ha mandado señalar el dia 26 del corriente *■« j hora de las 1 2 de su mañana en la audiencia de dicho señor la celebración…</t>
  </si>
  <si>
    <t>…or medio de procurador con poder bastante á deducir la ac ción y derecho que les corresponda dentro del mismo termino, lo que ejecutarán en la audiencia oel señor alcalde de corlé D. Josef Salvador López del Pan, y es cribanía d ■ provincia y comisiones de D. Luis López de Castro, donde se hallan radie.'Jes las repetidas memorias. ' y Se halla vacante la plaza de médico de la villa y lugar de Yébenes, distante seis leguas de Toledo, cuyas dos poblaciones componen 650…</t>
  </si>
  <si>
    <t>…M. en las referidas ordenanzas. Madrid 6 de Diciembre de 1816; De acuerdo de la áulica y suprema junta = Z&gt;r. Tomas Bermudez, secreta rio de gobierno. En virtud de providencia del Sr. D. Josef Salvador López del Pan, del Consejo de S. M. , su alcalde de casa y corte, dada en 5 del corriente mes y año, y refren dada por el escribano de provincia y comisiones de la misma D. Luis López de Cas tro, se cita, llama y emplaza á todos los parientes que se conozcan con derecho ü…</t>
  </si>
  <si>
    <t>Panigo, Juan de</t>
  </si>
  <si>
    <t>Juan de Panigo</t>
  </si>
  <si>
    <t>…D. Alcjand o Gutiérrez, donde se admitirán las que se hiciesen siendo justas y arregladas, y manifestarán los referidos títulos. Se desea saber el paradero del capitán de egército D. Juan de Panigo, para co municarle un asunto que le interesa por D. Ventura de Imana, vecino y del comer cio de Cádiz, calle del Huólio alto, núm. 56. Real decreto é instrucción general de rentas Reales, aprobada por S.M. en 16 de Abril último, y mandada observar desde 1.® d…</t>
  </si>
  <si>
    <t>…su fallecimiento se si. va comunicarlo á D. Josef Lozano, escribano de la comandancia general de Rentas de la ciudad de Badajoz. Se desea saber el paradero del capitán de egército D. Juan de Panigo para comurica: c un asunto que le int 1 *sa por D. Ventura de Imaña, vecino y del co mercio de Cádiz, calle del Husillo alto, níim 56. Se desea saber el paradero iL D. Arturo Linch, que parece existió en las ciu dades de Sevilla y SanKicar de Barraméda por lo…</t>
  </si>
  <si>
    <t>Par, Juan Bautista</t>
  </si>
  <si>
    <t>Juan Bautista Par</t>
  </si>
  <si>
    <t>…i buque algunos marineros, y las pocas municiones que me permitían mis escaseces, y á las seis y media di la vela con Pedraza y Guer rero , avisándole al Sr. comandante general el brigadier D. Juan Bautista Par do, quien aprobó mi determinación : el viento era poco del O. N. O. siguiendo á ve a y remo hacia los islotes Frailes; á las siete de la noche encontré al fa lucho Resistencia, del pátron D. Francisco Manchado, el que me avisó que las goletas enemigas le habí…</t>
  </si>
  <si>
    <t>Páramo, Juan Gutieirez de</t>
  </si>
  <si>
    <t>Juan Gutieirez de Páramo</t>
  </si>
  <si>
    <t>…cia, y ademas 15 rs. con que debe contribuir al mes cada uno de los discípulos que tenga. Los pretendientes dirigirán sus solicitudes al secretario del ayuntamiento de dicha villa D. Juan Gutieirez de Páramo. La ciudad de Vitoria ha establecido tres escuelas gratuitas de primeras letras, de las cuales restan por proveerse dos, que son: la una del primer maestro, que ademas de estar perfectamente instruido en doctrina cristiana, leer, escribir, aritmética y gramát…</t>
  </si>
  <si>
    <t>Pardo, Manuel</t>
  </si>
  <si>
    <t>Manuel Pardo</t>
  </si>
  <si>
    <t>…Tío el Sermo. Sr. Iafante D. Antonio, salió del Real palacio de Madrid a las cuatro y media de la madrugada de este dia; y habiéndose detenido á comer en Aranzueque en la casa de D. Manuel Pardo, llegó á las siete de la tarde con toda felicidad á esta villa de Sacedon, donde continúan S. M. y A. sin la menor novedad en su importante salud. Nuestro amado Soberano y su augusto Tio han sido recibidos con las mas expresivas demostraciones de amor y lealt…</t>
  </si>
  <si>
    <t>Pareja, Fernando</t>
  </si>
  <si>
    <t>Fernando Pareja</t>
  </si>
  <si>
    <t>…nio Fernandez un par de zapatos: D. Manuel Rodríguez , boticario, uno: D. Tomas López 1 2 rs.: Don Josef Chicarro un par de zapatos : D. Fausto Escaja uno: D. Gerónimo Gó mez uno: D. Fernando Pareja uno: D. Martin Ginoves 10 rs.: D. Santiago Gallego un par de zapatos: D. Manuel Alonso uno: D. Antonio Chalanzon uno:D. Santiago Treve uno: D. Juan Hechilla uno: D. Ricardo Muñoz uno: D. Marcos Unzue uno: D. Manuel García ur.o: D. Juan Ocon uno: D. Manuel Con…</t>
  </si>
  <si>
    <t>Pareja, Patricio Ortiz de</t>
  </si>
  <si>
    <t>Patricio Ortiz de Pareja</t>
  </si>
  <si>
    <t>…o, ma riscal de campo de los Reales eeércitos ; el Dr. D. Alejandro Merino , regi dor perpetuo de la misma; D. Apolinar de Uruñuela , caballerizo de cam po ; D. Isidoro de Lara, y D. Patricio Ortiz de Pareja, hermanos y secrctirio de ella, tuvo el honor de besar las Reales manos de S M. y A. , y íelicitarles por sus realizados matrimonios; y el segundo de estos arengando á S. M. dijo : ,, Asi como las virtudes de V. M. servirán de egemplo á sus sucesores para ens…</t>
  </si>
  <si>
    <t>Parga, Jacobo María de</t>
  </si>
  <si>
    <t>Jacobo María de Parga</t>
  </si>
  <si>
    <t>…rtículo comunicado por la primera Secretaría de Estado. De Real orden se publica el aviso del nombramiento que se ha servido ha cer S. M. de su consejero en el supremo de Hacienda D. Jacobo María de Parga, el secretario de la embajada de S. M. en la corte de Francia D. Manuel Gqnzalcz Salmón, y el cónsul general en aauel reino D. Justo de Machado, para comisarios de la comisión mixta que debe entender en París en concur rencia con los comisarios franceses en a…</t>
  </si>
  <si>
    <t>Parra, Juan Martin</t>
  </si>
  <si>
    <t>Juan Martin Parra</t>
  </si>
  <si>
    <t>…ebastian Zahonero 60. D. Pe dro Espina 11 5. D. Manuel García 46. D. Francisco Meneses 4. D. Manuel Castellano 22. D. Antonio Salceda 10. D. Félix Mcdinilla 6. D. Manuel Parra 69. D. Juan Martin Parra 4. D. Francisco Carrasco 2. D. Vicente Ximenez 6. Josef Alcaide 8. Miguel Palacios 8. Antonio Garrigos 2. Marga rita Martin 20. Pueblos. Navas del Marques 1500 rs. Arévalo 3100. Cabreros 1937 rs* y 20 mrs. La tierra de la provincia , que entregaron sus procur…</t>
  </si>
  <si>
    <t>Parra, Manuel</t>
  </si>
  <si>
    <t>Manuel Parra</t>
  </si>
  <si>
    <t>…uín Delgado 69. D. Sebastian Zahonero 60. D. Pe dro Espina 11 5. D. Manuel García 46. D. Francisco Meneses 4. D. Manuel Castellano 22. D. Antonio Salceda 10. D. Félix Mcdinilla 6. D. Manuel Parra 69. D. Juan Martin Parra 4. D. Francisco Carrasco 2. D. Vicente Ximenez 6. Josef Alcaide 8. Miguel Palacios 8. Antonio Garrigos 2. Marga rita Martin 20. Pueblos. Navas del Marques 1500 rs. Arévalo 3100. Cabreros 1937 rs* y 20 mrs. La tierra de la provincia ,…</t>
  </si>
  <si>
    <t>Parrella, Jaime</t>
  </si>
  <si>
    <t>Jaime Parrella</t>
  </si>
  <si>
    <t>…FICIO. Circular del Min'sterio de Guerra, Con motivo del expediente promovido por Doña Magdalena de Urieta y Goicoa , viuda del segundo Teniente que fue de Reales Guardias Walonas D. Jaime Parrella , en solicitud de que se le expidiera el Real despacho de Capitán del mismo Cuerpo, cuyo ascenso le correspondió durante su perma nencia va c!a:e de prisionero de guerra en Francia, donde falleció, con ob jeto de obtener la viudedad respectiva á dicho empleo…</t>
  </si>
  <si>
    <t>Parreño, Josef</t>
  </si>
  <si>
    <t>Josef Parreño</t>
  </si>
  <si>
    <t>…teniente coronel D. Luis Clouet, ei subteniente de dra gones retirado D. Josef Mariano Zavala, D. Juan Josef Echezuria, vecino de Caracas; el coronel del Real cuerpo de ingenieros D. Josef Parreño; Don Juan Antonio de Rojas Queipo, racionero de la santa iglesia de Caracas; Don Domingo de Mier y Mioño, maestrante de Sevilla; D. Ignacio Canivell, consejero de Hacienda; D Josef Cesáreo de la Rosa, medio racionero de la santa iglesia de Guadalajara de Indi…</t>
  </si>
  <si>
    <t>Parrizzi</t>
  </si>
  <si>
    <t>…um, y en las plazas públicas se erigirán altares para colocar sobre ellos los cua dros dé los mas célebres pintores. Se dice que ha padecido mucho la Transfiguración de Rafael. El caballero Parrizzi, senador de Roma, dará festejos públicos: habrá corridas de caballos é iluminaciones: se distribuirán víveres GRAN BRETAÑA. Lénd es 21 de Enero. Escriben de la Guadalupe, con fecha de.3 de Noviembre, que habiendo</t>
  </si>
  <si>
    <t>Pas</t>
  </si>
  <si>
    <t>32 Por providencia del Sr. D. León de la Cámara Cano, del consejo de S. M., pri mer teniente corregidor de esta villa, refrendada del escribano del número D. Pas cual Seco, se ha señalado para el remate de dos casas sitas en esta corte, una en la calle de Cabestreros, nútn. 40 de la manzana 68, y otra en la de Santiago el Ver de, núm. 13 de la manzana 76, el dia 25 del corriente á las 1 2 de la mañana ent la audiencia…</t>
  </si>
  <si>
    <t>…de Canciller mayor» Aquilino Escudero. S. M. ha tenido á bien, conformándose con la consulta de la cámara de Indij«, aprobar la permuta que de sus respectivos destinos propusieron Don Pas ual Castaño, electo alcalde del crimen de la Real audiencia de México y D Josef Ayala , nombrado decano de la de Manila, concediéndoles que con j úe Castaño en esta de decano, y Ayala pase á servir la plaza del crím 1 de México con la antigii dad que correspo…</t>
  </si>
  <si>
    <t>Pasalodos, Tomas</t>
  </si>
  <si>
    <t>Tomas Pasalodos</t>
  </si>
  <si>
    <t>…nombre de la villa de Tordehumos, en Castilla la Vieja, el Excmo. Sr. duque del Infantado, presidente del Real y supremo Consejo de Castilla, y el coronel de los Reales egércitos D. Tomas Pasalodos, caballero de la Real y militar orden de S. Hermenegildo; y habiendo manifestado á M. los testimonios mas auténticos del acendrado amor y fidelidad de aque lla villa á sil soberana Persona, haciendo un grato recuerdo de los muchos hijos que hábia perdido en l…</t>
  </si>
  <si>
    <t>Pascali, Mariano Saldaña y</t>
  </si>
  <si>
    <t>Mariano Saldaña y Pascali</t>
  </si>
  <si>
    <t>…ernos y felices años.” El día todel presente tuvieron el honor de felicitar áS. M. y A., á nom bre del ilustrísim© ayuntamiento de la ciudad de Zaragoza, los regidores de la misma D. Mariano Saldaña y Pascali y D. Vicente Ibañez de Aoiz; en cuyo acto el primero dijo á S.JM. lo siguiente: ,,Señor: Vuestra fiel ciudad de Zaragoza, que durante dos sitios horro rosos contuvo las furias del opresor de V. M. y su monarquía, sin mas defen sa que unas débiles paredes de tierra, sirviendo de…</t>
  </si>
  <si>
    <t>Pascual</t>
  </si>
  <si>
    <t>…lo Morillo y Don francisco Montalvo, el primero general en gcfe del egércjtryexpedicionario, y el segundo capitán general del Nuevo-Reino de Granada , 3’ por el maris^tfjde ofmpo. D. Pascual. JE41 tile , segundo combante general, del egéycito</t>
  </si>
  <si>
    <t>Pascual, Agustín</t>
  </si>
  <si>
    <t>Agustín Pascual</t>
  </si>
  <si>
    <t>…corte en el término de 30 d jas, contados desde esta publicación. Los aspirantes que hayan estudiado en es ta. escuela se presentarán á firmar la oposición al profesor de la misma D. Agustín Pascual, secretario de la junta escolástica: lo que se anuncia ai público de orden dei Excmo. Sr. protector de este Real establecimiento. Instrucciones generales en forma de catecismo, en las cuales, por la sagrada es critura y la tradición, se explican en compendio…</t>
  </si>
  <si>
    <t>Pastor, Josef Ventura</t>
  </si>
  <si>
    <t>Josef Ventura Pastor</t>
  </si>
  <si>
    <t>…eis leguas. Darán razón en Madrid , casa del maestro vidrie ro Antonio Hervís, calle del Caballero de Gracia, núm. gp. Preceptos generales sobre las operaciones de los partos, por D. Josef Ventura Pastor, cirujmo que fue en esta corte del hospital general de la Pasión: segunda edición , corregirla y aumentada. Esta obra , fruto de 35 años de práctica, es quizá una de las mas instructivas de cuantas se han escrito en esta parte de la cirugía : es tá adicionada…</t>
  </si>
  <si>
    <t>Pastoret</t>
  </si>
  <si>
    <t>…del Insrituto. La academia Real de Inscripciones y de Buenas Letras se compone de los -individuos siguientes: Los señores Dacier, secretario perpetuo, conde Choiseul-Gouffier, el conde Pastoret, el barón Silvestre de Sacy, Gossellín, Daunau, Derales, Dupont de Nemours, el barón Reirihard, Guinguené, el príncipe deTalley'rand , el conde -Garan de Coulon , ei caballero Visconti, él conde Boissy de Anglas, Millin , el barón Degerando, Brial, Petit- Rad…</t>
  </si>
  <si>
    <t>Pastrana, Francisco</t>
  </si>
  <si>
    <t>Francisco Pastrana</t>
  </si>
  <si>
    <t>…l de medicina. Los memo.iales se dirigirán por Taiavera á los apoderados de los ayuntamientos D. Alfonso, de la Peña y D. Santiago Arroyo. El acreditado escritor de libros de coro D. Francisco Pastrana, que á últimos del siglo próximo escribió en esta corte para las iglesias de S. Isidro el Real, par roquias de S. Justo, S. Sebastian y Sta. Cruz, y conventos de la Merced calzada y S. Bernardina; y en el pasado año de 1815 ha escrito para los de Sto. Tomas ,…</t>
  </si>
  <si>
    <t>Patricio, Franciscb</t>
  </si>
  <si>
    <t>Franciscb Patricio</t>
  </si>
  <si>
    <t>…Dios inmortal padeciendo en carne mortal, ó la pasión de Cristo, ilustrada con doctrinas y reflexiones morales por el R, P. Guilíelmp Staníhprst;o, traducida del latín por él Dr.'D. Franciscb Patricio de'Berguizas, presbítero: Un tomo en 8.° marquilla', segunda edición'. Se hallará en el despacho de la imprenta Real á 16 rs, en1 pasta..-«.También se vende esta obra en latín, como lá publicó el autor, al inti mo precio. Vida y excelencias del glorioso patri…</t>
  </si>
  <si>
    <t>Pau</t>
  </si>
  <si>
    <t>…de la paz general, la corte de Suecia comi sionó al conde Gustavo Loewenhielm para felicitar &amp;‘S. M. el Emperador de Rusia , y este Monarca envió por su parte á Stockolmo al mayor general Pau lo dé Súchteien, hijo primogénito de su ministro plenipotenciario en Suecia.</t>
  </si>
  <si>
    <t>Pauno, Antonio</t>
  </si>
  <si>
    <t>Antonio Pauno</t>
  </si>
  <si>
    <t>…Matías Padrón, ayudante del mayor general de marina del estado; segundo Joaquín Tasurt, capitán de corsario, mulato; medico D. Ignacio Carreño, capitán de infantería; subteniente D. Antonio Pauno; idem Francisco Urbina ; ídem Manuel Carreño; idem Ignacio Romero; un sargento de morenos, moribun do, murió á su desembarco; Evaristo Poveda, de color, libre; Josef Parra, idem idem; María Damasa de la Concepción, esclava de Lasurt; Melchor* Arrocha, idem li…</t>
  </si>
  <si>
    <t>Payan, Elias Izquierdo y</t>
  </si>
  <si>
    <t>Elias Izquierdo y Payan</t>
  </si>
  <si>
    <t>…mplimien to. == Rubricado de la Real mano.=En Palacio á 30 de Octubre de idió.zs Al marques de Campo Sagrado.” Por providencia del tribunal del consulado de Cádiz, y escribanía de D. Elias Izquierdo y Payan, se cita, llama y emplaza á cuantos se estimen con derecho á los bienes de la dependencia de D. Juan Romero, para que en el término de seis meses ocurran á deducirlo con los documentos que les comprueben; prevenidos que transcursado dicho plazo sin haberlo he…</t>
  </si>
  <si>
    <t>Payoll, Eugenio</t>
  </si>
  <si>
    <t>Eugenio Payoll</t>
  </si>
  <si>
    <t>…ugada de hoy (21 de Marzo) emprendí mi marcha con diración á ellos, colocando á la cabeza de la columna la partida de húsares de Fernando vn, mandada por su valiente comandante el teniente D. Eugenio Payoll, á quien seguía la caballería del pais, toda bajo el mando de mi se gundo el capitán D. Tomas García, siguiendo yo con toda la infantería co mo inmediata reserva. En este orden, y con el mayor silencio, llevaba mi marcha, cuando á las cinco de la mañana se av…</t>
  </si>
  <si>
    <t>Paz, Francisco Cándido de</t>
  </si>
  <si>
    <t>Francisco Cándido de Paz</t>
  </si>
  <si>
    <t>…o prefijado se procede rá r£Qtj lps que se hallan legitimados á la que corresponda en beneficio de estos, y á Jo* demás les parará ej perjuicio pue haya lugar. Por providencia del Sr. D. Francisco Cándido de Paz, del epnsejo de S. M. y 3lcal.de.de su F.ea! casa y corte, $e ha mandado sacar á pública subasta por término de 30 dt^s, que han. principiad0 4 correr en 6 del corriente, una escribanía del núipero y juzgado de esta heroica villa, tasada en 165© rs. de vn. Qu…</t>
  </si>
  <si>
    <t>…ecen temente una.familia. La persona :que quisiere tratar: de la compra de las dos jmu» tas, ó de cualquiera de ellas separadas, podrá dirigirse en Málaga á D. Josef LaChambre. El Sr. D. Francisco Cándido de Paz, del consejó de S. M. ,y alcalde de su Real casa v corte, ha señalado el dia 4 de Abril próximo á las 12 de Ir mañana, en el oficio de prbviiiciá que égérce D. Simón Ruiz,, para el remate de una escribanía de número y juzgado de ésta heroica villa, tasada en…</t>
  </si>
  <si>
    <t>…atuitas para ñilbos pobres en todos los barrios de esta capital, á cargo de sus respectivas diputaciones exclusivamente como lo están las de niñas; con acuerdo de su presidente el Sr. D. Francisco Cándido de Paz, del consejo Real, y alcalde de la Real casa y corte, y del Sr. D. Fermín María de Uria Nafarrondo, caballero de la Real y distinguida orden española de Cárlos ni, censor nom brado por la Real junta general de Caridad para este cuartel, ha resuelto la referid…</t>
  </si>
  <si>
    <t>…e Diciembre. El dia 14 del pasado tuvieron la honra de besar ia Real mano de S. M., y de felicitarle á nombre de la villa de Ledesma y pueblos de su partido por »u augusto enlace, D. Francisco Cándido de Paz, alcalde de la Real Casa y Corte; D. Manuel Guerra, secretario honorario de S. M., y archivero de la •ecretaría de la cámara de Gracia y Justicia y del Estado de Castilla,y Don</t>
  </si>
  <si>
    <t>Paz, Manuel</t>
  </si>
  <si>
    <t>Manuel Paz</t>
  </si>
  <si>
    <t>…esta ofrece para conocerlos y distinguirlo1*; indico lo mucho que la mineralogía debe sobre esta materia al célebre Haiiy , y manifestó los usos y aplicaciones del granate. El 15 D. Manuel Paz expuso las bases de la clasirtcacion de los minerales y los caracteres que corresponden á los cuatro grupos naturales de piedras, sales, metales y combustibles ; en seguida ex plicó la naturaleza orictognóstica y química del diamante, y las poderosas razones…</t>
  </si>
  <si>
    <t>…tánica de Linneo he chas por Palau. El segundo premio de la misma clase, que consistía en el Icones y tra ducciones citadas, y en los Anales de Ciencias naturales, fue conferido á D. Manuel Paz; y los dos terceros, de los mismos Anales y traducciones, á D. Joaquín Amor y á D. Sebastian del Peral. A D. Antonio Gimbernat y Grassoty D. Manuel de Riaza entregó S. E. los primeros premios de agricultura, compuestos de las Observaciones sobre la historia n…</t>
  </si>
  <si>
    <t>Pazos, Micuel Alvarez de</t>
  </si>
  <si>
    <t>Micuel Alvarez de Pazos</t>
  </si>
  <si>
    <t>…, llama y emplaza a D. RaLel Ignacio Fantoni, D. Eusebio Domingo de Urquíio, D. J &lt; se f Vidal y Garri ga, D. Francisco Arger é hi,ps, D. Agustín Alecrín, D. Domingo Pérez é hijo, D. Micuel Alvarez de Pazos^D. Carlos Buzzoni, D. Josef Ventura Al» ¡, D Fidel M» rago y D. Jai me Ordeig, tenedores de un vale Real de 6c o pesos, creación de i.° de Setiembre, nám. 2927 , para que en el término de 30 dias, coníaJos desde el 2a de Agosto último, acudan al referido juzg…</t>
  </si>
  <si>
    <t>Pazos, Miguel Alvarez de</t>
  </si>
  <si>
    <t>Miguel Alvarez de Pazos</t>
  </si>
  <si>
    <t>…ta, llama y emplaza á D. Rafael Ignacio Fantoni, O. Ensebio Domingo de Urqutjo, D. Josef Vidal y Garriga, D. Fran cisco Arger é hijos, D. Agustín Alcgrin, D. Domingo Perez é hijo, D. Miguel Alvarez de Pazos, D. 'Carlos Bazzoni y D. Jaime Ordeix, interesados en un vale Real de 600 pesos, creación de j.° de 'Setiembre, señalado con el núm. 2927, para que en el término de 30 dias, contados desde el 22 del pasado, acudan al referido juzgado y citada escribanía á ded…</t>
  </si>
  <si>
    <t>Pcñalver, Juan López de</t>
  </si>
  <si>
    <t>Juan López de Pcñalver</t>
  </si>
  <si>
    <t>…r-ito francés en dicha campaña: por Eugenio Labaume, gefe de escuadrón, caballero de la legión de honor y de la corona de hierro: tradu-ida il c ?stel ano por la cuaba edición por D. Juan López de Pcñalver. De est# obra se !:n h:-ho cubro ediciones consecutivas en Paris en menos de tres años; j aten ii,.n lo a que contiene uno» sucesos tan extraordinarios y maravillosos, que tan to han infinido en li suerte de la Europa, como igualmente á que presenta grande* l…</t>
  </si>
  <si>
    <t>Pcrez, Santiago</t>
  </si>
  <si>
    <t>Santiago Pcrez</t>
  </si>
  <si>
    <t>…alcalde de casa y corte, refrendada de D. Cárlos Rodríguez de Moya, se ha man. dado traer al pregón por el término de la ley una vara de alguacil de casa y corte, que perteneció á D. Santiago Pcrez, estimada en 74O rs. incluso el pago que se hizo del real valimiento, dotada con 11 rs. diarios, haciendo el servicio, y libre de toda carga. Quien quisiere hacer postura á ella acuda por dicha escribanía, que se admitirán las que se hicieren siendo arreglada…</t>
  </si>
  <si>
    <t>Pe</t>
  </si>
  <si>
    <t>…los tribunales de justicia, y honor á los principales empleos eclesiásticos y seculares del reino; por Real resolu ción á consulta de esta suprema junta., comunicada por el Excmo. Sr. D. Pe dro Cevallos , primer secretario de Estado y del Despacho, ha tenido á bien aprobar el reglamento que deberá observarse en los expresados colegios, conforme al espíritu dé sus venerables fundadores, y á lo que exige la varie dad y circunstancias de los tiempo…</t>
  </si>
  <si>
    <t>…i, O. Jaime Sa la-, D. V ¡cente Kna, D. Tomas Ma teo y D. Bienvenido Cortés, seminarútas en el mfmo colegio, D. Mariano Nogués, D Pedro Nogués , D Pedro Ortiz, D. Joaquín Miranda, D. Pe dro Navarro, D. Juan Josef Lahorda, D- Lorenzo Biscasillas, D. Antonio Ttmprado, D. Martin Jucez, D. Josef La&gt;, D. Josef Martin, D. Manuel Laredo, D. Gaspar Gailat, D. Inocencio Maicas, D. A: mnio Cebollero, D. Pedro Juste y D. Francisco López. Dio principio…</t>
  </si>
  <si>
    <t>…a que S. M. y A. viesen claramente desde ella el todo del simulacro. Al subir á esta altura se adelantó á recibir á S. M. con los oficiales no empleados y con el mariscal de campo D. Pe dro Giraldo, gefe principal del establecimiento, el ingeniero general , quien tuvo la honra de poner en sus Reales manos un mapa geográfico y un pla no topográfico del país y terreno, que se suponían servir de teatro i las ope raciones estratégicas y tácticas…</t>
  </si>
  <si>
    <t>…rnando Prieto 24. D. Juan Ballesteros 20. Don Ruperto Molinero 16. D Josef Brochero 40. D Manuel Palomares 30. Don Pabio Aviles 23 D. Joaquín Delgado 69. D. Sebastian Zahonero 60. D. Pe dro Espina 11 5. D. Manuel García 46. D. Francisco Meneses 4. D. Manuel Castellano 22. D. Antonio Salceda 10. D. Félix Mcdinilla 6. D. Manuel Parra 69. D. Juan Martin Parra 4. D. Francisco Carrasco 2. D. Vicente Ximenez 6. Josef Alcaide 8. Miguel Palacios 8.…</t>
  </si>
  <si>
    <t>Pe, Jrsrf</t>
  </si>
  <si>
    <t>Jrsrf Pe</t>
  </si>
  <si>
    <t>…ti P. P. 1. 'ras VLtu'.e *1 c sv.i. Cuadeir.i* y.°: D. llago de Mr imada , el car-te nal Silíceo, Partí -’orré ele C¿ r^r ?a, 1). A? ionio Covartubias v Leiva , Antea:.o Fcie/’, ) D. Jrsrf Pe! ur.raf u. c. rro 1 o : D. Pedro González de M. mloza, D. Meh fum de Macan..? , h r. I ra-c nc- &gt; X imene/. de Cisnerc s, Vasco N.:fmz de VjIu-m, D. J sef Carrilio de Albornoz , y li wiiiji'iylsj de AUrcon. »— C^iiÁviCrTiO i i * ^u*iu íltc* lídrrkiindo ciw</t>
  </si>
  <si>
    <t>Pecarrere, Juan</t>
  </si>
  <si>
    <t>Juan Pecarrere</t>
  </si>
  <si>
    <t>…argando particularmente la responsabilidad de la ejecución, si se encontrasen en elbergantin, á su Capi tán D. Manuel Arigunaga, y al propietario del mismo buque, embarcado en él, D. Juan Pecarrere.” Lo traslado á V. S. I. de igual Real orden para su inteligencia , y que se comuniquen las correspondientes á su cumplimien to." Comunico á V. S. esta Real resolución para inteligencia de ese Tribunal y su exacto cumplimiento, y á fin de que con el propio ob…</t>
  </si>
  <si>
    <t>Ped</t>
  </si>
  <si>
    <t>…n esta corte, st brc peí tendnria de unas acciones del Real empréstito dé 160 millones, y otras de la compañía de libreros de e¿tá corte; y habiendo resultado el fallecimiento de! D. Ped o Tornas , y practicada varius diligencias para averiguar el paradero de sus hereden s, ü fin de que evacúen y contesten el traslado qué les está conferido , $e ha mandado per el auditor de Ma rina, én providencia de íS dél corriente, se'cite, llamé y empláce…</t>
  </si>
  <si>
    <t>…el R¡y. La Cámara, después de una corta discusión , adoptó la propuesta. • 1 ■ 1 . ESPAÑA. Boxja jo de Noviembre. El corregidor por S. M. de esta ciudad de Borja de voto en cortes D. Ped ro Martínez de Baños, y su muy ilustre ayuntamiento, que han mirado siempre con el. mayor zelo y esmero la educación públicade terminaron que se .presentasen.;á examen público los alumnos de la es cuela de latinidad á cargo deí-preceptor D. Antonio Arilla; y…</t>
  </si>
  <si>
    <t>PedraGómez, Juan</t>
  </si>
  <si>
    <t>Juan PedraGómez</t>
  </si>
  <si>
    <t>…s supernumerarias i A D. Antonio Colomer de Prades, natural de Morelfe; D. Vicente María Aguiar , dignidad de la catedral de Mondoñedo ; D* Juan JosefiFagoaga, ve cino de México ; D. Juan PedraGómez, natural de Talavera de la Reina; D. Francisco de Paula Aguilar y Nava , regidor de la ciudad de Ubeda; Don</t>
  </si>
  <si>
    <t>Pedraza, Vicente</t>
  </si>
  <si>
    <t>Vicente Pedraza</t>
  </si>
  <si>
    <t>…omandan te de la goleta de S. M. General Morillo con esta fecha me dice lo que sigue: „A las cuatro de la tarde del dia de ayer llegó al puerto de Pampatar la ca ñonera del patrón D. Vicente Pedraza con el aviso de haber avistado en el mismo dia dos goletas de velacho y una balandra sospechosas, con dirección á la cabeza del norte de la isla, por lo que inmediatamente dispuse se habí-</t>
  </si>
  <si>
    <t>Pedro</t>
  </si>
  <si>
    <t>…la audiencia de Sevi lla , al mariscal de campo marques de Castelldosrius. Y se ha dignado S. M. conceder honores y antigüedad de alcalde de casa y corte, con el sueldo de tal, á D. Pedro de la Puente, nombrándole corregidor político de la ciudad de Lorca, y concediéndole la administración y juzgado de la empresa de riegos y pantanos de aquella ciudad: honores de alcalde del crimen de la audiencia de Extremadura á Di Alfonso Astudillo López, c…</t>
  </si>
  <si>
    <t>…olítico dependiente privativa mente de mi primera secretaría de Estado y del Despacho, uniendo a el la empresa, y nombrando para ambos destinos al oidor de la audiencia de Mé xico D. Pedro de la Puente, á quien concedí ai mismo tiempo los honores, antigüedad y sueldo de alcalde de mi Real casa y corte. Para que tenga el mejor efecto esta disposición , y con presencia del infor me que el coronel D* Antonio Prat, comisario de la inspección de cam…</t>
  </si>
  <si>
    <t>…triotas-,que. hubieren -muerto en defensa; de la justa causa de la pación, ha cabido en suerte: primer extracto de la de este dia á Doña María de la Encarnación Rodríguez, hija de D. Pedro, capitán que fue del regimiéntale carderíade Santiago , muerto en el cam po del. honor. , La extracción siguiente secgecutaráel dia 26 de. Marzo. .. artículo de ófíciq. , El dia 19 del corriente tuvo-el honor el Consejo de Estado de besar la mano al Rey nuest…</t>
  </si>
  <si>
    <t>…ndiando y cometiendo toda clase de delitos, por cuya razón envié para socorrer este pueblo la única fuerza disponible que tenia de 62 hombres, al mando del teniente de Ja Albuhera D. Pedro, Mateos, á quien di mis instrucciones: avisé á V. E. desde Gegua su retirada , y. que me ponía en marcha para atacarles en Ne chí el 21 al amanecer. Supe que su fuerza consistía en 200 hombres con al gunas piezas de artillería y buques armados, cerradas las a…</t>
  </si>
  <si>
    <t>…ender con su augusta Real presencia, á las 7 de la mañana d 1 dia 3 del pasado, la f.brica de tiradores de oro, propia de los Sres. Uñarte y compañía, sita en esta corte, calle de D. Pedro, nú*iero i, ón mas acoim-añamiento que el capitán de su guardia duque de Ai#» gon, y de su guardaropa D. Pedro Collado.</t>
  </si>
  <si>
    <t>…a, hija del Sto. Rey D. Fernando el iii , de tan extraordinaria virtud que no quiso ser abadesa: Doña Blanca, hija de D. Alonso iii, Rey de Portugal: Doña Blanca, hija del Infante D. Pedro: Doña Dulce, hija de los P^eyes D. Alonso y Doña Teresa: Doña Leonor, hija de D. Fernando el iv: Doña María de Aragón, hija de D. Fernando v de Aragón: Doña Elvira , hija de los Reyes de Navarra: Doña Leonor de Castilla, nieta de D. Pedro el Jus ticiero: Doña…</t>
  </si>
  <si>
    <t>…sejo de la Cámara á D. Antonio María Izquierdo, secretario de Cámara del Sermo. Se ñor Infante D. Cirios María, como gran prior de S. Juan: honores de mi nistro del Consejo Real á D. Pedro de la Puente, corregidor político de la ciudad de Lorca; y á consulta de la Cámara se ha servido S¿ M. conceder honores de ministro del mismo Consejo Real á D. Tadeo Soler y Cases, al calde de su Real Casa y Corte. S. M. se ha servido conceder á la comunidad…</t>
  </si>
  <si>
    <t>Pedro, Manuel de León Santos de San</t>
  </si>
  <si>
    <t>Manuel de León Santos de San Pedro</t>
  </si>
  <si>
    <t>…Ruiz Castro y Caballero: para la última plaza de alcalde del crimen de Galicia á D. Mi guel Antonio Vigil de Quiñones: para la de ministro del Consejo Real, va cante por muerte de D. Manuel de León Santos de San Pedro, árD. Josef de Montemayor, regente de la audiencia de Mallorca: para la capitanía ge</t>
  </si>
  <si>
    <t>Pedros, Gerónimo</t>
  </si>
  <si>
    <t>Gerónimo Pedros</t>
  </si>
  <si>
    <t>…o Portillo y Clemente: para la de Estadilla, en la ba ronía de Castro, á D. Casimiro Hernández: para la de Betera á D. Francis co Albero y A Ibero: para la de Vi llama re liante á D. Gerónimo Pedros: pa ra la de Pedrcguer á D. josef Cata i á y Cruañes; y para Ja de Bcnmjó ¿ D. Joaquín Llacer y Cortes. Continuación de las estampas que se venden en la Real Calcografía, sita «n la imprenta Real. Estampas en medio pliego de marca mayor. Jesús N.izarero, como…</t>
  </si>
  <si>
    <t>Peiletan</t>
  </si>
  <si>
    <t>…Lacepede, Ri chard , Pinel, el caballero Geolfroy-Saint Hilaire, Larrei 1 le y Dumeril. Undécima sección. Medicina y Cirugía. Los señores Chevalier, Portad, el caballero Halle, el caballero Peiletan, el barón Percy, el barón Corvisar, y Deschamps. El caballero Delambre será secretario perpetuo para las ciencias matemá ticas, y el caballero Cuvier para las ciencias tísicas. La academia de las Nobles Artes conservará la organización y la distri bución en s…</t>
  </si>
  <si>
    <t>Peinador, Juan</t>
  </si>
  <si>
    <t>Juan Peinador</t>
  </si>
  <si>
    <t>…Sr. Infante Don Garlos cón igual motivo. • ’ ; t ••.; El día 28 del mismo tuvieron la honra de besar la Real mano de S. M. y felicitarle á nombre de la ciudad de Sigüenza, el Lie. D. Juan Peinador jr Pino, alcalde mayor y subdelegado de rentas Reales de la misma, y D. Josef María González, procurador de su ilustre ayuntamiento; con cuyo moti vo el primero dijo áS. M. entre otras cosas lo siguiente: ,,Señor: L. M. N. y L. ciudad deSigüenza , siempre con…</t>
  </si>
  <si>
    <t>Peire, Atraído</t>
  </si>
  <si>
    <t>Atraído Peire</t>
  </si>
  <si>
    <t>…rendición de un día á otro. ‘ J i “ Por la audiencia del Sr. D. Jcaqu*n de Al mazan y Nimeno, del conse jo de S. M., teniente corregidor de esta villa, se cita, llama y emplaza ¡á D. Atraído Peire y á D. Mariano de Ascorbeta, vecinos y del comerció dé la ciudad de Zara goza, sus hijos, herederos y demás personas que pretendan tener derecho á 29 va les Reales de 60o pesos y 14 dé góo, todos de lá creaciorrde Mayó de 1808 , que se hallan detenidos en la…</t>
  </si>
  <si>
    <t>PemrÓse</t>
  </si>
  <si>
    <t>…ta de seís riávíósq únó dedllos de tres puéates p dos fragatas,: lina corbefay cinc b-bergantines', una goleta y tres transportes al mando dél,almirante lord ExmÓuth, y del contra-almirante PemrÓse. La Princesa manifestó que. nada tenia qiie1 ver corrdbs sr$untós'.'pp!£ticos, y. que deseaba ir. ai convite del baja ; Ip^qué^áé efectuó ,y edh mucha ■satr^facCibii suya foe'recibida y obsequiada1 pór lós dos hijos dél bajá y to da la corte del Bardo vestido…</t>
  </si>
  <si>
    <t>Pemrose</t>
  </si>
  <si>
    <t>…de á 3©. XJltimamente se ha embarcado una compañía de zapadores y minadores. Ademas de esto se reforzará la escuadra con siete buques de la que man da en el Mediterráneo el contra-almirante Pemrose. El pumo de reunión será en Gibraltar. El Gobierno de Argel ha tomado precauciones á fin de que no llegue a Europa noticia alguna de aquel pais para ocultar su verdadera situa ción y el estado de sus asuutos. FRANCIA. París 25 de Julio. Carta del Rey á los vi…</t>
  </si>
  <si>
    <t>…d heridos, y 888 entre mu rt^s y heridos: los holandeses nan tenido 10 muertos y 40 heridos. El Impregnable padeció mas que ningún otro por ha ber reventado en él dos bombas.__ El almirante Pemrose llegó el día des pués de la acción. Circular de la primera Secretaría de Estado. El Rey nuestro Señor, en medí) de las gravísimas ocupaciones de su co rona , no pierde jamas de vista aquellos asilos sagrados donde la horfandad encuentra vida, amparo y educaci…</t>
  </si>
  <si>
    <t>Peña, Antonio Pascual la</t>
  </si>
  <si>
    <t>Antonio Pascual la Peña</t>
  </si>
  <si>
    <t>…rmiento; gra duación de oficiales segundos á los terceros D. Josef Agnete y D. Josef Mi lian; graduación de tercero al cuarto D. Francisco Cerquero; graduación de cuarto al quinto D. Antonio Pascual la Peña, y graduaciones de oficiales quin tos á los meritorios D. Rafael Riaño, D. Manuel Sánchez Pinete y D. Mi guel Josef de Quevedo. DEPARTAMENTO DE FERROL. Ascendidos d sus inmediatas clases. A oficial primero el segundo D. Domingo Antonio Pereira; á oficial se g…</t>
  </si>
  <si>
    <t>Peñalver, Juan López de</t>
  </si>
  <si>
    <t>Juan López de Peñalver</t>
  </si>
  <si>
    <t>…para su noticia y demas efectos que convengan: en la inteli gencia que los individuos nombrados por S. M. para formar dicha Junta son D. Tosef de Imaz, Director general de Rentas» D. Juan López de Peñalver, D. Francisco Durango y Ortuzir, D. Manuel Benito Carranza, Vista de la Aduana de C:í iiz , y D. Vicente Iturriria» Vista de la de la Corana.” Lo que traslado á V. S. 1. de Real orden para que disponga el Consejo su cumpli miento en la parte que corresponde.”…</t>
  </si>
  <si>
    <t>Peñaredonda, Tomas de</t>
  </si>
  <si>
    <t>Tomas de Peñaredonda</t>
  </si>
  <si>
    <t>…, secretario de su ayuntamiento , se han mandado citar y emplazar por gaceta con término de ip días pe-entorios á los acreedores del concurso formado en el año de 1/68 á bienes de D. Tomas de Peñaredonda, notorios en el lugar de Abornicano, de la misma provincia, cuyos autos se han extraviado habiéndose conferido la administración interina de dichos bienes, que según tasación reciente ascienden á 123177, á Don Juan Polanco y Quevedo, acreedor á ellos por 513$…</t>
  </si>
  <si>
    <t>Peñeres</t>
  </si>
  <si>
    <t>…, al del capitán Kins, de 74; el MinJen, al de Guillermo raterson, de 74; el Albion, al de Juan Coode, de 74: estos tres últimos de línea. Fragatas. La Leandra, al mando del vice-almirante Peñeres, de 50 ca ñones; la Soberana., al de Juan Aiimer, de 38; la G.ranicus, al de Guiller mo Wise, de ídem; la Glaseó, al de Roberto Maitland, de ídem; la Hibres, al de Eduardo Palmer, de ídem. , Corbeta. La Prometeo,, al mando de, Guillermo JDashuood, de 2oicañon…</t>
  </si>
  <si>
    <t>Penilla, Bernardo Gutiérrez de Ja</t>
  </si>
  <si>
    <t>Bernardo Gutiérrez de Ja Penilla</t>
  </si>
  <si>
    <t>…días contados desde la publicación de este avi so, acudan ante dicho señor por el oficio del escribano del número á hacer el pago -de los 6'3 rs. vn. metálicos á los herederos de D. Bernardo Gutiérrez de Ja Penilla, •y recoger el documento que formalizó Polo por vía de seguridad; apercibidos de que pasado dicho término sin mas citarles ni emplazarles se procederá á lo que haya lu gar, y les parará en perjuicio. Por providencia del Sr. D. Josef Manuel de Arjcna, del cons…</t>
  </si>
  <si>
    <t>Peñuela, Antonio Sánchez</t>
  </si>
  <si>
    <t>Antonio Sánchez Peñuela</t>
  </si>
  <si>
    <t>…. Juan Antonio Pitaluga ofrece, y tiene aceptado S. M., 2 5 50 rs. •que alcanza por valor de 200 encerados entregados para la artillería, 2 5 5c eti créditos: D. Pedro Talasac 66: D. Antonio Sánchez Peñuela ico : D. Fabio Muiñoz 320: D. Pedro García 244. Partido de Vega y Sierra---- Pueblos. Albolote 166 rs.: Alhendin , el administrador de tabacos 588 en créditos: Beas 199: Churriana 748: idem débito que alcanza á su favor de un hacendado de aquel termino, por c…</t>
  </si>
  <si>
    <t>Pequeño, Jojef</t>
  </si>
  <si>
    <t>Jojef Pequeño</t>
  </si>
  <si>
    <t>…las autoridades y lucido concurso. D-. Benito García y Don Bernardo Esttvez explicaron con energía los principios de geometría, re solviendo los teoremas y problemas con acierto; D. Jojef Pequeño y Don Manuel Carballo manifestaron el modo de cuartear la aguja efe marcar en cada uno de sus cuadrantes, los grados y minutos que vale el ángulo que forma cualquiera-rumbo con su inmediato, y contestaron á varias pregun tas relativas á ia náutica , con que se terminaron los expre…</t>
  </si>
  <si>
    <t>Per, Miguel</t>
  </si>
  <si>
    <t>Miguel Per</t>
  </si>
  <si>
    <t>…á firmada per Jaussens, Simón, Latapie, D uguet y Moreau, oficiales superiores. PORTUGAL. Lisboa 28 de Febrero. Oficio dirigido por el vice-cónsitl portugués en Trieste al Exento. Sr. Don Miguel Per eirá Forja? , con fecha de // de Enero de este año. Excmo. Sr.: La peste que desde el verano pasado se había introducido en Macarsca, como á su tiempo tuve la honra de informar á V. E., se ha pro pagado recientemente por la costa dé Dalmacia, de donde pasó á…</t>
  </si>
  <si>
    <t>Peral, Sebastian del</t>
  </si>
  <si>
    <t>Sebastian del Peral</t>
  </si>
  <si>
    <t>…cones y tra ducciones citadas, y en los Anales de Ciencias naturales, fue conferido á D. Manuel Paz; y los dos terceros, de los mismos Anales y traducciones, á D. Joaquín Amor y á D. Sebastian del Peral. A D. Antonio Gimbernat y Grassoty D. Manuel de Riaza entregó S. E. los primeros premios de agricultura, compuestos de las Observaciones sobre la historia natural, población , agricultura del reino de Valencia por Cava— nilles; de la obra de Alonso de Herrera…</t>
  </si>
  <si>
    <t>Peralta, Casimiro</t>
  </si>
  <si>
    <t>Casimiro Peralta</t>
  </si>
  <si>
    <t>…uan Ortuño, ayudante de órdenes mío; el teniente de partidarios D. Ignacio de la Riva; el subteniente de cazadores D. Josef María Valdés, y el de igual clase del segundo escuadrón D. Casimiro Peralta, se han hecho acreedores á las gracias que V. E. tenga á bien dispensarles. Me haría muy culpable sí dejase de recomendar á V. E. la intrepidez con que el Padre Fr. Ramón Antonio Fernandez, capellán de cazadores, se arrojó sobre el enemigo, inspirando el mayo…</t>
  </si>
  <si>
    <t>Percy</t>
  </si>
  <si>
    <t>…nel, el caballero Geolfroy-Saint Hilaire, Larrei 1 le y Dumeril. Undécima sección. Medicina y Cirugía. Los señores Chevalier, Portad, el caballero Halle, el caballero Peiletan, el barón Percy, el barón Corvisar, y Deschamps. El caballero Delambre será secretario perpetuo para las ciencias matemá ticas, y el caballero Cuvier para las ciencias tísicas. La academia de las Nobles Artes conservará la organización y la distri bución en secciones de la c…</t>
  </si>
  <si>
    <t>Perea, María Antonia Arias de</t>
  </si>
  <si>
    <t>María Antonia Arias de Perea</t>
  </si>
  <si>
    <t>…osto próximo pasado en esta corte de O: Ventura de la Cueva y Arias, de estado soltero, natural qué fue de la ciudad de Molina dé Aragón, hijo legítimo de D. Antonio de la Cueva y Doña María Antonia Arias de Perea, veciñós que fueron de la misma, á fin de que dentro de 30 días perentorios, que por primero,*• segundo y tercer término se les concede, contados desdé el.referido día ,-concurran ¿ ame dicho señor juez, y por la escribanía del número que égerce D. Jiian Antó…</t>
  </si>
  <si>
    <t>Pereira, Antonio Luis</t>
  </si>
  <si>
    <t>Antonio Luis Pereira</t>
  </si>
  <si>
    <t>…de, Regules Viilasantc, vacante por traslación de D. Manuel Plácido de Berriozabal á ídcaldc del crimen de •la de Lima : para otra de oidor de la audiencia de Santiago de Chile á Don Antonio Luis Pereira, por promoción dé D. Antonio Caspe y Rodríguez í</t>
  </si>
  <si>
    <t>Pereira, Benito</t>
  </si>
  <si>
    <t>Benito Pereira</t>
  </si>
  <si>
    <t>9°t primer maestra director D. Cayetano Fernandez Villamil. Faeron exami nad en aritmérica D. Josef Perez, D. Juan Pablo Rodríguez, D. Josef María Loureiro, D Florencio Pereira, D. Benito Pereira, D. Cosme Arias, D. Juan RoJriuuez , I). Josef Abad, D. Manuel Vicario, D. Josef Vicente Veigi, D Josef Alonso, D. Juan Vega, D. Manuel Rodríguez Almeiras j D. Cayetano Cruz. En geometría D. Josef Pujadas, D. Fermín Galceran, D Josef Sada, D. Ignacio Palacios…</t>
  </si>
  <si>
    <t>Pereira, Domingo Antonio</t>
  </si>
  <si>
    <t>Domingo Antonio Pereira</t>
  </si>
  <si>
    <t>…á los meritorios D. Rafael Riaño, D. Manuel Sánchez Pinete y D. Mi guel Josef de Quevedo. DEPARTAMENTO DE FERROL. Ascendidos d sus inmediatas clases. A oficial primero el segundo D. Domingo Antonio Pereira; á oficial se gundo el tercero D. Pedro Montojo ; á oficial tercero el cuarto D Alejandro XJrquiza; á oficiales cuartos los quintos D. Carlos Suances y D. Fernando Bermudez, y á oficiales quintos los meritorios D. Fernando María Soto y D. Fermín López Pantoja…</t>
  </si>
  <si>
    <t>Pereira, Florencio</t>
  </si>
  <si>
    <t>Florencio Pereira</t>
  </si>
  <si>
    <t>…o al objeto, que leyó el primer maes tro director D. Cayetano Fernandez Villamil. Fueron examinados en aritmédea D. Josef Perez, D. Juan Pablo Rodríguez, D. Josel María JLcureiro, D. Florencio Pereira, D, Benito Pereira , D. Cosme Arias, D. Juan Rodrí guez, D. Josef Abad, D. Manuel Vicario, D. Josef Vicente Veiga , D. Jo-</t>
  </si>
  <si>
    <t>Pereira, Francisco de Paula</t>
  </si>
  <si>
    <t>Francisco de Paula Pereira</t>
  </si>
  <si>
    <t>…la de Villamayor de Santiago de nueva creación; y promover al ac tual alcalde mayor de Infantes D. Josef Andrés de A rellano á la vara de Pedro-Muñoz, vacante por fallecimiento de D. Francisco de Paula Pereira. Habiéndose servido el Rey nuestro Señor admitir la cesión que ha hecho de sus sueldos vencidos hasta fín de Abril último el oficia! supernumerario del cuerpo político de la armada D. Josef Manuel González, que ascienden ¿ 1870 rs. y 17 mrs. vn. r ha mandado…</t>
  </si>
  <si>
    <t>Pereira, Josef María</t>
  </si>
  <si>
    <t>Josef María Pereira</t>
  </si>
  <si>
    <t>…coronel de egército D. Manuel de Manzanéelo, y el del teniente co ronel de Milicias D. Martin de Somocurcio; el de los capitanes de cazadores D. Josef Mariano Perez del Portillo, D. Josef María Pereira y D. Juan Pose,</t>
  </si>
  <si>
    <t>Perella, Diego López</t>
  </si>
  <si>
    <t>Diego López Perella</t>
  </si>
  <si>
    <t>…teniente primero y corregidor interino de esta heroica villa, en cuyo juzgado, y por la escribanía del número de D. Tomas de Sancha y Prado, se halla radicada la testamentaría de Don Diego López Perella, í instancia del defensor judicial de la misma, ha señalado,?! día 25 de Enero de 18 17 i las 9 de la mañana en la posada de S. S. para jtinta ge neral de acreedores é interesados en dicha testamentaría ; lo que se hace saber para que concurran los que lo sea…</t>
  </si>
  <si>
    <t>Perez, Agustín</t>
  </si>
  <si>
    <t>Agustín Perez</t>
  </si>
  <si>
    <t>…Juan López 200. D. Mateo del Prado 200. D. Sebastian de Castro Jura do 200. D. Andrés Antonio Herrera 300. D. Alfonso Jurado 100. D. Fran cisco Molina 100. D. Lorenzo Molino 100. D. Agustín Perez de la Las tra 100. Doña María Josefa Jurado 100. D. Sebastian de Castro López 300. Doña Ana de Castro López 100. Juan de Murez iod. Doña María Josefa Zamorano 200. Doña Luisa Espinosa 200. D. Pedro Juan de Molina 200. Doña Catalina Zamorano 370. D. Juan Blas…</t>
  </si>
  <si>
    <t>Perez, Angel</t>
  </si>
  <si>
    <t>Angel Perez</t>
  </si>
  <si>
    <t>…23350^ á Doña María Saehz y Jíeredia: otros'dos ídem de i.° de Setiembre de 1808 á j). Agustín Frutos, número* 31071 y 70935: dos de Ia.de 1;.® de ídem de 1809 á los herederos de D. Angel Perez, números 34877 y 42209: otrocreación y valor idem ídem, núm. 47246, á D. Cristóbal Gironelia é hijos: otro idem ídem; núm. 56522 , á D. Antonio Abadal: otros dos de idem idem, números 67913 y 69252, á D, Jaime Valis: uno idem de ídem, núm. 67953 » a Juan Arti…</t>
  </si>
  <si>
    <t>Perez, Antonio Talegon y</t>
  </si>
  <si>
    <t>Antonio Talegon y Perez</t>
  </si>
  <si>
    <t>…ato de estas aulas) y recuerdo de los deberes del hombre con sus semejantes, compuesto por el catedrático primero P. Josef María García Valenzucla , que pronunció en idioma latino D. Antonio Talegon y Perez, joven de siete meses de instruc ción : después fue examinado en las oraciones latinas mas difíciles, gramática castellana y ortología , á lo que respondió exactamente con admiración y aolauso de todos: en seguida se presentaron 16 de la clase de mayores, res…</t>
  </si>
  <si>
    <t>Pérez, Domingo</t>
  </si>
  <si>
    <t>Domingo Pérez</t>
  </si>
  <si>
    <t>…tóbal' de Vicuña, se cita, llama y emplaza a D. RaLel Ignacio Fantoni, D. Eusebio Domingo de Urquíio, D. J &lt; se f Vidal y Garri ga, D. Francisco Arger é hi,ps, D. Agustín Alecrín, D. Domingo Pérez é hijo, D. Micuel Alvarez de Pazos^D. Carlos Buzzoni, D. Josef Ventura Al» ¡, D Fidel M» rago y D. Jai me Ordeig, tenedores de un vale Real de 6c o pesos, creación de i.° de Setiembre, nám. 2927 , para que en el término de 30 dias, coníaJos desde el 2a de Ago…</t>
  </si>
  <si>
    <t>Perez, Domingo</t>
  </si>
  <si>
    <t>Domingo Perez</t>
  </si>
  <si>
    <t>…istóbal de Vicuña , se cita, llama y emplaza á D. Rafael Ignacio Fantoni, O. Ensebio Domingo de Urqutjo, D. Josef Vidal y Garriga, D. Fran cisco Arger é hijos, D. Agustín Alcgrin, D. Domingo Perez é hijo, D. Miguel Alvarez de Pazos, D. 'Carlos Bazzoni y D. Jaime Ordeix, interesados en un vale Real de 600 pesos, creación de j.° de 'Setiembre, señalado con el núm. 2927, para que en el término de 30 dias, contados desde el 22 del pasado, acudan al referid…</t>
  </si>
  <si>
    <t>Perez, Fernando</t>
  </si>
  <si>
    <t>Fernando Perez</t>
  </si>
  <si>
    <t>…do 40. D. Victoriano Vacas 46. D. Juan Ser na 40. D. Felipe Raguimido 40. D. Diego Veruega 44^ E! lectoral 23. Don Julián Ga.scueña 46. D Antonio Arguello 48. D. Ramón Orachea 48. Don Fernando Perez 2o. Sr. Corrales, racionero de aquella santa iglesia, 20. El cura de S. Juan 20. El beneficiado de Gracia 24. El cura de Sfo. Domingo 46. El cura de S. Nicolás 20. El cura de Santiago 100. El cura de S. Andrés 3a.</t>
  </si>
  <si>
    <t>Perez, Josef</t>
  </si>
  <si>
    <t>Josef Perez</t>
  </si>
  <si>
    <t>9°t primer maestra director D. Cayetano Fernandez Villamil. Faeron exami nad en aritmérica D. Josef Perez, D. Juan Pablo Rodríguez, D. Josef María Loureiro, D Florencio Pereira, D. Benito Pereira, D. Cosme Arias, D. Juan RoJriuuez , I). Josef Abad, D. Manuel Vicario, D. Josef Vicente Veigi, D Josef Alonso, D. Juan Vega, D. Manuel Rodríguez Almeiras j D. Cayetano…</t>
  </si>
  <si>
    <t>…0. D; Manuel Saudin Calderón 8. D. Fernando Gómez 10. Doña Margarita Martin 20. D. Santos Avoin Coronel en efectos y dinero 360. D. Manuel Cisneros 200. D. Anto nio Echenique 140. D. Josef Perez 40. D. Fructuoso Tejedor 30. D. Josef Lozano 30. D. Victorio Valtierra 30. D. Lorenzo de Seras 30. El coman dante de las armas 138. El contador y subalternos 60. El tesorero de ren ta' 23. ES administrador de rentas 23. D. Pedro Azaituno 30. El corregidor int…</t>
  </si>
  <si>
    <t>…pró ximo en la forma siguiente: Dióse principio por un papel alusivo al objeto, que leyó el primer maes tro director D. Cayetano Fernandez Villamil. Fueron examinados en aritmédea D. Josef Perez, D. Juan Pablo Rodríguez, D. Josel María JLcureiro, D. Florencio Pereira, D, Benito Pereira , D. Cosme Arias, D. Juan Rodrí guez, D. Josef Abad, D. Manuel Vicario, D. Josef Vicente Veiga , D. Jo-</t>
  </si>
  <si>
    <t>…. Juan Vega\ D. Manuel Rodríguez Almeiras y D. Cayetano Cruz. En geometría D. Josef Pujadas, D. Fermín Gaiceran, D. Josef Sada, D. Ignacio Palacios , D. Tomas Díago, y los citados D. Josef Perez y Don Juan Pablo Rodríguez. En trigonometría plana D. Manuel Bandujo, Don Cándido Pulleiro, D. Joaquín Hernández, D. Eusebio Arróspide, D. Ra món González, D. Domingo Valay y D. Vicente Matis. En trigonometría esférica D. Francisco Gaiceran, D. Lino Pacheco, D. Marcelino Deus, y los ci…</t>
  </si>
  <si>
    <t>Perez, Josef Francisco</t>
  </si>
  <si>
    <t>Josef Francisco Perez</t>
  </si>
  <si>
    <t>…ei maestro sille ro del mismo pueblo 20: el corregidor y su señora, del propio pueblo, 12 pares de zapatos y compostura de 12 sillas: D. Lúeas Moreno, del cor* crcio, 24 herrages: D. Josef Francisco Perez 24 id. : D. Domingo tía raya y Don Vicente Quintana 36 id.: Lorenzo Arcon i* pares dt -apatos*. Tr.re, de Blas, vecino de Montejo , cinco pares id.: el alcalde de fuer.: lupina 40 pares de alpargatas: la justicia de la Nava de Roa , provincia de Burgos, sie t…</t>
  </si>
  <si>
    <t>Perez, Josef Joaquín</t>
  </si>
  <si>
    <t>Josef Joaquín Perez</t>
  </si>
  <si>
    <t>…4 de este mes tuvieron la honra de felicitar á S. M. por su augus to enlace, á nombre de la Real iglesia del Real sitio de S. Ildefonso, los ca nónigos diputados al efecto eí Dr. D. Josef Joaquín Perez y D. Félix Simón y Mañero; el primero de los cuales arengó á S. M., y dijo entre otras cosas lo siguiente: ,, Fundada , Señor, aquella iglesia por Felipe v, hermoseada con un pan teón para descanso de sus Padres por Fernando vi, ordenada con estatuios por Carlos 111, redotada…</t>
  </si>
  <si>
    <t>Perez, Josef Lucio</t>
  </si>
  <si>
    <t>Josef Lucio Perez</t>
  </si>
  <si>
    <t>…, el Dioscórides ilustrado por Laguna, los Anales y traducciones citados, el Sistema de conocimientos físi cos de Fourcroy, y la obra de Meteorología porToaldo, el primer premiado D. Josef Lucio Perez; y habiendo S. E. adjudicado el premio segundo, com puesto de ios mismos libros, excepto el Toaldo y el Laguna, á D. Josef Eu sebio Quintanilla, quedó concluido el acto. ARTICULO DE OFICIO. Circular del Ministerio de Hacienda. Habiendo llamado la atención del…</t>
  </si>
  <si>
    <t>Perez, Josefa Martínez</t>
  </si>
  <si>
    <t>Josefa Martínez Perez</t>
  </si>
  <si>
    <t>…tiago, reyno de Galicia , un chico de edad de 13 años, llamado Josef Varela, hija de D. Nicolás, ya difunto, vecino que fue de la villa de Puente de Ume, en don de reside su viuda Doña Josefa Martínez Perez, madre del chico; las señales de este son poca talla, cargado de hombros, cara redonda, color trigueño , ojos negros, á veces mira torcido, nariz regular, boca grande y la dentadura mal hecha, orejas grandes y encorvadas, pelo negro y cortado, cabeza mui gran…</t>
  </si>
  <si>
    <t>Perez, Juan Bautista</t>
  </si>
  <si>
    <t>Juan Bautista Perez</t>
  </si>
  <si>
    <t>…Andrés Laguna, Fernando Nuñcz de Guzman, D. Fr. Barto lomé de las Casas, Francisco Sánchez, y D. Alfonso de Villegas. ~ Cuaderno 15: Ñuño Nuñez Rasura, Lain Calvo, Pedro Navarro, D. Juan Bautista Perez , Don Gen •limo Gómez d- Huerta, y D. Gaspar de Guzman y Pimentel.rz Cuader no 16: Fr. Juan de Jesús Ma ría, D. Martin Bautista de Lanuza,ei conde de Lemo&gt;.,el Mtro. Vicente Espinel, D. Jorge Juan, y D. Antort o de Uiloa. —Cua derno 17: D Pablo- de Sant* Mart…</t>
  </si>
  <si>
    <t>Perez, Lorenzo Lorca y</t>
  </si>
  <si>
    <t>Lorenzo Lorca y Perez</t>
  </si>
  <si>
    <t>…ara su inteligencia y cumpli miento. Dios guarde á V. muchos años. Madrid de Setiembre de 1816. S. M. se ha servido nombrar para ia vara de alcalde mayor dé Guadalest y su valle á D. Lorenzo Lorca y Perez: para la de la Puebla de Vaibona á D. Pedro Amonio Portillo y Clemente: para la de Estadilla, en la ba ronía de Castro, á D. Casimiro Hernández: para la de Betera á D. Francis co Albero y A Ibero: para la de Vi llama re liante á D. Gerónimo Pedros: pa ra la d…</t>
  </si>
  <si>
    <t>Perez, Manuel</t>
  </si>
  <si>
    <t>Manuel Perez</t>
  </si>
  <si>
    <t>…ntos y sintaxis, satisfaciendo á cuanto se les preguntó. En esta clase de latinidad se distinguieron D Josef Viejo* D. Francisco Martínez, D. Manuel Antonio Nuñez, D. Manuel Paez, Don Manuel Perez , D. Manuel Saiz, D. Manuel Valles, D. Manuel Manso, Don Gregorio Colmeneroy D. Francisco Arribas; los cuales dieron pruebas de su constante aplicación y adelantamientos, y de hallarse aptos para emprender otros estudios, por lo que merecieron particular apre…</t>
  </si>
  <si>
    <t>Perez, Manuel Damian</t>
  </si>
  <si>
    <t>Manuel Damian Perez</t>
  </si>
  <si>
    <t>…ndientes á estas plazas de los baños ó aguas minerales deberán acudir para ello directa ó indirectamen te por apoderado desde el día de este aviso hasta últimos de Marzo de 1817 á D. Manuel Damian Perez, secretario de la Real junta superior gubernati va de medicina, que tiene la oficina en la plazuela de la Leña, núm. 20, cuarto principal. El Real colegio de Farmacia de S. Fernando de esta corte abrirá el cur so de sus estudios el jueves 3 del próximo mes de…</t>
  </si>
  <si>
    <t>Perl, Joaquín María</t>
  </si>
  <si>
    <t>Joaquín María Perl</t>
  </si>
  <si>
    <t>…a, D. Luis Roca, D. Manuel de Llanos, D. Juan Cervino y Don Miguel del Solar. jEn el cuerpo de Ingenieros. Para el grado de ingenieros en gefe al en segundo D, Vicente Manterola y D. Joaquín María Perl., A ingeniero en segundo al ordinario D, Diego de Parra, En el cuerpo de brigadas de artillería Real de Marina d comisario pro vincial al capitán de Bombar da D. Josef Hilarión de Molina. A graduación de teniente de Bombarda al teniente de Brulot graduado D.…</t>
  </si>
  <si>
    <t>Perofkey</t>
  </si>
  <si>
    <t>…e general Koutusoff, ayudante de campo del Emperador; los con sejeros de Estado barón de Nicholay y Savrasoff; el consejero del colegio Mr. Glinka; el teniente coronel Mansey ; el capitán Perofkey , y el Dr. Crichton. Poco tiempo después de la llegada del gran duque se presentó á S. A. I. sir Benjamín Bloomfields á darle la bien venida de parte del Príncipe Regenre. El conde de Lieven , embajador de Rusia , comió con el Príncipe. Se ha puesto un cuerpo…</t>
  </si>
  <si>
    <t>Pertrerra, Pedro</t>
  </si>
  <si>
    <t>Pedro Pertrerra</t>
  </si>
  <si>
    <t>…M. en los tér minos siguientes: ; ¡-.V ,, Señor : El abad y cabildo dé vuestra Real iglesia colegiata de Sta. Ma ría de Arbas dei Puerto, en cuyo nombre y como comisionados ef Dr,Don Pedro Pertrerra&lt; y1 A’lvarez, canónigo*.y dignidad de chantre de dicha Real iglesia, y el Dr. D. Ignacio Campesino, abogado de vuestros Reales Conse jos , y del ilustre colegio, tenemos el‘distinguido honor de presentarnos hoy á Y. M. , y penetrados de los mas vivos sentimie…</t>
  </si>
  <si>
    <t>Petriz, Tomas</t>
  </si>
  <si>
    <t>Tomas Petriz</t>
  </si>
  <si>
    <t>…bían manejado en las escuelas , v leyeron lo que cada uno había escrito en latín sobre el asunto que le había sido señalado; con lo cual se di ) ti.i á e*te ejercicio des pués que D. Tomas Petriz dio en una oda tas gracias at publico. Por la tarde , presentados de nuevo a! publico los mismos , y pedida la aten ción en unos versos castellanos que recitó D. Juan Melendo , tomaron de los concurrentes asuntos para escribir en verso latino; y en seguida D.…</t>
  </si>
  <si>
    <t>Pezueia</t>
  </si>
  <si>
    <t>…las fuerzas con igual dirección. Preparado todo lo necesario para empren der de nuevo el egército Real su proyecto de ataque, con fecha de 12 del an terior Noviembre me escribe el general Pezueia tener dispuesta su salida para el dia inmediato. ,, La buena disposición en que se hallaba nuestro egército, el aumento de entusiasmo que produjo en las tropas la acción de Venta y Media , y eí des fallecimiento que ha causado en los enemigos aquella derrota…</t>
  </si>
  <si>
    <t>Pezueía</t>
  </si>
  <si>
    <t>…ilios después de su desgraciada jornada. Una y otra se encuentran totalmente ^uniformes en la idea que presentan de aquel su ceso , manifestando la destreza y actividad con que el general Pezueía supo aprovecharse de sil primera ventaja, siguiendo la retirada de Rondeau hasta los llanos de Sipesipe, donde le obligó á una acción general, y destrozó su egército compuesto de unos 5$ veteranos , sin contar las tropas irregulares, de que no le quedaron 500…</t>
  </si>
  <si>
    <t>Pezuela</t>
  </si>
  <si>
    <t>…80 hombres, los cuales habiéndose dejado sorprender de intento, y dado • tiempo á que Rodríguez se entretuviese en hacer prisioneros y recoger el botín, ofrecieron oportunidad ai general Pezuela para que cayendo con to da su fuerza sobre la de los insurgentes , que se consideró como de unes ^co iiornbres, los derrotase completamente, quedando todos ó muertos ó prisione ros. Esta noticia se halla también confirmada por la que comunica á los di rectore…</t>
  </si>
  <si>
    <t>…upo que el egército del Rey solo dista ba 12 leguas de su posición. Tal era la actividad con que perseguían á aquellos insurgentes las leales tropas españolas al mando de su digno general Pezuela. No atreviéndose ya Rondeau á entrar en (^ochabamba, y persuadido de que iba á ser atacado , tomó un punto militar \ qué en su concepto era -muy ventajoso. Allí, fueron, á buscar las tropas del Rey á los insurgentes, y el 29' de Noviembre se trabó una sangrie…</t>
  </si>
  <si>
    <t>…Rondeau. = Se ñor coronel mayor de egército D. Domingo French.” Los enemigos que viven en nuestro seno hablan hecho correr las mas tris tes nuevas de esta jornada, atribuyendo al general Pezuela mas ventajas que las que efectivamente ha tenido. Desde aquí continúa el gacetero empleando toda suerte de frases consolatorias para disminuir la impresión que debe ha ber causado la noticia en aquellos habitantes. Habiendo tenido á bien el Rey nuestro Señor…</t>
  </si>
  <si>
    <t>Pfaunznltpr</t>
  </si>
  <si>
    <t>…en 1JB01 no pueden ser re vindicadas en justicia. Tumi. 2 de Abril. En la mañana del 31 del pasado evacuaron las tropas austríacas la ciudadela de Alejandría. El teniente general conde Pfaunznltpr hizo la entrega solemne de la plaza al mayor general conde Rebufo de S. Miguel, que tomó el mando de ella. Las tropas austriacas se han dirigido á Pavía. PAIS ES-BAJOS-UNI DOS. Mous 5 de Abril. Acaba de ocurrir en esta ciudad un acontecimiento horroroso que l…</t>
  </si>
  <si>
    <t>Piccinendi, Paolo</t>
  </si>
  <si>
    <t>Paolo Piccinendi</t>
  </si>
  <si>
    <t>…aquí buques franceses, cuyo pabellón es el único que puede presentarse en el Mediterráneo sin verse expuesto á ios insultos de los ber beriscos. PI AMONTE. Génova 20 de Julio. El capitán Paolo Piccinendi, comandante de la goleta Sta. Ana, qne acaba de llegar de las costas de África, ha referido los pormenores siguientes acerca de la situación de las potencias berberiscas. El Dey de Argel ha hecho entrar en la ciudad 6$ esclavos para reparar las fortificacione…</t>
  </si>
  <si>
    <t>Piedra, Victoriano de Encina y</t>
  </si>
  <si>
    <t>Victoriano de Encina y Piedra</t>
  </si>
  <si>
    <t>…de felicitar con igual moti vo al Sermo. Sr. Infante D. Cárlos. El dia 19 del pasado tuvo la honra de felicitar á S. M. por su augusto enlace, á nombre del consulado de Cádiz, su diputado D. Victoriano de Encina y Piedra en los términos siguienfes: ,,Señor: El consulado de Cádiz, que tuvo la honra y particular satisfac ción de ser el primero de su clase en el reino que felicitó y besó la Real ma no de vuestra augusta Esposa, repite ahora por medio de su diputado repre sentant…</t>
  </si>
  <si>
    <t>…tas obras son del obispo Bosvuef,, y se hallarán en la librería de Rodríguez, calle de las Carretas. Nota. En la felicitación hecha á S. M. por el diputado del consulado de Cá diz D. Victoriano de Encina y Piedra, inserta en la gaceta del 19 de este mes, pégina 12/0, lín. 1, donde dice iba desapareciendo, léase a? desapareciendo. EN LA IMPRENTA REAL.</t>
  </si>
  <si>
    <t>Piedrahita, Antonio</t>
  </si>
  <si>
    <t>Antonio Piedrahita</t>
  </si>
  <si>
    <t>…Ortiz González, di putado del común, juez comisario de la santa hermandad de Ciudad-Real: otra de la ciudad de Monroro, compuesta de su alcalde mayor el Lie. Don Josef Macedo y de D. Antonio Piedrahita , regidor decano de su ayuntamien to ; y otra de la villa de ia Rambla, que componían D. Antonio de Hernu da' y D. Josef de Porras; todos los cuales tuvieron la honra de manifestar á S. M. y A„ la satisfacción que animaba á aquellos habitantes al ver ya en el…</t>
  </si>
  <si>
    <t>Piedrola, Luis de Vago</t>
  </si>
  <si>
    <t>Luis de Vago Piedrola</t>
  </si>
  <si>
    <t>…iese de su paradero ó de su muerte lo avisará en Cádiz á su padre D. Rafael Josef de Villar de Vago, ó en Madrid al señor conde deClónard, y en Aridújár ai teniente de caballería* D. Luis de Vago Piedrola. Arte de canto llano y órgano, ó prontuario músico dividido en cuatro partes: su autor D. Gerónimo Romero de Avila, racionero y maestro de melodía de Ja santa iglesia de Toledo. Se hallará en la imprenta de Dávila, calle de Barricnuev*, y "en la librería efe…</t>
  </si>
  <si>
    <t>Piedrola, Torcuato</t>
  </si>
  <si>
    <t>Torcuato Piedrola</t>
  </si>
  <si>
    <t>…la mas estrecha ar monía , comportándose sus individuos cual si todos fuesen una sola familia, siendo igual la unión que hemos tenido los tres generales. x „ Ei capitán de fragata D. Torcuato Piedrola y ios oficiales segundo y quinto del ministerio de Marina D. Manuel Agüete y D. Josef María Moró te, que han estado empleados en Sta. Marta y Puerto-Cabello en la recolec ción, apresto y remisión de subsistencias, han desempeñado sus encargos con una activida…</t>
  </si>
  <si>
    <t>…. Para comendadores de la primera al capitán de navio D. Josef de Salas, y que se tenga presente su mérito para los ascensos sucesivos con antelación, y á los capitanes de fragata D. Torcuato Piedrola y D. Ramón Huíate: para la de Marina al alférez de navio D. Antonio Van-IIalen, y al dé fragata D. Josef Quesada. Pensiones de 4® reales sobre el Real erario. Al contra-maestre de construcción graduado de ayudante de Ingenieros D. Josef Sama Ana, y á los médicos-cirujanos de l…</t>
  </si>
  <si>
    <t>Pier, Manuel</t>
  </si>
  <si>
    <t>Manuel Pier</t>
  </si>
  <si>
    <t>…uel Vizcaíno; por el mediodia con tierra erial perteneciente á un vecino de Madrid, cuyo nombre también se ignora, y en cuyo erial nace un arroyo; al poniente con otro que cultiva D. Manuel Pier nas y Juliana Crespo, muger de Tomas Rufuel; y por norte con otra de este, la cual hace artesón: su cabida 3 fanegas y 4 celemines, y según su calidad y situación vale en venta cada Lnega 260 rs., y su importe total 800. Lo que se anuncia al pú blico por medi…</t>
  </si>
  <si>
    <t>Piernas, Luis</t>
  </si>
  <si>
    <t>Luis Piernas</t>
  </si>
  <si>
    <t>…n á varios tropos y figuras, tradugeron varios autores ael latín al castellano y de este á aquel; distinguiéndose de los demas por su aplicación é instrucción D Eusebio Campuzano, D. Luis Piernas, P. Josef María Ruiz, P. Antonio Regidor, P. Manuel de Luque Castilla, P. Bartolomé Madrid, P. Patricio Macores y D. Josef Julio de Aguiíar; ú estos siguieron 17 del li bro 4.0 para pasar al “).% los que dieron pruebas de su suficiencia en cuanto fiieron preg…</t>
  </si>
  <si>
    <t>Pignaieli, Casimiro Luis Gonzaga</t>
  </si>
  <si>
    <t>Casimiro Luis Gonzaga Pignaieli</t>
  </si>
  <si>
    <t>…? la Nue va , dada con acuerdo de su auditor de guerra en 23 de Agosto de este año en los autos de abintestato que se siguen1 en su juzgado con motivo del fallecimiento del Excmb. Sr. D. Casimiro Luis Gonzaga Pignaieli, conde que fue de Fuentes, Prín cipe Pígnateli y de Egmont, mariscal de campo de los Reales egércifos, que murió en las inmediaciones de la ciudad de Zaragoza en 8 de Marzo de 1809 ; se ha. man-</t>
  </si>
  <si>
    <t>Pinazo, Pedro</t>
  </si>
  <si>
    <t>Pedro Pinazo</t>
  </si>
  <si>
    <t>…Alcalá de Henares por medio de una diputación compues ta de su corregidor D. Joaquín de Zengotita Vengoa, del regidor de la mis ma D. Josef Antonio Raj'on, del procurador síndico general D. Pedro Pinazo y de D. Esréban Azaña, secretario de su ayuntamiento, tuvo la honra de felicitar á S. M. el 27 del pasado por su efectuado matrimonio; y el refe rido corregidor dijo lo siguiente: „Señor: La ciudad de Alcalá de Henares, representada en esta diputa ción que su…</t>
  </si>
  <si>
    <t>Pineda, Miguel de Cheverri y</t>
  </si>
  <si>
    <t>Miguel de Cheverri y Pineda</t>
  </si>
  <si>
    <t>…umba y Doña Antonia de CHeverri y Tenllado, hermanos, vecinos que fueron de la villa de Posadas, en la provincia de Córdoba, en su tes tamento nombraron por uno de sus herederos á D. Miguel de Cheverri y Pineda, su sobrino, y por su fallecimiento sin sucesión dispusieron que su parte se refundie-. se entre los demas coherederos; y porque se ignora del paradero de este, se publica para noticia de los interesados, para que se presenten por sí ó mediante apoderado á la…</t>
  </si>
  <si>
    <t>Pineirua, Domingo</t>
  </si>
  <si>
    <t>Domingo Pineirua</t>
  </si>
  <si>
    <t>…éreces de Navio d los graduados de Fragata D. Manuel Bienvenga y D. Juan del Villar López. A la graduación de alféreces de Fragata á los primeros contramaestre* D. Josef del Pino, D. Domingo Pineirua, D. Justo López, D. Andrés Cerda, D. Gabriel Lledó, D. Josef Tuells y D. GabrieTSousa. CUERPO DE MEDICO'CIRUJANOS DE LA REAL ARMADA. Honores de médico consultor al primer médico-cirujano de la matrícula de Malaga D. Josef Salamanca. Honores de primer profesor…</t>
  </si>
  <si>
    <t>Pinete, Manuel Sánchez</t>
  </si>
  <si>
    <t>Manuel Sánchez Pinete</t>
  </si>
  <si>
    <t>…ación de tercero al cuarto D. Francisco Cerquero; graduación de cuarto al quinto D. Antonio Pascual la Peña, y graduaciones de oficiales quin tos á los meritorios D. Rafael Riaño, D. Manuel Sánchez Pinete y D. Mi guel Josef de Quevedo. DEPARTAMENTO DE FERROL. Ascendidos d sus inmediatas clases. A oficial primero el segundo D. Domingo Antonio Pereira; á oficial se gundo el tercero D. Pedro Montojo ; á oficial tercero el cuarto D Alejandro XJrquiza; á oficiales cuartos…</t>
  </si>
  <si>
    <t>Pinilla, Jóséf.López Juana</t>
  </si>
  <si>
    <t>Jóséf.López Juana Pinilla</t>
  </si>
  <si>
    <t>…n en ía librería de Collado, calle dg la Montera ; i 40 rs. en pasta y 30 en rustica. . * Tratado*; db los juicios de contrábandó: úti tomó én 4.0, por él intendente «Je provincia D. Jóséf.López Juana Pinilla. Consta de dos partes : la primera compren de las doctrinas relativas á estos juicios y formularios de las causas que ocurren en ellos, con un catálogo de los delitos de esta clase, y sus penas; y otro de Jos géne ros, cuya extracción del reino ó introducción…</t>
  </si>
  <si>
    <t>Pino</t>
  </si>
  <si>
    <t>…Princesa de Odies , que en el dia. está en Consrsniiaopia , debe venir en todo el mes de Octubre á su casa de campo de Garovo, iumo al lago de Como, hermosa posesión que compró al general Pino. GRAN BRETAÑA. Londres 23 de Julio. Secun cartas de Ilamburgo parece que no hay la mayor tranquilidad en la S ... ó? y In Noruega. La dieta, que estuvo reunida en Cristiania , fue pror&gt;* vr !a seis ó iiéte veces , y al fin disuelta. No se sabe si el plan de h…</t>
  </si>
  <si>
    <t>Pino, Josef del</t>
  </si>
  <si>
    <t>Josef del Pino</t>
  </si>
  <si>
    <t>…a graduación de alféreces de Navio d los graduados de Fragata D. Manuel Bienvenga y D. Juan del Villar López. A la graduación de alféreces de Fragata á los primeros contramaestre* D. Josef del Pino, D. Domingo Pineirua, D. Justo López, D. Andrés Cerda, D. Gabriel Lledó, D. Josef Tuells y D. GabrieTSousa. CUERPO DE MEDICO'CIRUJANOS DE LA REAL ARMADA. Honores de médico consultor al primer médico-cirujano de la matrícula de Malaga D. Josef Salamanca. Honor…</t>
  </si>
  <si>
    <t>Pinos, Rafael</t>
  </si>
  <si>
    <t>Rafael Pinos</t>
  </si>
  <si>
    <t>…simo. S. A. se presentó á las ir de la mañana ¿acompañado del teniente gene ral marques de Monsalud , su primer caballerizo ; el brigadier capitán de Rea les gu a relias Españolas D. Rafael Pinos, su gentilhombre, y demás servidum bre; admitiendo á besar su Real mano á todos los oficiales y demas emplea dos en ella. Llegando luego el general inspector, S. A. á su presencia examinó diver sos expedientes, y los estados de los respectivos ramos de la ins…</t>
  </si>
  <si>
    <t>…Madrid 2$ de 'Diciembre. El 15 del pasado tuvieron la honra de presentarse al Rey nuestro Señor, como diputados por la ciudad de Aleañiz , cabeza de partido en el reino de Aragón, D. Rafael Pinos, brigadier dé los Reales egércitos y gentilhombre de cámara con destino al cuarto del Sermo. Sr. Infante D. Cirios, el marques de Santa Coloma , mayordomo de semana con destino al mismo cuarto ,y ei barón de Caí riel, del consejo de S. M., su secretario y ofi…</t>
  </si>
  <si>
    <t>Pintado, Alberto García</t>
  </si>
  <si>
    <t>Alberto García Pintado</t>
  </si>
  <si>
    <t>…el acueducto, consta de 95 , con cuyo respecto en la magnificencia y buena disposición con que se halla adornado y construido este edificio, Je valuaron los arquitectos de Segovia D. Alberto García Pintado y D. Antonio Ortiz, con inclusión de los ár boles frutales y floreros que contiene el jardín, en 516680 rs. vn. Quien quisiere hacer postura á esta casa y sus pertenencias acuda ante dicho señor juez y escribanía de D. Jacobo Manuel Manrique, que se admitirán siendo arregladas.…</t>
  </si>
  <si>
    <t>Pinto, Juan</t>
  </si>
  <si>
    <t>Juan Pinto</t>
  </si>
  <si>
    <t>…menez, ídem de Barbastro , Don Francisco Ronquillo, idein de Reales Minadores, D. Antonio Van-Halen, ayudante del regimiento del Rey, D. Agustín Corcuera, teniente del de León , y D. Juan Pinto, ídem de Reales Zapadores, el grado de capitán: á D. Francisco Saín z, subteniente del regimiento de la Victoria, y D. Manuel Ramos, idem del de Barbastro, el grado de teniente: al brigadier D. Anto nio Cano, comandante general de una división del egército, D…</t>
  </si>
  <si>
    <t>Pioon</t>
  </si>
  <si>
    <t>…e ha dignado admitir esta oferta, mandando se publique.en la gaceta. El comisario general sir Roberto Hugh Kennedy avisa que todas las no tas oromisorias libradas por el comisario general Pioon por cuenta del Gobierno británico, pagaderas en el mes de Octubre próximo venidero, se han de pagar juntamente con el Ínteres debido sobre ellas en el próximo ines de Abril de este año (1816) á su presentación en la secretaría del señor Pipón, establecida en…</t>
  </si>
  <si>
    <t>Pipón</t>
  </si>
  <si>
    <t>…mes de Octubre próximo venidero, se han de pagar juntamente con el Ínteres debido sobre ellas en el próximo ines de Abril de este año (1816) á su presentación en la secretaría del señor Pipón, establecida en Lisboa en Pozo Novo; pero se debe entender que este aviso tendrá solamente efecto en el dicho mes de Abril. La muy noble y leal ciudad de Medina jde Rioseco , comprendida en la provincia de Valladolid, de la que dista siete leguas, obtuvo por…</t>
  </si>
  <si>
    <t>…prevenidos que de no hacerlo les parará el perjuicio que haya lugar. El comisario general sír Roberto Hugh Kennedy avisa que todas las no tas promisorias libradas por el comisario general Pipón por cuenta del Go bierno británico , pagaderas en el mes de Octubre próximo venidero, se han de pagar juntamente con el Ínteres debido sobre ellas en el próximo mes de Abril de este año ( 1816) á su presentación en la secretaría del señor Pipón, establecida e…</t>
  </si>
  <si>
    <t>…e le toca. Dios guarde á V. muchos años. Madrid 8 de Mayo de 1816.’* El comisario general sir Robert Hugh Kennedy avisa que todas las notas promisorias , libradas por el comisario general Pipón, por cuenta del Gobierno británico, pagaderas en el mes de Setiembre próximo venidero, se han de pa gar juntamente con el interes debido sobre ellas en el mes de Mayo de este año ( 1816) á su presentación en la secretaría del Sr. Pipón, establecida en Lisboa…</t>
  </si>
  <si>
    <t>Piquer, Andrés</t>
  </si>
  <si>
    <t>Andrés Piquer</t>
  </si>
  <si>
    <t>…diferencias, Causas y efectos, y el medio Je curarlas: escrito en castellano para la mas fácil inteligencia de los principiantes que se dedican á la medicina y cirugía: por el Dr. D. Andrés Piquer, mélico de cámara que fue de S. M el Sr. D. Carlos 111a un tomo en 4.0 en pasta : su precio 16 rs. Se hallará ea Ja librería de Bailo, calle de las Carretas. Eduardo en Escocia, ó la terrible noche de un proscripto: drama en tres actos j en pro-a, representad…</t>
  </si>
  <si>
    <t>Pitaluga, Juan Antonio</t>
  </si>
  <si>
    <t>Juan Antonio Pitaluga</t>
  </si>
  <si>
    <t>…44: el Excmo. Sr. marques -de V¡Hadarías 10®: la congregación de clérigos menores 1692 : D.Josef Oga yar iqo: D. Salvador Ortega 80: los herederos de D. Pablo Portillo y 14mrs. : D. Juan Antonio Pitaluga ofrece, y tiene aceptado S. M., 2 5 50 rs. •que alcanza por valor de 200 encerados entregados para la artillería, 2 5 5c eti créditos: D. Pedro Talasac 66: D. Antonio Sánchez Peñuela ico : D. Fabio Muiñoz 320: D. Pedro García 244. Partido de Vega y Sierra----…</t>
  </si>
  <si>
    <t>Pizar, Josef García de León y</t>
  </si>
  <si>
    <t>Josef García de León y Pizar</t>
  </si>
  <si>
    <t>I I 2J Honores del Consejo de 'Estado A D. Eusebio de Bardnxí y Azara, á D. Josef García de León y Pizar ro, y á D. Pascual Valle jo. Honores de grande de España para si} sus hijos y sucesores Al marques de la Ramilla, vecino y regidor de la ciudad de Ubeda. ORDEN AMERICANA DE ISABEL LA CATOLICA. Grandes Cruces. Al Teniente general D. Antonio Amar, y al R. obisp…</t>
  </si>
  <si>
    <t>Pizarro, Josef García de León y</t>
  </si>
  <si>
    <t>Josef García de León y Pizarro</t>
  </si>
  <si>
    <t>…er de tal Consejero de Estado, para no privarme de sus servicios; y al mismo tiempo he tenido á bien nombrar para que le suceda en la primera Secretaria de Estado y dei Despacho á D. Josef García de León y Pizarro, el que por ahora despachará interinamente los negocios de Gracia y Justicia, como lo hacia D. Pedro Cevalíos. Tendreislo entendido , y dispondréis su cumplimien to. == Rubricado de la Real mano.=En Palacio á 30 de Octubre de idió.zs Al marques de Campo Sagra…</t>
  </si>
  <si>
    <t>…norario de Estado D. Martin Ga« ray. Tendreisrlo entendido , y dispondréis lo necesario á su cumplimiento. ±r lubricado de la Real mano.= En Palacio á 23 de Diciembre de 1816. = A D. Josef García de León y Pizarro.” 2.° „ Para dar un testimonio de lo apreciables que me son los servicios de D. Manuel López Araujo he venido en concederle plaza efectiva en mi Con sejo de Estado. Tendreislo entendido, y dispondréis lo necesario á su cum plimiento. — Rubricado de la Real ma…</t>
  </si>
  <si>
    <t>…reas del P. Fr. Francisco Bonete , maestro de dicha escuela. Madrid jo de Diciembre. Con nota que se ha servido pasar el señor embajador de Inglaterra al se ñor ministro de Estado D. Josef García de León y Pizarro para noticia de S. M. le acompaña la siguiente carta que el contra-almirante P^nrose ha di rigido al gobernador de Gibraltar, informándole de que el Bey de Túnez y el Bajá de Trípoli, complaciendo al Príncipe Regente de la Gran Bretaña, le habían entregado si…</t>
  </si>
  <si>
    <t>Pizarro, Pedro Jacobo</t>
  </si>
  <si>
    <t>Pedro Jacobo Pizarro</t>
  </si>
  <si>
    <t>uy$ denes Militares para la vara de alcalde mayor de la villa de Montanches, va cante por dimidon de D. Pedro Jacobo Pizarro , al asesor de guerra del go bierno militar de Sevilla D. Juan Tomas de Silva y López: para la del go bierno de la villa de Infantes, que lo está por promoción de IX Josef Andrés de A rellano a la de Pedro-Mu ñoz, á D. Antonio Gregorio. Nogués: para la de la…</t>
  </si>
  <si>
    <t>Pjedrola, Toreuato</t>
  </si>
  <si>
    <t>Toreuato Pjedrola</t>
  </si>
  <si>
    <t>…s cuales se des cansase. Para este fin quedó en Puertocabello el oficial segundo D. Manuel Agüete, y en Sta. Marta el quinto D. Josef Morete, á las órdenes del capi tán de fragata D. Toreuato Pjedrola, todos con mucha repugnancia, por que deseaban pasar los trabajos al lado de sus compañeros. Si la elección ha sido acerrada, lo demostrará la puntualidad con que se ha recibido todo, que á haber tenido el pais acémilas, el egército de nada hubiera escaseado,…</t>
  </si>
  <si>
    <t>Planas, Pedro Guixá y</t>
  </si>
  <si>
    <t>Pedro Guixá y Planas</t>
  </si>
  <si>
    <t>…, donde se vende la tinta fina; y asi en este como en dicha librería de Illescas papel pautado, conforme al sistema de Torio , que es el; único que hasta ahora se conoce desde que D. Pedro Guixá y Planas inventó en Barcelona é introdujo en las escuelas del reino tan ventajoso y económico mcxio de reglar el papel. EN LA IMPRENTA REAL.</t>
  </si>
  <si>
    <t>Plata, Andrés Gómez</t>
  </si>
  <si>
    <t>Andrés Gómez Plata</t>
  </si>
  <si>
    <t>…para la vara de alcalde mayor de la ciudad de Berlanga á D. Josef Fernandez Viliami!: para la de k Guardia, en el Reino de Jaén, á D. Teles foro Contreras: para la de Montemayor á D. Andrés Gómez Plata: para la de Higares á D. Manuel Gre gorio Velasco: para la de Salvatierra á D. Josef Antonio Ramo: para la de Fuensalida á D. Manuel Fernandez Azcona; para la de Doña Mencía á Don Alfonso Josef de Frías: para la deTorija á D. Telesforo Valero: para la de Agui…</t>
  </si>
  <si>
    <t>Po, Carlos de</t>
  </si>
  <si>
    <t>Carlos de Po</t>
  </si>
  <si>
    <t>…enes, y siete señoritas los recibieron en sesui— da de mano de su Sra. esposa con la dulzura y afabilidad que á ambos ca racteriza ; y pronunciado un erudito discurso por el vocal D. Carlos de Po sada, dignidad de enfermero de esta santa iglesia catedral, concluyó la fun ción una elegante peroración de S. E , que finalizó con las festivas aclama ciones de viva el Rey; interpolando estos actos plausibles los armoniosos acentos de un escogido coro de mú…</t>
  </si>
  <si>
    <t>Po, Josef</t>
  </si>
  <si>
    <t>Josef Po</t>
  </si>
  <si>
    <t>…ape.. El que quera tratir de ajuste se uvi-ti * en Madri i con IX Bernardo Ramón Perez , carre a de S. Geróni m, casa de la marquesa de P«-nteio*, cuartc teiccro; en Bir^elona con D. Josef Po!, procurtdoi C'austduo; en Zaragoza con D: Nicolás Barra, en S. Juan de los Pañete»; en ruri.j»a con Doña Antonia JorJá; en Sevilla con D. E»iéban Martí nez, coi red't de número; en Valencia con D. Domingo Casan il , encargado del arregi.- del Real aid.ivo, c…</t>
  </si>
  <si>
    <t>Po, Josef Valdes y</t>
  </si>
  <si>
    <t>Josef Valdes y Po</t>
  </si>
  <si>
    <t>…todas sus partes. Dios guarde á V V. SS. muchos años. Palacio 21 de Mayo de 1816. = A raujo. = Señores Directores generales de Rentas. El Rey nuestro Señor se ha servido nombrar á D. Josef Valdes y Po sada, que servía interinamente la fiscalía de la Real audiencia de Santa Fe, para una plaza de oidor en la de GoatemaU. Mercurio de España. Abril de 1816. Véndese í 4 rs. en el despacho de la imprenta Real. Se subscribe en dicho despacho, y en las provincias…</t>
  </si>
  <si>
    <t>Podmautefehy, Josef de</t>
  </si>
  <si>
    <t>Josef de Podmautefehy</t>
  </si>
  <si>
    <t>…or ha nombrado Comisarios árbitros para la comisión establecida en París con el objeto de examinar y liquidar Jas reclamaciones que hagan los particulares al Gobierno francés ) al barón Josef de Podmautefehy, consejero privado; al barón de Putiendorf, actualmente consejera íntimo, y antes consejero.áulico del imperio, y á Mr. Nademacher, conse jero de corte, y director de los archivos secretos de la familia imperial. Los tres han salido ya para sus destinos. mi:…</t>
  </si>
  <si>
    <t>Poiignac, Julio de</t>
  </si>
  <si>
    <t>Julio de Poiignac</t>
  </si>
  <si>
    <t>…ha enviado al lord Burghersh la insignia de la orden Real de S. Fernando y del Mérito engastada en diamantes, en recompensa de los servicios que ha hecho á la corte de Ñapóles. El conde Julio de Poiignac ha insertado en el periódico intitulado Courrier una carta dirigida al duque de Wellington, desmintiendo completamen te la noticia publicada por otros periódicos ingleses sobre una supuesta* con</t>
  </si>
  <si>
    <t>Polignac, Julio de</t>
  </si>
  <si>
    <t>Julio de Polignac</t>
  </si>
  <si>
    <t>…aña, el Principe de Montmorency-Laval, embajador. Ñipóles, el duque de Narbona-Pelet, idem. Inglaterra, el marques de Osmond, idem. Austria, ei conde de Caraman, ídem. Baviera, el conde Julio de Polignac , enviado ex traordinario y ministro plenipotenciario. Badén , el conde de Montlezun , mi nistro plenipotenciario. Copenhague, Mr....... Estados-Unidos, Mr. Hide de Neuville , ministro plenipotenciario. Hamburgo, Mr....... Hannóver, Mr. de Latour-Maubourg, mi…</t>
  </si>
  <si>
    <t>Polo, Mariano Polonio y P. Francisco Algaba</t>
  </si>
  <si>
    <t>Mariano Polonio y P. Francisco Algaba Polo</t>
  </si>
  <si>
    <t>…ortografía y ortología, fo rmando después varios problemas de aritmética; distinguiéndose en este ra mo D. Rafael Susbielas y Miranda, P. Francisco de Lara , P. Manuel Infcausri, D. Mariano Polonio y P. Francisco Algaba Polo, y últimamente se presentaron 21 jóvenes que leyeron de corrido con propiedad, respondieron á varias preguntas de doctrina cristiana, tanto del catecismo de Ripalda ca nto de Reinos© y Fleuri; distinguiéndose en dicho número D. Gerardo Mo lina , P. Antonio Mo…</t>
  </si>
  <si>
    <t>Pomar, Ramón de</t>
  </si>
  <si>
    <t>Ramón de Pomar</t>
  </si>
  <si>
    <t>…ia, á D. Josef Mariano García Valero: la fis calía de! crimen de la Real audiencia de Manila á D. Pedro Antonio García de Agui’a é Icaza; y la de lo civil de la propia audiencia á D. Ramón de Pomar é Hidalgo. El Rey nuestra Señor ha tenido á bien nombrar coronel del reoimiento provincial de Bujalance á D. Carlos de Vargas , teniente coronel de la cuar ta división de granaderos y cazadores provinciales de Galicia; y para es&amp;a resulta al teniente coronel…</t>
  </si>
  <si>
    <t>Pon, Joséf</t>
  </si>
  <si>
    <t>Joséf Pon</t>
  </si>
  <si>
    <t>…tuvieron lá hónrá de besár' la mano, y cumplimentar a SS. MM. y *AA. por sus respectivos* matrimonios, en nombré del ayunta miento déla'villa de Záfra^ proviHéiaf de Extremadura ,D. Joséf Pon ce de León y Navarrete, alcalde mayor y gobernador de dicho pueblo-y détúas dél estado dea L'^ria , y D.'Cáyétanb l^ubib, vecino 'de Madrid; y el primero "díjó ehtfé-ptt^'qÓsas lo-srgtfiéffté on- r-a ir\ ** ^[SéñoA'La fíél villa dé Záfe'irreñe-hó^ el honor'de…</t>
  </si>
  <si>
    <t>Ponce, Simón</t>
  </si>
  <si>
    <t>Simón Ponce</t>
  </si>
  <si>
    <t>…on Josef María Chacón : el de capitanes de fragata graduados á los tenientes de navio D Jacinto Marcaida y D,.Francisco Topete: el,de tenientes de navio á los tenientes de fragata D. Simón Ponce y D. Ignacio Chacón r el de te nientes de fragata á los alféreces de navio D. Ramón Londoño , D. Manuel Mieres y D. Juan Bautista Martínez: el de tenientes de fragata graduados á los alféreces de navio D Vicente Sánchez Cerquero y D. Josef Cabezas, pi loto de la clase de primero…</t>
  </si>
  <si>
    <t>Pons, Pedro</t>
  </si>
  <si>
    <t>Pedro Pons</t>
  </si>
  <si>
    <t>…ros fijos, con una tabla esférica de los cambios recíprocas entre las principales plazas de comercio de Europa, y modelos para la mas simple formación de cuentas de intereses, por D. Pedro Pons y D. Josef de Villaverde y Llano: un tomo en 4.0 en papel superior. Se hallará en Madrid 325 rs. á la rústica en las li brerías de Perez y de Montero ; en Cádiz en la de Ortal y compañía ; en Sevilla en la de Aragón y compañía, y en Barcelona en casa de Vüardaga , Julia y Reináis. Ordenanza…</t>
  </si>
  <si>
    <t>Porlier, Juan Díaz</t>
  </si>
  <si>
    <t>Juan Díaz Porlier</t>
  </si>
  <si>
    <t>…re de 1815* En atención á los méritos de D. Antonio de Capetillo , administrador de correos de la Coruña, y particularmente á los que ha contraido con mo tivo de la sublevación de D. Juan Díaz Porlier, se ha dignado S. M*‘ conde corarle con los honores de comisario ordenador. El teniente general duque de Sedavi ha cedido en beneficio del Real era rio y en atención á las estrecheces de este en la época presente una pensión ó sobresueldo de 36® rs. anuales q…</t>
  </si>
  <si>
    <t>Porras, D Pedro Ruiz de</t>
  </si>
  <si>
    <t>D Pedro Ruiz de Porras</t>
  </si>
  <si>
    <t>…an sido diri gidos por el comandante de la columna volante D. Julián Vayer y el capi tán de húsares de Fernando vn D. Vicente Sánchez Lima, procedente de la división del mando del brigadier D Pedro Ruiz de Porras, cuyas tro pas obraban de acuerdo, de los que resulta la destrucción de los insurgentes en Chinia, y los ríos Suin y Canea * haber sido aprehendidos los rebeldes Amador, Ribon, Cardites-y-otros4 completándose posteriormente la derrota del imaginario egéircito…</t>
  </si>
  <si>
    <t>Porras, Joaquín Ruiz de</t>
  </si>
  <si>
    <t>Joaquín Ruiz de Porras</t>
  </si>
  <si>
    <t>…icia. ARTICULO DE OFICIO. El Rey nuestro Señor se ha servido promover á mariscal de campo y subinspector de artillería en el departamento de Barcelona al brigadier gefe de escuela D. Joaquín Ruiz de Porras. El Rey se ha dignado dispensar á la santa Real hermandad vieja de Talavera de la Reina el defecto de no haber obtenido la confirmación de los privilegios que la están concedidos por los Síes. Reyes antecesores de S. M. en los tres últimos reinados, y mandar…</t>
  </si>
  <si>
    <t>Porras, Josef de</t>
  </si>
  <si>
    <t>Josef de Porras</t>
  </si>
  <si>
    <t>…u alcalde mayor el Lie. Don Josef Macedo y de D. Antonio Piedrahita , regidor decano de su ayuntamien to ; y otra de la villa de ia Rambla, que componían D. Antonio de Hernu da' y D. Josef de Porras; todos los cuales tuvieron la honra de manifestar á S. M. y A„ la satisfacción que animaba á aquellos habitantes al ver ya en el territorio español á las augustas Esposas de su Soberano y del Sermo. Señor Infante D. Carlos, por cuya felicidad no cesaban de di…</t>
  </si>
  <si>
    <t>Porras, Pedro de</t>
  </si>
  <si>
    <t>Pedro de Porras</t>
  </si>
  <si>
    <t>…agda lena, Sínu y Cauca para restablecer el orden y proteger á los buenos vasa llos contra los bandidos. „Mompox ha sido reforzado con una división volante al mando del bri gadier D. Pedro de Porras, que se ocupará en llevar adelante los planes de pacificación para tan desgraciados países, y otra al Sinú. . ,,Las patrañas mas groseras han esparcido Los gefes de Cartagena contra la expedición: todos los delitos, la indisciplina, el saqueo, el incendio y e…</t>
  </si>
  <si>
    <t>Porras, Pedro Ruiz de</t>
  </si>
  <si>
    <t>Pedro Ruiz de Porras</t>
  </si>
  <si>
    <t>…al segundo por su constancia y energía en la acción que mandó, apoderándose de toda la flotilla que con ducía víve/es á la plaza y del infame asesino Sanarusia que la mandaba. „E1 brigadier D. Pedro Ruiz de Porras, que ha obrado sobre Mompox</t>
  </si>
  <si>
    <t>Porras, Pedro Ruíz de</t>
  </si>
  <si>
    <t>Pedro Ruíz de Porras</t>
  </si>
  <si>
    <t>…nario de Costa-firme, y al de la misma clase D. Francisco Montalvo, capitán general del Nuevo:-Reino de Granada, la gran cruz de la Real or den americana de Isabel la.Católica: al brigadier D. Pedro Ruíz de Porras, obernador de la plaza de Sta. Marta, el ascenso á mariscal de campo : á G ). Pascual Real, cororiel del regimiento ínfanteHa ligera cazadores de Casti lla, D. Miguel de la Torre, idein del de la Victoria, y D, Francisco Tomas Morales, Ídem del del Rey de lín…</t>
  </si>
  <si>
    <t>Portales, Josef</t>
  </si>
  <si>
    <t>Josef Portales</t>
  </si>
  <si>
    <t>…mas sobresalientes, que fueron D. Felipe Neri Carral, D. Antonio Resino, D- Joseí Rodríguez, D. Simón de Sousa, D. Manuel García Santander, D. Mariano Martin, Doa Juan de Baños y D. Josef Portales, con sentimiento de no haber hecho mas para premiar los restantes, que creyó dignos todos de sus benéficas in tenciones, y dió á su sabio director las debidas gracias por su zelo y genero sas fatigas, que le hacen acreedor á los mas sublimes elogios y perpetu…</t>
  </si>
  <si>
    <t>Portillo, Eugenio Jabalquinfo y</t>
  </si>
  <si>
    <t>Eugenio Jabalquinfo y Portillo</t>
  </si>
  <si>
    <t>…licitar á S. M. la Reina, nuestra Señora, tuvo igual licuor la de la villa de Hinojosa del Duque, partido de la Serena, compuesta deí corregidor y presidente de aquel ayuntamiento D. Eugenio Jabalquinfo y Portillo, del regidor D. Josef Calzadilla , y del escribano D. Josef Navarro Berrocoso, quienes después de besar las'Reales manos de S. M. y A. les manifestaron los expresivos sen timientos de fidelidad y amor que animan á aquellos habitantes, á cuyas lea les demostra…</t>
  </si>
  <si>
    <t>Portillo, Josef Mariano Perez del</t>
  </si>
  <si>
    <t>Josef Mariano Perez del Portillo</t>
  </si>
  <si>
    <t>…D. Domingo Reboredo; el del teniente coronel de egército D. Manuel de Manzanéelo, y el del teniente co ronel de Milicias D. Martin de Somocurcio; el de los capitanes de cazadores D. Josef Mariano Perez del Portillo, D. Josef María Pereira y D. Juan Pose,</t>
  </si>
  <si>
    <t>Portillo, Pablo</t>
  </si>
  <si>
    <t>Pablo Portillo</t>
  </si>
  <si>
    <t>…n créditos: D. Diego de Huete 44: el Excmo. Sr. marques -de V¡Hadarías 10®: la congregación de clérigos menores 1692 : D.Josef Oga yar iqo: D. Salvador Ortega 80: los herederos de D. Pablo Portillo y 14mrs. : D. Juan Antonio Pitaluga ofrece, y tiene aceptado S. M., 2 5 50 rs. •que alcanza por valor de 200 encerados entregados para la artillería, 2 5 5c eti créditos: D. Pedro Talasac 66: D. Antonio Sánchez Peñuela ico : D. Fabio Muiñoz 320: D. Pedro Garc…</t>
  </si>
  <si>
    <t>Portu, Juan Inciarte y</t>
  </si>
  <si>
    <t>Juan Inciarte y Portu</t>
  </si>
  <si>
    <t>…. Juan Dieguez Miguez y D. Andrés Ramos. Vara la graduación de tenientes de Fragata d los que lo están de alférez de Navio D Pedro Sánchez, D. Juan Alias, D. Pedro García Galindo, D. Juan Inciarte y Portu y D. Julián Alias.</t>
  </si>
  <si>
    <t>Portugal, Infanta de</t>
  </si>
  <si>
    <t>Infanta de Portugal</t>
  </si>
  <si>
    <t>…o lbañez, de edad de 18 años, y de estudio 15 meses. Madrid 12 de Junio. El dia 6 del corriente se presentaron á felicitar á S. M. con motivo de su concertado enlace con la Serma. Sr. Infanta de Portugal Doña María Isa bel, por la villa de Velez-blanco, el Excmo. Sr. conde de S.ntago, grande de España de primera clase, gentilhombre de cámara de S. M- con egercicio y el Excmo. Sr. duque de Fernandina, hijo primogénito del Excmo. Sr. marques de Viliafranca y los Velez , grand…</t>
  </si>
  <si>
    <t>Portugal, Josef de Espinosa Tello de</t>
  </si>
  <si>
    <t>Josef de Espinosa Tello de Portugal</t>
  </si>
  <si>
    <t>…persuadido y muy satis fecho la han desempeñado los cabildos. El d ia 6 de Setiembre dei año próximo pasado de 1815 falleció en esta corte á los 52 años y medio de edad el Excmo. Sr. D. Josef de Espinosa Tello de Portugal, teniente general de la Real armada, caballero pensionada de la Real orden española de Carlos m, director del depósito de hidrogra fía , y ministro secretario que fue del supremo consejo de Almirantazgo. Des pués de una educación muy esmerada que recibió en c…</t>
  </si>
  <si>
    <t>Portugal, María Isabel de</t>
  </si>
  <si>
    <t>María Isabel de Portugal</t>
  </si>
  <si>
    <t>…r me dio de los do, comisionados suyos, decano y amiqi mr de aquel cuerpo, tiene la honra de felicitara V M. por su casamiento tan intensante, acorda do con la Serma. Sra. Infanta Doña María Isabel de Portugal, v como sus anhelos, los de la ciudad de Barcelona , y los de la provincia entera de</t>
  </si>
  <si>
    <t>Portugal, María Isabfl de</t>
  </si>
  <si>
    <t>María Isabfl de Portugal</t>
  </si>
  <si>
    <t>…Señor: La fidelísima ciudad de Cervera, en el prircipado de Cataluña, de voto en cortes, nos encarga la lisonjera combion de felicitar á V. M. por su próximo enlace con la Infanta Doña María Isabfl de Portugal. Faltaba en verdad á los votos de los españoles , después de h.-bcr libo lado á su pa tria , vengado el ultraje nacional y icccbtado su Rey , que ni Rey con los vínculos sagrados, que son la base de toda sociedad. c f e.iese la esperanza de perpetuar una dina…</t>
  </si>
  <si>
    <t>Posadilla, Juan Alvarez</t>
  </si>
  <si>
    <t>Juan Alvarez Posadilla</t>
  </si>
  <si>
    <t>…os y alcaldes ordinarios, sino también á. los letrados para precaver abusos de fatales consecuencias, con otros puntos curiosos de policía y buen gobierno de los pueblos: su autor D. Juan Alvarez Posadilla , corregidor que ha sido en distintas poblaciones, villas y ciudades del reino, y últimamente fiscal,del crimen de la Real audiencia de Valencia: tercera impresión con Real privilegio en tres tomos en 4.0 de 400 á 500 páginas cada uno, en papel entrefino. El…</t>
  </si>
  <si>
    <t>Postigo, Miguel López del</t>
  </si>
  <si>
    <t>Miguel López del Postigo</t>
  </si>
  <si>
    <t>…tura regular , color trigueño , cer rado de barba, con levita azul turquí, sombrero redondo y en calcetas. La persona que supiere de su paradero se servirá comunicarlo en Madrid i D. Miguel López del Postigo , del contercio; en Logroño á D. Marcial Martínez , y en Burgos á Don Tomas de Medina. D. Francisco Asensio, oficial que fue de la Real biblioteca de S. M., en la avanzada edad de 64 años grabó en el diámetro de un real de plata la cronología de ios Reyes de…</t>
  </si>
  <si>
    <t>…yo del corriente año, exigiendo pasaporte, y anda mendigando, cuyas señas son: estatura regular, color trigueño, cerrado de barba, edad 30 años; se servirá comunicarlo en Madrid á D. Miguel López del Postigo, del comercio de lienzos, calle de Toledo, quien ademas de agradecerlo dará 5$ rs. vn. de gratifi cación, verificada que sea la evidencia y custodia; y si lo presentasen abonará ade mas los gastos de la conducción. Demostración práctica del modo de hacer las…</t>
  </si>
  <si>
    <t>…yo del corriente ano, exigiendo pasaporte, y anda mendigando, cuyas senas son; estatura regular, color trigueño, cerrado de barba, edad 30 años; se servirá comunicarlo en Madrid á D. Miguel López del Postigo, del comercio de lienzos, calle de Toledo, quien ademas de agradecerlo dará 5© rs. vn, de gratifica ción , verificada que sea la evidencia y custodia; y si lo presentasen, abonará ade mas los gastos de la condiiccion. Se previene que el 28 de Julio próximo es…</t>
  </si>
  <si>
    <t>Potocki, Estanislao</t>
  </si>
  <si>
    <t>Estanislao Potocki</t>
  </si>
  <si>
    <t>…A. Varsovia /p de Febrero. Se asegura que las plazas de gobernadores en la Polonia rusa se darán en adelante únicamente á polacos que esten ai servicio de Rusia. Por esta razón el conde Estanislao Potocki, ayudante general del Emperador Alejandro, ha sido nombrado gobernador de Wolhinia. Se ha celebrado en Cracovia una dieta de 26 pueblos que componen la república de este nombre. B A VIERA. Bamberg 2 de Marzo. La esperanza renace en estos países, y se dice que…</t>
  </si>
  <si>
    <t>Poulle, Fernando</t>
  </si>
  <si>
    <t>Fernando Poulle</t>
  </si>
  <si>
    <t>…ucta que observaron en la defensa de la plaza de Madrid en 3 y 4 de Diciembre de 1808 , y en todo el tiempo que permanecieron prisioneros de guerra en Francia el mariscal de campo D. Fernando Poulle, los capitanes D. Josef Coupigni y D. Agustín de Mena, los primeros tenientes marques de Torrer nueva, D. Manuel Liaño, D. Josef Joaquín de Craivenkel, D. Teodoro Goiffieux, y el segundo teniente marques de Bassecourt, oficiales del expre sado cuerpo de Reale…</t>
  </si>
  <si>
    <t>Poulle, Fernando de</t>
  </si>
  <si>
    <t>Fernando de Poulle</t>
  </si>
  <si>
    <t>…, siendo los últimos que le han representado ios ofi ciales de Reales Guardias de infantería Walona, que pertenecían al bata llón tercero, y á nombre de todos el mariscal de campo D. Fernando de Poulle, que era su comandante; acompañándole el diseño á que desean se arregle la cruz, llevándola pendiente al cuello de una cinta azul turquí, con filetes encarnados, que tiene el honor de elevar á V. M., igualmente que su representación original. %</t>
  </si>
  <si>
    <t>Poutoux, Juan</t>
  </si>
  <si>
    <t>Juan Poutoux</t>
  </si>
  <si>
    <t>…motivo de su ajustad© enlace con la Serma. Sra. Infanta de Portu gal Doña María Isabel Francisca los Sres. D. Francisco López de Alcaraz, ministro del supremo consejo de Hacienda, D. Juan Poutoux, mariscal de campo de ios Reales egércitos, y D. Ginés Ruiz de Moya, capellán de ho nor de S. M., obtuvieron audiencia particular el dia i.° de este mes; en la cual pronunció el Sr. Alcaraz el siguiente discurso: ,,Señor: Si los matrimonios acertadamente ajus…</t>
  </si>
  <si>
    <t>Poza, Nicolás Martínez de</t>
  </si>
  <si>
    <t>Nicolás Martínez de Poza</t>
  </si>
  <si>
    <t>…rancis co , y un numeroso concurso de ambos sexos, se dió principio con la lee^ tura del reglamento; hizo uno de los niños un corto discurso análogo al asunto; presentó el maestro D. Nicolás Martínez de Poza varias copias de las coleccione^de Torio y Zafra; dió lección á tres clases de niños por los silabarios; sígureroh tos de leer; presentaron sus planas los de escribir• for maron y explicaran las primeras reglas de cuentas; explicaron la ortoárafía, la doctrin…</t>
  </si>
  <si>
    <t>Pozo, Alfonso del</t>
  </si>
  <si>
    <t>Alfonso del Pozo</t>
  </si>
  <si>
    <t>…medio de procurador con poder bastante, á deducirle y exponerle en este mi juzgado de Reales caballerizas, y escribanía de las mismas, que está al cargo del in frascrito escribano D. Alfonso del Pozo; apercibidos de que pasado dicho término sin haber comparecido se procederá á lo que haya lugar, y les parará perjuicio, sin mas citarles ni emplazarles. En virtud de providencia del Sr. D. Joaquín de Almazan, del consejo de S. M., teniente de corregidor de e…</t>
  </si>
  <si>
    <t>…ntados desde la publicación de este, acudía por sí ó por medio de procurador con poder bastante á deducirle y cxpone¡le en dicho jii/¿ 1 f &gt; y escribanía de las mismas al cargo de D. Alfonso del Pozo; con aper cibí miento que pasado dicho término sin haber comparecido, sin mas citarles ni em plazar L-s , se procederá á loque corresponda, y Íes parará el perjuicio que haya lugar. En acuerdo celebrado en 11 del pasado por los señores patronos de las Memo* r…</t>
  </si>
  <si>
    <t>…Josef de Vilchcs, del Consejo y Cá mara de S. M. , juez asesor del juzgado de Reales cabal &lt;er izas, ballestería y de mis ramos agregados, su fecha g del corriente, refrendada de D. Alfonso del Pozo, es cribano de S. M. y del referido juzgtdo, se ha mandado sacar á pública subasta pa ra pago de acreedores una casa sita en esta corte y calle de Quiñones , ó de Sto. Do* min'o la nueva, señalada con el núm. 3 de la mmz. 515 , tasada en 341 66 rs. ▼«., de cu…</t>
  </si>
  <si>
    <t>Prades, Antonio Colomer de</t>
  </si>
  <si>
    <t>Antonio Colomer de Prades</t>
  </si>
  <si>
    <t>…e Cuenca, R. obispo de Cádiz, y á los Sres. Secretarios del Despa cho de Marina D. Josef Vázquez Figueroa, y de Hacienda D. Manuel Ló pez Araujo. r- f &lt; Cruces supernumerarias i A D. Antonio Colomer de Prades, natural de Morelfe; D. Vicente María Aguiar , dignidad de la catedral de Mondoñedo ; D* Juan JosefiFagoaga, ve cino de México ; D. Juan PedraGómez, natural de Talavera de la Reina; D. Francisco de Paula Aguilar y Nava , regidor de la ciudad de Ubeda; Don</t>
  </si>
  <si>
    <t>Prado, Benito de</t>
  </si>
  <si>
    <t>Benito de Prado</t>
  </si>
  <si>
    <t>I2T7 oficial de la secretaría de Hacienda, D. Lorenzo Taboada y Ulloa, combarío ordenador de los Reales egércitos, y D. Benito de Prado, gentilhombre de boca de S. M., tuvo la honra de felicitar en el misino día 13 al Rey nues tro Señor y ai Serenísimo Sr. Infante D. Carlos María por sus augustos des posorios en los términos siguientes: „Señor: Los ecos de tumultuosa alarma dejaron ya de oirs…</t>
  </si>
  <si>
    <t>Prado, Josef de</t>
  </si>
  <si>
    <t>Josef de Prado</t>
  </si>
  <si>
    <t>…, 150. D. Alfonso López, diputado segun do, 50. D. Bartolomé de Castro 400. D. Juan Blas Herrera, escribano de ayuntamiento, 100. D. Juan Luis Jurado 300. D. Martin de Castro 300. D. Josef de Prado 500. D. Andrés Jurado 200. D. Rafael Zamorano 200. D. Juan Zamorano 300. D. Alfonso Zamorano 300. D. Luis de Herrera 320. D. Juan López 200. D. Mateo del Prado 200. D. Sebastian de Castro Jura do 200. D. Andrés Antonio Herrera 300. D. Alfonso Jurado 100. D. F…</t>
  </si>
  <si>
    <t>Prado, Juan Alonso de</t>
  </si>
  <si>
    <t>Juan Alonso de Prado</t>
  </si>
  <si>
    <t>…á D. Alonso Ramón Rubio: para la de Alaejos á D. Juan Rabanal y Hevia: para la de Torrelobaton á D. Eugenio Hernández Borbon: para la de Siruela á D. Pedro Cano: para la de Teba á D. Juan Alonso de Prado: para la de la Coruña á D. Manuel Fernandez .Duran: para la de Miranda del Castañar á D, Francisco Cornsgo: para la de Fuente de Cantos á D. Roque Naranjo: para la de Jarandilla á D. Josef González: para la de Salas de los Infantes á D. Manuel de! Pozo: para…</t>
  </si>
  <si>
    <t>Prado, Juan Diez</t>
  </si>
  <si>
    <t>Juan Diez Prado</t>
  </si>
  <si>
    <t>…miento, y enseñarles rún interes alguno; por cuya generosidad y sen timientos tan humanos le dió nuevamente gracias el procurador general, y asienó una medalla de premio al alumno D. Juan Diez Prado, que en su edad de solos nueve años le conceptuó el mas agil y sobresaliente en (as fí bulas, historia sagrada, gramática castellana y aritmética; y el mismo pro curador general ofreció) una medalla en premio al jó ven que en los próximos exámenes del mes de…</t>
  </si>
  <si>
    <t>Prado, Lúeas de Ontañon y</t>
  </si>
  <si>
    <t>Lúeas de Ontañon y Prado</t>
  </si>
  <si>
    <t>…mingo de Mier y Mioño, maestrante de Sevilla; D. Ignacio Canivell, consejero de Hacienda; D Josef Cesáreo de la Rosa, medio racionero de la santa iglesia de Guadalajara de Indias; D. Lúeas de Ontañon y Prado, teniente del regimiento de húsares de Veracruz , y D. Joaquín Marta Ferrer, capi tán del regimiento de voluntarios distinguidos de la Concordia áei Perú. POR LA SECRETARIA DE GRACIA Y JUSTICIA. Merced de título de Castilla con la denominación de marques de V…</t>
  </si>
  <si>
    <t>Prado, Mateo del</t>
  </si>
  <si>
    <t>Mateo del Prado</t>
  </si>
  <si>
    <t>…artin de Castro 300. D. Josef de Prado 500. D. Andrés Jurado 200. D. Rafael Zamorano 200. D. Juan Zamorano 300. D. Alfonso Zamorano 300. D. Luis de Herrera 320. D. Juan López 200. D. Mateo del Prado 200. D. Sebastian de Castro Jura do 200. D. Andrés Antonio Herrera 300. D. Alfonso Jurado 100. D. Fran cisco Molina 100. D. Lorenzo Molino 100. D. Agustín Perez de la Las tra 100. Doña María Josefa Jurado 100. D. Sebastian de Castro López 300. Doña Ana de Cas…</t>
  </si>
  <si>
    <t>Prado, Santiago</t>
  </si>
  <si>
    <t>Santiago Prado</t>
  </si>
  <si>
    <t>…rdo Abeleira y Montes. = Exce lentísimo Sr. virey del Perú manques de la Concordia.'* 3.° Del gobernador intendente interino de Puno. ,, Excmo. Sr.: Con noticia que tuve de que el teniente Santiago Prado, «no de los confederados y principales motores de la revolución del Cuzco., se hallaba entre los límites de esta y aquella provincia , previne lo oportuno para su aprehensión á mi subdelegado del partido de Lampa el teniente co ronel D. Pedro Murga: sus provi…</t>
  </si>
  <si>
    <t>Prado, Tomas de Sancha y</t>
  </si>
  <si>
    <t>Tomas de Sancha y Prado</t>
  </si>
  <si>
    <t>…s parará el perjuicio que haya lugar. En virtud de providencia dei Sr. D. León de la Cámara'Cano, del consejo de S. M., teniente primero de corregidor de esta villa, refrendada de D. Tomas de Sancha y Prado, escribano de su número, se hace saber á todos los acreedores de la testamentaría de la Excma. Sra. Doña Teresa Salazar y Morales, marquesa que fue de Someruelos, condesa de Montarco, y que no han comparecido todavía en el jui cio universal de dicha testament…</t>
  </si>
  <si>
    <t>…ia de S. S. En el juzgado del Sr. D. León de la Cámara Cano, del Consejo de S. M., te niente primero corregidor de esta heroica villa de Madrid, y por la escribanía del nú mero de D. Tomas de Sancha y Prado, se halla radicada la testamentaría de ¡a Ex celentísima Sra. Doña Teresa Salazar y Morales , marquesa que fue de Someruelos, condesa de Montarco; y habiéndose celebrado junta general de sus acreedores y he rederos el dia 19 de Noviembre último, se acordó, en…</t>
  </si>
  <si>
    <t>…de 1817. En el juzgado del Sr, D. Leoti de la Cámara Cano, del consejo de S. M. « pri mer teniente corregidor de esta heroica villa de Madrid &amp;c., y por la escribanía numeraria de D. Tomas de Sancha y Prado, se halla radicado el juicio universal de testamentaría de la Excma. Sra. Dona Teresa Salazar y Morales, marquesa que fue de Someruelos, condesa de Montarco; y habiéndose celebrado justa general de he rederos y acreedores á dicha testamentaría en 26 de Febrer…</t>
  </si>
  <si>
    <t>…ría D León de la Camara Cano, del consejo de S. M. 7 corregidor interino de esta villa, en el término de 30 días, contados desde el dia 4 del corriente, y escribanía del número de D. Tomas de Sancha y Prado, que se les admitirán las que hicieren. Se halla vacante el partido de médico de la villa de Cebrcros, en Ja provincia de Avila, que se compone de 500 vecinos, y dista de esta corte 13 leguas: su doticion es de 700 ducados, cobrados mensualmente de los caudal…</t>
  </si>
  <si>
    <t>…s Pulgas, núm. 4, manz. 91, ta sada en 117430 rs. vn., que se vende para pago de acreedores. La persona que qui siere hacer postura acuda á dicho juzgado y escribanía de número de D. Tomas de Sancha y Prado, que se le admitirán las que hicieren. Por providencia de los Sres. del Real y supremo Consejo de Castilla se ha man dado publicar por 15 dias mas la dehesa titulada del Madroño, sita en término de la villa de Cabeza del Buey, partido de la Serena, provincia…</t>
  </si>
  <si>
    <t>…S.; con prevención de que se -haga saber á los ignorados por medio de este aviso, á fin de que puedan concur rir y presentaras respectivos créditos en la escribanía d«l número de D. Tomas de Sancha y Prado, ¡por la cual se siguen los autos de este concurso. En virtud de providencia del Sr. D. Joaquín Almazan y Xímeno, del Consejo de S. M., teniente corregidor de esta villa , dada por la escribanía del número al cargo de D. Cristóbal de Vicuña , se cita, llama y…</t>
  </si>
  <si>
    <t>…asada en 97961 rs. vn., de los que se deducirán las de mas con que se halla gravada. La persona que quisiere hacer postura á ella ocurra á dicho juzgado y escribanía del número de D. Tomas de Sancha y Prado, que se les admitirán las que hicieren. Por decreto de los Señores del Real y supremo Consejo de Castilla, su fecha 9 «le este, mes,' se ha mandado volver á sacar á subasta por término de 15 dias un horno de pan cocer, una huerta y cinco fanegas de tierra, pe…</t>
  </si>
  <si>
    <t>…ineros &amp;c. El.Sr. t&gt;. León de U Cámara Cano, del Consejo de S. M., teniente primero y corregidor interino de esta heroica villa, en cuyo juzgado, y por la escribanía del número de D. Tomas de Sancha y Prado, se halla radicada la testamentaría de Don Diego López Perella, í instancia del defensor judicial de la misma, ha señalado,?! día 25 de Enero de 18 17 i las 9 de la mañana en la posada de S. S. para jtinta ge neral de acreedores é interesados en dicha testame…</t>
  </si>
  <si>
    <t>Prado, Toteas de Sancha y</t>
  </si>
  <si>
    <t>Toteas de Sancha y Prado</t>
  </si>
  <si>
    <t>…apuros en que se encuentra su Real erario. Por la audiencia del Sr. D. Joaquín Alma2an, del Consejo de S. M., teniente corregidor de esta villa, y por la escribanía dei numero de D. Toteas de Sancha y Prado, se vende á voluntad de su dueño una casa sita en esta corte en la calle de los Dos Amigos, rum. 10, manz. 539, que tiene 5847 píes de superficie ó arca plana, tasada en lenta en ('%&amp; rs. anuales después de eget litadas'-las obras y repares que necesita, y en…</t>
  </si>
  <si>
    <t>Praty, María</t>
  </si>
  <si>
    <t>María Praty</t>
  </si>
  <si>
    <t>…a, D. Antonio Cervero, D Gregorio Sech, D. Antonio Iractburu y D. Antonio Chicoy , é igualmente las niñas Doña Margarita Joanicot, Do-; ña Concepción Jordá, Doña Brígida Buchelli, Doña María Praty Doña Jo sefa Piquer. Para costear estos premios contribuyeron generosamente diferentes corpo raciones, socios y particulares con las cantidades siguientes: el limo. Sr. ar zobispo director con 3© rs. para estos y demas objetos de la atribución del cuerpo: la Real mae…</t>
  </si>
  <si>
    <t>PrdsoMo</t>
  </si>
  <si>
    <t>…a dei Avestruz, original de Eoucner, primer pintor del Rey de 1* rancia Luís xv , grabada per D. Blas Ainetiler, i 4o rs*__La pesca del Cocodrilo , original deí mismo, cribada por D. PrdsoMo á 40.—El Cristo de la Paz, dibujada y grabada per D. Juan Antonio C.armera, í 20----Jtsus, María y Josef, original de Murillo , gis inda per D. Juan Aun.pío Car mona , i 1 2.„_ Nuestra Señera de la Concepción , oEinai de Mateo Cerezo, gra bada por el mismo, á…</t>
  </si>
  <si>
    <t>Preameneu, Bigot de</t>
  </si>
  <si>
    <t>Bigot de Preameneu</t>
  </si>
  <si>
    <t>…iseul Gduftier, Morellet, el conde d’Aguesseau, el conde Volney, Andrieux, el abate Sieard, ei conde de Cessac, villar, el conde de Fontanes, el conde Francisco de Neufchateau, ei conde Bigot de Preameneu , el conde de-Segur , Lecretelle primogénito, el conde Daru, ReynOuard, Pieard, el conde Destutt-Tracy, Lemercier, Perseval- Grandmaison, el.viz conde de Chateaubriand, Lacretelle , Alejandro Duval, Campenon, Michaud , Aignau, de Jouy, Baour-Lormian, de Beaus…</t>
  </si>
  <si>
    <t>Prendegart, Josef</t>
  </si>
  <si>
    <t>Josef Prendegart</t>
  </si>
  <si>
    <t>…y comodidades. Su aprecio extrajudicial' por inteligentes y peritos asciende \i 53BaqBprs.. El que quisiere tratar de comprarla, acudirá en Cádiz á los síndicos ¡Márcelo Polanco, D. Josef Prendegart y D. Pedro de Paul, quienes admitirán toda proposición que fuese razonable. Estos mismos desean quienes pue den ser los herederos ó aibaceas del difunto D. Juan Reyes, que naufragó en la ba hía de Gibraltar el año de 1813, para comunicarles asunto que les interesa. En la Real f…</t>
  </si>
  <si>
    <t>Presidente</t>
  </si>
  <si>
    <t>…e el mes de. Mayo al de Noviembre. Como S. M. se ha dignado conceder para la obra del puerto una parte del derecho de Cops, pero sin-clasificar cuál se?se ha .oficiado ya al limo. Sr. Presidente de la Real junta de Cops; y el recpetable carácter y circunstancias de los partícipes de aquel.derecho ha cen esperar que mirarán con satisfacción el dar.un testimonio del interes que toman por el bien público, deiúostrañdo su generosidad en esta parte. Los o…</t>
  </si>
  <si>
    <t>…nación enemiga, y que no se admitiese ninguna hasta que S. M., á consulta del Consejo, se sirviese resolver lo que debía ob servarse. Vista por el Consejo, con lo informado por el Sr. Presidente del honra do Concejo de la Mesta, y expuesto por el Sr. Fiscal, se ha servido resolver ea auto de 29 de Marzo ultimo, se expida orden circular á los Corregido res y Alcaldes mayores, Subdelegados de la Presidencia de Mesta, para que suspendan por ahora, y has…</t>
  </si>
  <si>
    <t>…do para los efectos que convengan , y dispondréis que se le expida la competente Real cédula comprensiva á esta gracia. Palacio á ij de Octubre de 1816.= Rubricado—:Fernando. = Al duque Presidente.” Con fecha de 30 de Setiembre próximo pasado se ha servido el Rey di rigir al señor presidente del Consejo el Real decreto siguiente: ,,Satisfecho del amor y fidelidad que me ha acreditado el ayuntamiento de esta heroica villa de Madrid» y de sus nobles esfu…</t>
  </si>
  <si>
    <t>…traslado á y. E. para su inteligencia y satisfacción, y de mas efectos convenientes. Dios guarde á V. E. muchos años. Madrid 2 de Octubre de i8r6==El Duque del InfanAac&amp;fcscExcmo. Sr. Presidente y: Ayuntamiento de Cádiz.”’ En su vista acordó el Excmo. A) untamiento que.para perpetuar del mor do mas público la memoria de tan honorífico título, se hje una lápida en las casas Capitulares con la siguiente inscripción : Casas Consistoriales de la Muy Nobl…</t>
  </si>
  <si>
    <t>Presidente, Duque</t>
  </si>
  <si>
    <t>Duque Presidente</t>
  </si>
  <si>
    <t>…impedimento ¡nd.puéda desem peñar este encargo el Sr. Conde de Miranda, á quien se lé ha conferido. Esta Real resolución se ha comunicado al Consejo por el referido Exce lentísimo Sr. Duque Presidente para su inteligencia, y que le acompañe en tan singular satisfacción; ,y habiéndose publicado en él, ha acordado se cir cule á las Justicias de los pueblos por donde transitare S. E. para el desenir peño de. su elevado encargo , á fin de que esten á la mira d…</t>
  </si>
  <si>
    <t>Prieto, Antonio Romero</t>
  </si>
  <si>
    <t>Antonio Romero Prieto</t>
  </si>
  <si>
    <t>…Arroyo del Puerco á D. Pedro Alzorriz Morgado : para la de Monteagudo á D. Francisco Fernandez Molina: para la de Mombeltran á D. Benito Gabriel de Aguilera: para la de Rioseco á D. Antonio Romero Prieto: para la de Navas del Marques á D. Rafael de Acosta: para la de Villafrechos á D. Juan García Barba: para la de Motril á D. Josef Manzano Márquez: para la de Iznajar á D, Josef Manuel Sánchez del Aguila: para la de Alarcon á D. Alonso Ramón Rubio: para la de…</t>
  </si>
  <si>
    <t>Prieto, Fernando</t>
  </si>
  <si>
    <t>Fernando Prieto</t>
  </si>
  <si>
    <t>…D. Carlos Milre40. D. Esteban Gómez 20. D» Felipe Eneri y Seda 40. D. Gregorio Fernan dez 46. D. Fernando Larrondo 92. D. Martin Ocaf.a 20. D. Blas María 20. D. Pedro Pacheco 20. D. Fernando Prieto 24. D. Juan Ballesteros 20. Don Ruperto Molinero 16. D Josef Brochero 40. D Manuel Palomares 30. Don Pabio Aviles 23 D. Joaquín Delgado 69. D. Sebastian Zahonero 60. D. Pe dro Espina 11 5. D. Manuel García 46. D. Francisco Meneses 4. D. Manuel Castellano 22.…</t>
  </si>
  <si>
    <t>Prieto, Joaquín María</t>
  </si>
  <si>
    <t>Joaquín María Prieto</t>
  </si>
  <si>
    <t>…sef Martínez "Pazos, D. Antonio Sierra y D. Narciso Fernandez Matamoros; graduación de ofi cial primero al segundo D. Josef Fernandez Tauste; graduación de segundos á los terceros D. Joaquín María Prieto y D. Mariano Faquineto ; graduación de terceros á los cuartos D. Tomas Subiela y D. Francisco Sanz Andino Lavaggi; graduación de cuartos á los quintos D. Isidoro Carreras y D. Josef Pajares, y graduación de quintos á los meritorios D. Aquilino Ibérnon y Don Josef María Martinez. PO…</t>
  </si>
  <si>
    <t>Prieto, Matías Herrero</t>
  </si>
  <si>
    <t>Matías Herrero Prieto</t>
  </si>
  <si>
    <t>…o de 1816. = Josef delbarra. El Rey se ha servido nombrar para la plaza de alcalde del crimen de la chancillería de Valladolid, vacante por muerte de D¡. Vicente Ramón del Vigo, á D. Matías Herrero Prieto, que lo era de la de Granada, con la an tigüedad que le corresponda: para la fiscalía de la audiencia de Canarias i D. Gerónimo Zemborain: para la plaza de alcaide mayor de la audiencia de Asturias á D. Angel Govantes Fernandez de Angulo: para la última plaza…</t>
  </si>
  <si>
    <t>Príncipe</t>
  </si>
  <si>
    <t>…i aun se mentaba á la Princesa de Gales, cuya partida á Milán se verificó antes que $. A. pudiese saber la aprehensión de es tos papeles. Idem 2 r. Se espera de dia en dia al feld-mariscal Príncipe de.Schwartzemberg, •Luego que llegue se efectuarán todas las reformas proyectadas en la parte militar.</t>
  </si>
  <si>
    <t>Protector</t>
  </si>
  <si>
    <t>…traído por la so lemnidad del acto. Colocados en sus correspondientes asientos la junta del Real Museo, los profesores del jardín y los discípulos, dio principio al acto el Excmo. Sr. Protector, manifestando en un breve discurso los grandes bene ficios que el jardin botánico había recibido del Rey nuestro Señor, y el ob jeto de la interesante ceremonia que iba á empezar. En seguida fueron nom brados por su orden los discípulos premiados, y entregó á…</t>
  </si>
  <si>
    <t>Proust, Luis</t>
  </si>
  <si>
    <t>Luis Proust</t>
  </si>
  <si>
    <t>…jo Real que la academia médica Matri tense informase sobre la naturaleza de ella ; y habiéndolo egecutado este cuerpo, después que por su encargo la analizó el profesor de química Don Luis Proust, se declaró que eran ciertas Jas virtudes y calidades de la men cionada agua.*Después dé esto en , este- taño de 1-816 eb Excmo. Sr. Duque Presidente del Consejo Real mandó que la volviese á examinar la junta supé-í rior gubernativa de Medicina' , lá Cüal-,*…</t>
  </si>
  <si>
    <t>Puente, Clemente</t>
  </si>
  <si>
    <t>Clemente Puente</t>
  </si>
  <si>
    <t>…la Rioja, se halla vacante la plaza de orga nista: su dotación es 8 rs. diarios, pagados mensualmente con toda puntualidad. Los aspirantes á dicha plaza dirigirán sus memoriales á D. Clemente Puente, cura párroco de ella, pagados los portes; previniendo que el examen, que ha de ser en órgano y canto, está prefijado para el 26 del corrienre. Se abre subscripción y venta por cuadernos, á los que no subscriban, á la obra periódica intitulada Nuevo Semanario…</t>
  </si>
  <si>
    <t>Puente, Josef Salomé García</t>
  </si>
  <si>
    <t>Josef Salomé García Puente</t>
  </si>
  <si>
    <t>…á SS. MM. y AÁ. por el cabildo de la iglesia catedral de Scgovia los Sres. D. Francisco Valle Rol dan , audiror de la Nunciatura , del Consejo de S. M., y arcediano de Cuellar, y*D. Josef Salomé García Puente, canónigo de dicha iglesia , juez del tribunal apostólico y Real de la gracia del Excusado, oidor honorario de la Real chanciileru de Vallado-lid, caballero de la Espuela de oro, y director de los Reales hospicios de S. Fernando de esta corte; de los cuales e…</t>
  </si>
  <si>
    <t>Puente, Juan</t>
  </si>
  <si>
    <t>Juan Puente</t>
  </si>
  <si>
    <t>…n zález de Castro, contador de temporalidades, é individuo del cuerpo cole giado de la nobleza, que vive calle del Duque de Alba, casa de Consoli dación. Cuartel de Maravillas. Al Sr. D. Juan Puente, caballero de la Real y distinguida orden española de Cárlos mi , é individuo del cuerpo colegiado de la nobleza, que vive Corredera de S Pablo, núm. 9, cuarto segundo. Cuartel de Afligidos. Al Sr.-D. Ramón Risel, contador de la Real in clusa, individuo de la…</t>
  </si>
  <si>
    <t>Puerta, Francisco Saturio de</t>
  </si>
  <si>
    <t>Francisco Saturio de Puerta</t>
  </si>
  <si>
    <t>…ro: para la de Aguilar de Campó á D. Victoriano Escribano: para la de Budia á D. Vi cente Perez Sánchez: para la de Cañete de las Torres á D. Indalecio Coro nel: para la de Orce á D. Francisco Saturio de Puerta: para la de Bonillo á D. Jcaquiu González: para la de Aimanza á D. Antonio Merino y Calvo: para la de Quesada á D. Dionisio González: para la de Palma del Rio á D. Cristóbal Benitez: para ía de Salas de los Infantes á D. Sandalio de Or ne y Garav : para la de…</t>
  </si>
  <si>
    <t>Puerta, Mariano García</t>
  </si>
  <si>
    <t>Mariano García Puerta</t>
  </si>
  <si>
    <t>fantería, corregidor y capítan á guerra cíe la misma, D. Antonio Óubert y Muñoz con D. Mariano García Puerta, caballeros veinticuatros, y D. Mariano Zayas Fernandez de Córdoba , secretario mayor y mas antiguo del ayunramiento, acompañados de los Excmos. Sres. almirante duque de Veraguas, grande de España, del Consejo de Estado, y presidente del Real y supremo de Hac…</t>
  </si>
  <si>
    <t>Puerto, Santiago del Castallar de Santistéban del</t>
  </si>
  <si>
    <t>Santiago del Castallar de Santistéban del Puerto</t>
  </si>
  <si>
    <t>…ospital de la Re surrección de la misma, el señor conde de Montalco, marques de los Vales, el conde de la Roca, D. Antonio Gordonez, y el abad y cabildo de la capilla colegial del Señor Santiago del Castallar de Santistéban del Puerto. En virtud de providencia del Sr. D. Josef Salvador López del Pan, del Consejo de S. M., su alcalde de casa y corte, dada en 8 del corriente, y refrendada por el escribano de provincia y comisiones de la misma D. Luis López de Castro, se cita, llama y emplaza…</t>
  </si>
  <si>
    <t>Puga, Francisco Suarez de</t>
  </si>
  <si>
    <t>Francisco Suarez de Puga</t>
  </si>
  <si>
    <t>…an Raya, y está señalado para su remate el dia 2 2 de este mes á la puerta de la audiencia del mismo Señor en el pórtico de la Real cárcel. Por providencia de r 1 del corriente de D. Francisco Suarez de Puga, juez y justicia Real ordinaria de la ciudad de Tuy, se cita, llama y emplaza á D. Antonio Matey, vecino que ba sido de Barcelona, y á los mas acreedores á la herencia fincable de D. Jaime Alesnau, canónigo que ha sido de la santa iglesia catedral de di cha c…</t>
  </si>
  <si>
    <t>Puga, Manuel de</t>
  </si>
  <si>
    <t>Manuel de Puga</t>
  </si>
  <si>
    <t>…ese noticia de dichos individuos ó alguno de ellos, se le suplica tenga la bondad de avisar y dar razón en la calle de la Montera, al lado de la po sada de la HjrraJura, tienda de D. Manuel de Puga, y se le agradecerá. Principios de fisiología por Cirios Luis Dumas, del instituto nacional de Fran cia , miembro de mu-has sociedades (¡tcianas: 4.0 y último tomo , traducido por Don Ju m Vicente Carrasco, médico de número de los Reales hospitales, socio de…</t>
  </si>
  <si>
    <t>Puig, Miguel Coma y</t>
  </si>
  <si>
    <t>Miguel Coma y Puig</t>
  </si>
  <si>
    <t>…brevemente, y con suma claridad y sencillez los primeros principios de la lógica y de la filosofa moral._.Elementos de música para canto figurado, can to llano y semifigurado, por D. Miguel Coma y Puig. Se hallarán en la librería de Castillo, frente á S. Felipe el Real. Adiciones y repertorio general de la práctica universal forense de los tribuna les superiores é inferiores de España é Indias, con un plan circunstanciado y metó dico de los seis juicios civ…</t>
  </si>
  <si>
    <t>Pujadas, Josef</t>
  </si>
  <si>
    <t>Josef Pujadas</t>
  </si>
  <si>
    <t>…e Arias, D. Juan RoJriuuez , I). Josef Abad, D. Manuel Vicario, D. Josef Vicente Veigi, D Josef Alonso, D. Juan Vega, D. Manuel Rodríguez Almeiras j D. Cayetano Cruz. En geometría D. Josef Pujadas, D. Fermín Galceran, D Josef Sada, D. Ignacio Palacios, D. Tomas Diago, y los citados D Josef Perez y D. Juan Pablo Rodríguez. En trigonometría plana D. Manuel Ban dujo, O. Cándido Pulleiro, D. Joaquín Hernández, D. Eusebio Arróspide, D. Ramón González ,D. Do…</t>
  </si>
  <si>
    <t>128o sef Alonso, D. Juan Vega\ D. Manuel Rodríguez Almeiras y D. Cayetano Cruz. En geometría D. Josef Pujadas, D. Fermín Gaiceran, D. Josef Sada, D. Ignacio Palacios , D. Tomas Díago, y los citados D. Josef Perez y Don Juan Pablo Rodríguez. En trigonometría plana D. Manuel Bandujo, Don Cándido Pulleiro, D. Joaquín Hernández, D. Eusebio Arróspide, D. Ra món González,…</t>
  </si>
  <si>
    <t>Pulleiro, Cándido</t>
  </si>
  <si>
    <t>Cándido Pulleiro</t>
  </si>
  <si>
    <t>…ujadas, D. Fermín Gaiceran, D. Josef Sada, D. Ignacio Palacios , D. Tomas Díago, y los citados D. Josef Perez y Don Juan Pablo Rodríguez. En trigonometría plana D. Manuel Bandujo, Don Cándido Pulleiro, D. Joaquín Hernández, D. Eusebio Arróspide, D. Ra món González, D. Domingo Valay y D. Vicente Matis. En trigonometría esférica D. Francisco Gaiceran, D. Lino Pacheco, D. Marcelino Deus, y los citados Hernández, Arróspide, Bandujo, Pulleiro, González y Va lay…</t>
  </si>
  <si>
    <t>Puma, Ped.o</t>
  </si>
  <si>
    <t>Ped.o Puma</t>
  </si>
  <si>
    <t>…para la de Monraíbar . aitio d* C rdoba, ¿ D. Juan Josef López: para la de Cea á D. Vicente i vz Sánchez: para la de Buendia á D. Felipe Mingojuan: para la de Sal.«s u&gt; I fuves i D. Ped.o Puma rejo y Velarde : para la de Pedraza á D. SanJti; &gt; Orne y Garay ; y para la del Valle de Ay ala á D. Vicente Diaz de O.arte. Por resolución á consulta de! supremo Cornejo de Hacienda , y á so lici tud del teniente coronel de infanteiía D. Francisco Antonio \…</t>
  </si>
  <si>
    <t>Pumbo, Esteban de</t>
  </si>
  <si>
    <t>Esteban de Pumbo</t>
  </si>
  <si>
    <t>…la prisión de los insurgentes bastante conocidos que estaban en tierra, y son el Dr. D. Josef María Toledo, Dr. D. Miguel Díaz Granados, D. Domingo Granados, Dr. D. Basilio Toro, D. Esteban de Pumbo, y familia, D. María Amador , é id., D. Santiago Launa, é id., D. Manuel Verve id., D. Fran cisco Fierro é hijo. Quedaron apresados los individuos siguientes: á saber , Manuel Antonio, Manuel y Leandro Salgado, nueve esclavos de la familia de Amador y uno de…</t>
  </si>
  <si>
    <t>Puyada, Feliciano Antonio de</t>
  </si>
  <si>
    <t>Feliciano Antonio de Puyada</t>
  </si>
  <si>
    <t>…tin á la or den de Doña María Antonia López sobre D. Josef Romero Campo , de Cá diz : otra de 1800 rs. dada en Cádiz á 29 de Noviembre de 1808 por Ra món Manuel Laífore á orden de D. Feliciano Antonio de Puyada sobre D. Santiago Angel de Velasco: otra de 160 id, dada en Vitoria á 11 de Enero de 18 it por Bagnere hermanos á la orden de D. Diego Díaz de Acevedo sobre D. Pedro Baille1 y compañía, de Madrid: otra de dos doblones dada en París en 15 de Julio de 1811 por…</t>
  </si>
  <si>
    <t>Qberhauser, P. Benedicto</t>
  </si>
  <si>
    <t>P. Benedicto Qberhauser</t>
  </si>
  <si>
    <t>…s á los alcaldes ordinarios de ella hasta el dia 24 del corriente. D.¡'Zegeri Bernardi Van-Espen celeberrimi jurisconsulti lorantensis jus eccle* siasticumiin epitome iredactum Á. D. P. Benedicto Qberhauser, J. U. D. reverendí apipelsiSsimi S. R. J, prinrípi acjarchiepiséopi Salisburgensis consiliario ecclesiastico, additisjbrevibus SS^Patriim sentOntiis: dos tomos en 4.0: su precio 32 rs. en pasta. Se hallará en la librería'de Bailo , calle de las Carretas. Lec…</t>
  </si>
  <si>
    <t>Queipo, Juan Antonio de Rojas</t>
  </si>
  <si>
    <t>Juan Antonio de Rojas Queipo</t>
  </si>
  <si>
    <t>…. Luis Clouet, ei subteniente de dra gones retirado D. Josef Mariano Zavala, D. Juan Josef Echezuria, vecino de Caracas; el coronel del Real cuerpo de ingenieros D. Josef Parreño; Don Juan Antonio de Rojas Queipo, racionero de la santa iglesia de Caracas; Don Domingo de Mier y Mioño, maestrante de Sevilla; D. Ignacio Canivell, consejero de Hacienda; D Josef Cesáreo de la Rosa, medio racionero de la santa iglesia de Guadalajara de Indias; D. Lúeas de Ontañon y Prado, t…</t>
  </si>
  <si>
    <t>Quesada, Josef</t>
  </si>
  <si>
    <t>Josef Quesada</t>
  </si>
  <si>
    <t>…degradó tan to su salud , que en detrimento del servicio de S. M. falleció ya en la plaza. Pido á V. E. atienda á su indigente familia con una pensión. ■' ,, El alférez de fragara D. Josef Quesada tuvo una parte muy direota en que se apresase el bergantín goleta General Doile, y después en el fondeade</t>
  </si>
  <si>
    <t>…la armada: el de alféreces de navio á los de fragata D. Juan Montano, con la antigüedad á este de la promoción de 29 de Mayo del año pasado de 1815 , D.-E legarlo, de los Cuetos, D. Josef Quesada , D. Esteban Croquer, D. Antonio Tiscar, D. Joaquín Mozo, D. Juan de Arcos , D. Antonio Sotelo , D. Manuel Zaragoza , D. Felipe Roldan , Don Antonio Urzais y D. Juan Mesías: el de alféreces de fragata á los guardias marinas D. Juan Mozo, D. Segundo Díaz Herre…</t>
  </si>
  <si>
    <t>Quesadá, Vicente de</t>
  </si>
  <si>
    <t>Vicente de Quesadá</t>
  </si>
  <si>
    <t>…ala de juntas los niños de. las que están estableci das en esta ciudad con Real aprobación , acompañándoles sus respectivos maestros. A este acto, que presidió el mariscal decampo D. Vicente de Quesadá, gobernador corregidor militar y político de esra ciudad y su provincia, asistió un numeroso y lucido concurso. Un alumno hizo á nombre de todos,en una respetuosa y concisa arenga, la manifestación mas expresiva de su gratitud por la distinguida protección y…</t>
  </si>
  <si>
    <t>Quevedo, Josef</t>
  </si>
  <si>
    <t>Josef Quevedo</t>
  </si>
  <si>
    <t>…suplir en ausencias y enfermedades ó vacantes al propietario de aquel apostadero de marina. DEPARTAMENTO DE CADIZ. Promovidos d sus inmediatas clases. A oficial primero el segundo D. Josef Quevedo ; á oficial segundo el ter cero D. Joaquín Luis de Mendoza; á oficial tercero el cuarto D. JosefPerez Navarro; á oficiales cuartos los quintos D. Juan Ferrer y D. Josef Rodrí guez Flores , y á oficiales quintos los meritorios D. Sixto Tomaseti y D. Jo sef Góm…</t>
  </si>
  <si>
    <t>Quevedo, Juan Polanco y</t>
  </si>
  <si>
    <t>Juan Polanco y Quevedo</t>
  </si>
  <si>
    <t>…bornicano, de la misma provincia, cuyos autos se han extraviado habiéndose conferido la administración interina de dichos bienes, que según tasación reciente ascienden á 123177, á Don Juan Polanco y Quevedo, acreedor á ellos por 513$ rs. que se ha mostrado parte. Durante dicho término deberán acudir los acreedores á dicho concurso con sus do cumentos justificativos al expresado tribunal, y testimonio del indicado escribano; apercibidos de que les parará perjuici…</t>
  </si>
  <si>
    <t>Quevedo, Manuel de</t>
  </si>
  <si>
    <t>Manuel de Quevedo</t>
  </si>
  <si>
    <t>…Rio Pisuerga á D. Eugenio María Alvarez: para el de Mayorga á D. Manuel Rufino García Zorrilla: para el de Trebujena á Don Josef Sánchez Rollan : para el de Valencia de Don Juan á D. Manuel de Quevedo y los Ríos : para el de Atienza á D. Juan Antonio Vergara: para el de Jadraque á D. Francisco García Ortiz : para el del valle de Soba-Ruesga y Villaverde á D. Josef Muñoz Contreras: para el de Montejaque á Don Josef Moreno Ramírez : para el de Jodar á D. Flo…</t>
  </si>
  <si>
    <t>Quijada, Claudio</t>
  </si>
  <si>
    <t>Claudio Quijada</t>
  </si>
  <si>
    <t>…D. Fernando Acuña uno: D. Nicolás Suarcz dos: D. Josef Robles uno: D. Blas López cuatro: el mar ques de Villadangos dos : e! marques de Castrojanillos dos: D. Josef Quiño nes dos: D. Claudio Quijada dos: D. Bernardo Escovar dos: D. Manuel Lorenzana uno : el provisor dos : los señores Jclís y compañía dos : D. Ma nuel Castaáon dos: D. Josef R*eovar dos: D. Ruperto Cea dos: D. Aniceto Cavero uno: D. Tomas Ríos uno: D. Francisco Val le jo dos : el cura de S…</t>
  </si>
  <si>
    <t>Quijada, Juan</t>
  </si>
  <si>
    <t>Juan Quijada</t>
  </si>
  <si>
    <t>78 de Comisarios, relativos á haber habilitado el referido Intendente de Comisa rios de Guerra á D. Vicente Rubio, D. Juan Quijada y D. Fernando Cornel, Oíiciales de Contaduría y Ministerio económico de Marina; y enterado S. M. se ha servido resolver que solo en caso muy urgente se hagan estas ha*bilitaciones, y que si se necesitan Comisarios se pidan al Inspector general de estos, debiendo volver á sus dest…</t>
  </si>
  <si>
    <t>Quijano, Josef Ventura González</t>
  </si>
  <si>
    <t>Josef Ventura González Quijano</t>
  </si>
  <si>
    <t>…el térm!no preciso de ocho dias, contados desde la publicación de este aviso; con apercibimiento que pasado sin haberlo hecho les parará el perjuicio que haya lugar. Por muerte de D. Josef Ventura González Quijano, cura mayor del pueblo de h; jas, montañas de S ntandei , queda vacante dicho curato; y siendo costumbre el corte irse este á un hijo de dicho pueblo, se noticia al público pira si alguno se h*lfa con esta circunstancia pueda presentarse para h*cer la oposici…</t>
  </si>
  <si>
    <t>Quijano, Jostf</t>
  </si>
  <si>
    <t>Jostf Quijano</t>
  </si>
  <si>
    <t>…nativo una hacienda y casa que poseía á c :t.j ci'ta. c a de ella , la cu 1 se ha aplicado al crédito público para que su producto en ven ta se agregue á la extinción de la deuda: D. Jostf Quijano, coren I r.tir.uio de Artillería en la Coruña , ha hecho cesión dt 40© rs. que nicaen aqt ¿i cuerpo, y de 8933 que también alcanza por el tiempo que estuvo agieeado al estado mayor de la expresada plaza.</t>
  </si>
  <si>
    <t>Quijote</t>
  </si>
  <si>
    <t>…se hallan en la misma librería de Perez, y en las de Higuera, Ranz y Minutria, calle de Toledo las siguien tes oirás del mismo autor: Ja referida Historia razonada, el Napoleón ó Don Quijote de la Europa, las Sencillas reflexiones sobre la constitución, y el tratado de Simón Abril sobre el modo de estudiar las ciencias. Gobierno del hombre de negocios á quien-las ocupaciones disipan el tiempo. Lbro sumamente útil á toda clase de personas, dividid…</t>
  </si>
  <si>
    <t>…mo Pellicer. = Carta en castellano con posdata poliglota, en Ja cual el mismo Pellicer y D. Josef Conde responden á la carta crítica que un amigo dirigió al autor de las notas del D. Quijote desaprobando algunas de ellas. Se hallarán Jos dos primeros á 6 rs. cada uno en rústica, y el 3.0 á 2 en la librería de Ranz, calle de la Cruz. Nota. En la gaceta extraordinaria del domi»go 13 del corriente, pág. 1127, lín. gdonde dice marques de la Ramilla,…</t>
  </si>
  <si>
    <t>Quilez, Pascual</t>
  </si>
  <si>
    <t>Pascual Quilez</t>
  </si>
  <si>
    <t>…Joaquin de la Figuera, uno de los reos , que se halla en esta corte , sea igualmente asegu rado y conducido á aquella capital. Tendreislo entendido, y lo comunicareis al referido D. Pascual Quilez, con remisión de la causa y sus incidentes, y á los demas á quienes corresponda, = Señalado de la Real mano, s Palacio 17 de Agosto de 1816. = A1 marques de Campo-Sagrado. Reos principales de la causa formada sobre los sucesos ocurridos en la villa de Caspe e…</t>
  </si>
  <si>
    <t>Quiño, Josef</t>
  </si>
  <si>
    <t>Josef Quiño</t>
  </si>
  <si>
    <t>…: D. Josef Salinas uno: D. Fernando Acuña uno: D. Nicolás Suarcz dos: D. Josef Robles uno: D. Blas López cuatro: el mar ques de Villadangos dos : e! marques de Castrojanillos dos: D. Josef Quiño nes dos: D. Claudio Quijada dos: D. Bernardo Escovar dos: D. Manuel Lorenzana uno : el provisor dos : los señores Jclís y compañía dos : D. Ma nuel Castaáon dos: D. Josef R*eovar dos: D. Ruperto Cea dos: D. Aniceto Cavero uno: D. Tomas Ríos uno: D. Francisco…</t>
  </si>
  <si>
    <t>Quiñones, Francisco</t>
  </si>
  <si>
    <t>Francisco Quiñones</t>
  </si>
  <si>
    <t>…se le disparó bregando para sujetar su cabal gadura que salió á corcobos. Llegado á Guaqui, donde me esperaba el capi tán Solar con su partida , comisioné al capitán de caballería D. Francisco Quiñones para que recibiera una sumaria información con algunos individuos de la misma escolta que pudiesen haber visto este extraño accidente, á fin de cerciorarme si hubo ó no malicia en el que le causó. Resultó de ella que el triste fin de aquel desventurado reo fu…</t>
  </si>
  <si>
    <t>Quintana, Joaquín Antonio de</t>
  </si>
  <si>
    <t>Joaquín Antonio de Quintana</t>
  </si>
  <si>
    <t>…as en Cádiz á favor de los señores Gargollb y hermanos, endosados al Sr. D. Manuel María Adriaensens: una dada en Santiago á favor del Sr. Don Gregorio Suarez de Leis, endosada al Sr. D. Joaquín Antonio de Quintana; y otra dada en Cartagena á favor de Doña María Antonia López , vecina de Madrid. Lo que se avisa al público para que los interesados en estos papeles pue dan acudir á la dirección general de correos, donde acreditando su pertenen cia se les entregará. Las pe…</t>
  </si>
  <si>
    <t>Quintana, Lino López</t>
  </si>
  <si>
    <t>Lino López Quintana</t>
  </si>
  <si>
    <t>…rancisco Narganes y D. Josef Andrade, y los subtenientes D. Fernando Vázquez y D. Casimi ro Mendivil: á los capitanes del regimiento del Rey D. Manuel María Mar tínez de Aparicio, D. Lino López Quintana y D. Manuel Guevara, y al teniente D. Josef García, al subteniente D. Juan Meseron, al sargento pri mero Francisco Melendro, y al cabo primero de gastadores Benito Ximenezj como asimismo al corneta y tambor del regimiento de la Union Pedro Ra mírez y Manuel Martínez, y al sargen…</t>
  </si>
  <si>
    <t>Quintana, Pedro de Alcántara Quevedo y</t>
  </si>
  <si>
    <t>Pedro de Alcántara Quevedo y Quintana</t>
  </si>
  <si>
    <t>…o Ortiz, con varias notas é ilustraciones relativas á España: segunda edición muy corregida y mejorada. Se hallará en la librería de Sojo, calle de las Carretas. Retrato del limo. Sr. D. Pedro de Alcántara Quevedo y Quintana, obispo de Orense, delineado por Maella, y grabado por Carmena, en papel de marca mayor. Se hilará en la librería de Escribano, calle de las Carretas, al cómodo precio de 8 reales. EN LA IMPRENTA REAL.</t>
  </si>
  <si>
    <t>Quintana, Vicente</t>
  </si>
  <si>
    <t>Vicente Quintana</t>
  </si>
  <si>
    <t>…su señora, del propio pueblo, 12 pares de zapatos y compostura de 12 sillas: D. Lúeas Moreno, del cor* crcio, 24 herrages: D. Josef Francisco Perez 24 id. : D. Domingo tía raya y Don Vicente Quintana 36 id.: Lorenzo Arcon i* pares dt -apatos*. Tr.re, de Blas, vecino de Montejo , cinco pares id.: el alcalde de fuer.: lupina 40 pares de alpargatas: la justicia de la Nava de Roa , provincia de Burgos, sie te camisas.</t>
  </si>
  <si>
    <t>Quintanilla, Bartolomé Nuñez y</t>
  </si>
  <si>
    <t>Bartolomé Nuñez y Quintanilla</t>
  </si>
  <si>
    <t>…ha tenido á bien el Rey* nuestro Señor concederle el uso de esta condecoración. En virtud de la adhesión y fidelidad del coronel y segundo comandante de milicias urbanas de Tarifa D. Bartolomé Nuñez y Quintanilla se sirvió S. M. Cristianísima condecorarle con la flor de Lis, y el Rey nuestro Señor se ha dignado concederle su Real permiso para que use de esta condecoración. En el juzgado del Sr. D. León de la Cámara Cano, del consejo de S. M., pri mer teniente y correg…</t>
  </si>
  <si>
    <t>Quintanilla, Josef Eusebio de</t>
  </si>
  <si>
    <t>Josef Eusebio de Quintanilla</t>
  </si>
  <si>
    <t>…as obras que el primer premio, excepto las traducidas, cons taban los segundos de agricultura, conferidos á D. Francisco Martínez Ro bles y D. Gabriel Ortiz. El tercero lo recibió D. Josef Eusebio de Quintanilla en las Observacio nes , obra del Herrera y Filosofía botánica indicadas. Por la clase de botánica médica se presentó á recibir el Apparatus medicamentorum de Murray, los nuevos Elementos de materia médica d’Álibert, las Materias médicas &lt;íe Berguis y de Thesa…</t>
  </si>
  <si>
    <t>Quintano, Fernando de Solis y</t>
  </si>
  <si>
    <t>Fernando de Solis y Quintano</t>
  </si>
  <si>
    <t>…bre de i8i6. = D. Bartolomé Mu ñoz. = Es copia de la original, de que certifico. = D. Bartolomé Muñoz.. Por Real resolución á consulta de Ja Cámara se ha servido S. M. conce,der á D. Fernando de Solis y Quintano, marques de S. Fernando., los,.hono^ .res de grande de España para sí, sus hijos y herederos primogénitos en su casa y mayorazgos. * * El Rey nuestro Señor ha tenido á bien conceder permiso al capitán ge-* neral marques de la Concordia ,‘virey del Perú, para…</t>
  </si>
  <si>
    <t>Quintas, Ocrvasio de</t>
  </si>
  <si>
    <t>Ocrvasio de Quintas</t>
  </si>
  <si>
    <t>…el pue blo español y egemplo de todos. El dia 15 del corriente tuvo la honra de felicitar á S. M. por su aimesto enlace, á nombre de la villa de Sta. Olalla, su procurador sindico D. Ocrvasio de Quintas ; quien dirigió á S. M. el discurso siguiente: ,,Señor: La villa de Sra. O.alia, que por s.u localidad «-ufrió todos los horrores de ia guerra , como :o acredita ¡a ruina de sus mejores edificios, \ su po en medio de sus aflicciones conservar el mas acendrado…</t>
  </si>
  <si>
    <t>Quirós, Francisco Bernaldo de</t>
  </si>
  <si>
    <t>Francisco Bernaldo de Quirós</t>
  </si>
  <si>
    <t>…os ta buretes rasos, uno de ellos para que á su tiempo se sentase el señor ministro plenipotenciario á firmar las capitulaciones. Puesto en pie á la derecha de ésta mesa el Excmo. Sr. D. Francisco Bernaldo de Quirós, marques de Campo-Sagrado, del eoqsejo de Estado, se cretario de Estado y del Despacho universal de la'Guerra, notario público de los reinos, leyó en alta voz la escritura de los contratos matrimohiales del Rey nuestro Señor;vy acabada su lectura , lo;hÍ-? zo…</t>
  </si>
  <si>
    <t>…tantinopla; D. Josef Iznardi, ministro residente en Hamburgo; D. Josef Antonio Iparraguirre, cónsul en Bayona; D. Francisco Verges, canónigo de Gerona, director de aquel hospicio; D. Francisco Bernaldo de Quirós , canónigo de Cartagena, y director que ha sido de la Mise ricordia dé Murcia ; D Dionisio Pizarro, dignidad de arcediano de Saldaña, canónigo de León, y director interino del hospicio; D. Severo Andriani, maestrescuela de la catedral de Huesca, y director de…</t>
  </si>
  <si>
    <t>Quirós, Josef María Bernaldo de</t>
  </si>
  <si>
    <t>Josef María Bernaldo de Quirós</t>
  </si>
  <si>
    <t>…próximo pasado tuvo la honra de felicitar á S. M. el Rey nuestro Señor por su concertado enlace con la Serma. Sra. Infanta de Portugal Doña Isabel Francisca, y besar su Real mano D. Josef María Bernaldo de Quirós, conde de Prado, y barón libre del Sacro Romano Im perio, como comisionado por la villa ael Barco de Valdeorres y su parti do; y dijo lo siguiente: „Señor: Valdeorres es la heroica jurisdicción, que hallándose circunva lado el reino de las tropas enemigas , y…</t>
  </si>
  <si>
    <t>R, Eugenio Jabalquinto y</t>
  </si>
  <si>
    <t>Eugenio Jabalquinto y R</t>
  </si>
  <si>
    <t>…rafía y aritmética fueron los asuntos de que se examinó á los alumnos que merecieron la aprobación de los circunstantes, y fueron pre miados con proporción á su respectivo mérito. D. Eugenio Jabalquinto y R¿rrer , unp. de los examinados, recitó una bella composición poética, que eñ honor del Rey nuestro Señor , protector de las letras, compuso el cura pro&gt;r pió D Diego de Padilla, y en otra de igual clase, dispuesta por el mismo pirroco , Juau de Dios Caballero…</t>
  </si>
  <si>
    <t>R, Josef</t>
  </si>
  <si>
    <t>Josef R</t>
  </si>
  <si>
    <t>…s: D. Josef Quiño nes dos: D. Claudio Quijada dos: D. Bernardo Escovar dos: D. Manuel Lorenzana uno : el provisor dos : los señores Jclís y compañía dos : D. Ma nuel Castaáon dos: D. Josef R*eovar dos: D. Ruperto Cea dos: D. Aniceto Cavero uno: D. Tomas Ríos uno: D. Francisco Val le jo dos : el cura de San Salvador Pala del Rey uno: el de S. Marcelo uno: el de Renueva uno: el de Sta. Ana uno: el tesorero del cabildo dos: D. Pascual Suarez uno: D.…</t>
  </si>
  <si>
    <t>R, S. de</t>
  </si>
  <si>
    <t>S. de R</t>
  </si>
  <si>
    <t>…re?, calle de las Carretas. ^ Filosofía de la religión contra los sistemas de los impíes, dirigida á la instruc ción de la juventud estudiosa, para preservarla de la impiedad, por D. S. de R.: un tomo en 4.0 á la rústica. Se vende á 1 2 rs. en( Madrid en la librería de Castillo; en Santiago en ia de Rey Romero; en Lugo en, la de Fernandez, y en Pontevedra en la de García.—.Compendio de las memorias’ para servir á la historia del Jaco binismo para…</t>
  </si>
  <si>
    <t>Ra</t>
  </si>
  <si>
    <t>…ad de Valencia: á D. Joaquín de la Esca lera para la vara de alcalde mayor de la ciudad de S. Felipe de Játiva : á D. Joser Perranaiz y Sánchez para la del Villar del Arzobispo: á D. Ra fael Calabuíg para la de la villa de Ay ora: á D. Tomas Oírra y Castelló para la de Jalón: á D. Francisco Antonio Oniza para la de la villa de Ri va roja: á D. Josef Giménez Vinerta para la de Catarro ja : para la de la villa de Relchite á D. Francisco Fernan…</t>
  </si>
  <si>
    <t>4H Madrid 22 de Abril. El 14 de este mes se presentaron á S. M. y Sr. Infante D. Carlos D. Die go María Vadiíios, ministro del Consejo supremo de Almirantazgo, D. Ra fael de Morales, capitán de fragata de la Real Armada, D. Josef y D, Juen Cortés, capitán y primer teniente de Reales guardias Walonas; arengan do el primero en estos términos: „Señor*. Por la villa de Mancha Real, en el reino de Jaén, venimos á cumplimentar…</t>
  </si>
  <si>
    <t>…ón de la Cámara Cano, del consejo de S. M., teniente primero de corregidor de esta villa, en los autos de testamentaría pendientes en la escribanía del número que está á cargo del Sr. Don Ra mon García Ximenez, del consejo de S. M., su secretario , por fallecimiento de D. Nicolás y D. Matías del Barrio, se cita, llama y emplaza i D. Juan Moreno de los R ios, de quien se ignora su paradero, sin embargo de que en su busca se han practicado diligenc…</t>
  </si>
  <si>
    <t>…eguir 6. D. Joaquín Zagonero 20. D. Francisco Villegas 2. D Josef Pavat 23. El R. P. general de Gerónimos 46 La co munidad del Carmen calzado 40. La de padres Preinostratenses 80. D. Ra món Moreda 23. D. Félix Arguello 40. D. Sebastian Hernández 70. D Jo sef Broche ro 8. D. Josef Uaabal 69. D. Francisco Crespo 20. Agustín Bar tolomé 13. D. Eustbio Arrabal 20. Fernando Gómez 20. D. Vicente Telio 4. D. Manuel Cisneros 23. D. Valentín.Ximenez 2…</t>
  </si>
  <si>
    <t>…sco Rafael González 60. Catalina Prados 6. D. Juan Cantarero 60. D. Joaquín Obrero 400. D. Diego Bernia 100. D. Pedro Herrera 200. D. Antonio Velasco ioo. D. Manuel Estaquero 120. D. Ra fael Salinero, presbítero, 60. Doña Rosalía de Negrete 20. El colegio de San Roque 500. El convento de S. Pablo, religiosos dominicos , 8800. La Exce lentísima Sra. marquesa de Benamejí 16®. El convento de religiosos de la Merced 4®___Viíiafranea----D. Mateo…</t>
  </si>
  <si>
    <t>…. Tomas Díago, y los citados D. Josef Perez y Don Juan Pablo Rodríguez. En trigonometría plana D. Manuel Bandujo, Don Cándido Pulleiro, D. Joaquín Hernández, D. Eusebio Arróspide, D. Ra món González, D. Domingo Valay y D. Vicente Matis. En trigonometría esférica D. Francisco Gaiceran, D. Lino Pacheco, D. Marcelino Deus, y los citados Hernández, Arróspide, Bandujo, Pulleiro, González y Va lay. En cosmografía dichos Bandujo,Deus y Pulleiro. En…</t>
  </si>
  <si>
    <t>Ra, Juan</t>
  </si>
  <si>
    <t>Juan Ra</t>
  </si>
  <si>
    <t>…, se llama y emplaza á los acreedores é interesados en ella, para que concurran á la junta que ha de celebrjrse en ia po sada del miamo señor el dia 26 de este mes á las ocho ante D. Juan Ra a , escri bano del número de esta villa, á efecto de tratar asuntos relativos á la misma testa mentaría. Se vende una casa sita en esta corte y su calle de Cabestreros, señalada con el núm. 8 de la m mz. 66, que contiene de area plana 1908 pies y ^ , y está t…</t>
  </si>
  <si>
    <t>Ra, Sebastian</t>
  </si>
  <si>
    <t>Sebastian Ra</t>
  </si>
  <si>
    <t>…, alcalde de primer voto, 100. D. Andrés Zamorano, alcalde de segundo voto, 400. D. Diego Ramírez, regidor síndico procura dor general, 60. Bartolomé Garijo, regidor segundo, 100. D. Sebastian Ra fael Camacho, diputado primero, 150. D. Alfonso López, diputado segun do, 50. D. Bartolomé de Castro 400. D. Juan Blas Herrera, escribano de ayuntamiento, 100. D. Juan Luis Jurado 300. D. Martin de Castro 300. D. Josef de Prado 500. D. Andrés Jurado 200. D. R…</t>
  </si>
  <si>
    <t>Radcliffé, Stephen</t>
  </si>
  <si>
    <t>Stephen Radcliffé</t>
  </si>
  <si>
    <t>…25 de Mayo d&amp; 1813 hasta 16 de Junio de id. Oficina de la pagaduría de los transportes.a: Lisboa 30 de Enero de i8i6.2=Cárlos Pratt. Doria Josefa Gáceres de Radcliffe , viuda del teniente Stephen Radcliffé, del regimiento ingenieros.de infantería níím. 27 , muerto en la batalla de los Arapiies, tiene asuntos pendientes en la primera secretaría de Estada y del Despacho universal, adonde deberá presentarse por sí ó por su apoderado, á fin de saber cosas que la in…</t>
  </si>
  <si>
    <t>Radélzki</t>
  </si>
  <si>
    <t>…as afectuoso. AUSTRIA. Viena jp de Diciembre. El resto del cuartel general del Príncipe Schwartzemberg llegó aquí an tes de ayer, y se espera que dentro de poco se disolverá. . El general Radélzki ha marchado á Lintz á inspeccionar las tropas re unidas en el Alta-Austria, que se cree esten destinadas á tomar posesión de ios distritos que debe ceder la Baviera. Mr. de Sturmer, hijo del internuncio, ha ido á Constantinopla á llevar los tratados firmados…</t>
  </si>
  <si>
    <t>Raez, Juan Bautista López</t>
  </si>
  <si>
    <t>Juan Bautista López Raez</t>
  </si>
  <si>
    <t>…primera de señores alcaldes de casa y corte ha mandado se emplace por medio de los papeles públicos, y último término de 30 dias ptscisos, á los here deros del canónigo de Cuenca D. Juan Bautista López Raez para que comparezcan en el citado tribunal á deducir su derecho contra los bienes de D. Juan Antonio Calleja, sobre restitución de lo robado á su causante la noche del 18 de Marzo de 18(4, bajo la calidad ordinaria de que si dejasen pasar este término no será…</t>
  </si>
  <si>
    <t>Rafael, Josef</t>
  </si>
  <si>
    <t>Josef Rafael</t>
  </si>
  <si>
    <t>…rte, vecino de la misma y comisionado por los señores de la junta , y se admitirán hasta el dia primero de pascua de Resurrección. La persona que supiere el paraderoó la muerte;de'D. Josef Rafael d$ Estepa, que residía en esta corte al tiempo de la revolución* sin haberse .tenido noticia al guna dé él desde aquella época, se servirá avisarlo,al ;M. R. P.-Mtro. Fr. Josef Juah González, residente en S. Felipe el Real de esta corte. Noticias del magnetis…</t>
  </si>
  <si>
    <t>Raguimido, Felipe</t>
  </si>
  <si>
    <t>Felipe Raguimido</t>
  </si>
  <si>
    <t>…de Avila 5 . El doctoral 23. El maestrescuela 40. D. Josef Tejero 20. D. Fernando Cerrudo 20. D. Miguel Cantero 70. D Andrés Calvedo 40. D. Victoriano Vacas 46. D. Juan Ser na 40. D. Felipe Raguimido 40. D. Diego Veruega 44^ E! lectoral 23. Don Julián Ga.scueña 46. D Antonio Arguello 48. D. Ramón Orachea 48. Don Fernando Perez 2o. Sr. Corrales, racionero de aquella santa iglesia, 20. El cura de S. Juan 20. El beneficiado de Gracia 24. El cura de Sfo. Domi…</t>
  </si>
  <si>
    <t>Raj'on, Josef Antonio</t>
  </si>
  <si>
    <t>Josef Antonio Raj'on</t>
  </si>
  <si>
    <t>…o. ESPAÑA. Madrid 2j&gt; de Noviembre. la ciudad de Alcalá de Henares por medio de una diputación compues ta de su corregidor D. Joaquín de Zengotita Vengoa, del regidor de la mis ma D. Josef Antonio Raj'on, del procurador síndico general D. Pedro Pinazo y de D. Esréban Azaña, secretario de su ayuntamiento, tuvo la honra de felicitar á S. M. el 27 del pasado por su efectuado matrimonio; y el refe rido corregidor dijo lo siguiente: „Señor: La ciudad de Alcalá de…</t>
  </si>
  <si>
    <t>Ramírez, Diego</t>
  </si>
  <si>
    <t>Diego Ramírez</t>
  </si>
  <si>
    <t>…osos de la Merced 4®___Viíiafranea----D. Mateo Coronado, alcalde mayor, 500 rs. D. Bartolomé Belmar, alcalde de primer voto, 100. D. Andrés Zamorano, alcalde de segundo voto, 400. D. Diego Ramírez, regidor síndico procura dor general, 60. Bartolomé Garijo, regidor segundo, 100. D. Sebastian Ra fael Camacho, diputado primero, 150. D. Alfonso López, diputado segun do, 50. D. Bartolomé de Castro 400. D. Juan Blas Herrera, escribano de ayuntamiento, 100. D…</t>
  </si>
  <si>
    <t>Ramírez, Gonzalo Josef</t>
  </si>
  <si>
    <t>Gonzalo Josef Ramírez</t>
  </si>
  <si>
    <t>8 meros ioo© rs. de suministros hechos á las tropas.,—Er. D. Gonzalo Josef Ramírez , prior de Porcuna,reino de Jaén , 5168 rs. y 22 mrs.de suministros hechos á las tropas___D. Josef Piqueras Gómez , vecino de la villa de Jorquera , de 6498 rs. en un recibo de intereses de vales___^ D. Josef Betaaicourt y Castro, coronel de milicias,su sueld…</t>
  </si>
  <si>
    <t>Ramírez, Josef</t>
  </si>
  <si>
    <t>Josef Ramírez</t>
  </si>
  <si>
    <t>…limen tar á S. M. y Sermo. Sr. Infante D. Cirios por sus tratados casamientos, á nombre de la ciudad y provincia de Palencia, el conde de Castroponce, el marques de Castrofuerte y D. Josef Ramírez, regidores perpetuos de dicha ciudad; y el primero dirigió á S. M. el discurso siguiente: „ Señor: La ciudad de Palencia, una de las mas antiguas y famosas de Cas tilla, nos encarga que en nombre de aquella ciudad y provincia felicitemos á V. M. y Sr. Infante…</t>
  </si>
  <si>
    <t>Ramírez, Josef Moreno</t>
  </si>
  <si>
    <t>Josef Moreno Ramírez</t>
  </si>
  <si>
    <t>…enza á D. Juan Antonio Vergara: para el de Jadraque á D. Francisco García Ortiz : para el del valle de Soba-Ruesga y Villaverde á D. Josef Muñoz Contreras: para el de Montejaque á Don Josef Moreno Ramírez : para el de Jodar á D. Florencio García Colmenero: para el de Setenil á D. Josef París y Romero, y reponer en el de Dueñas á D. Pedro Diez Canseco: para la vara de alcalde mayor de Roa á D. Do mingo Fuentenebro : para la de Potes á D. Mariano Muñoz Gómez Hen…</t>
  </si>
  <si>
    <t>Ramírez, JosefMaría</t>
  </si>
  <si>
    <t>JosefMaría Ramírez</t>
  </si>
  <si>
    <t>…León de Or tega, teniente coronel del regimiento infantería del Rey, D. Anselmo de Bierna, asesor general y auditor de guerra de la capitanía general del NuevoReino de Granada, y D. JosefMaría Ramírez, secretario de la misma , la cruz de comendadores de la Real orden americana de Isabel la Católica: al capi tán D. Melchor Castaños, teniente de Artillería, la cruz de caballero de lá misma orden : al Dr. D. Josef Oderiz* teniente vicario general del egército…</t>
  </si>
  <si>
    <t>Ramírez, Juan</t>
  </si>
  <si>
    <t>Juan Ramírez</t>
  </si>
  <si>
    <t>…ar el triunfo, y se hallaban las tropas de mi mando en los primeros momentos de su descanso, tuvieron la feliz suerte de que V. E. se viese con los señores gefes mariscal de campo D. Juan Ramírez y el brigadier D. Miguel Tacón para presenciar los frutos de su ardiente fidelidad al Sobe rano: esta inesperada circunstancia ha inflamado extraordinariamente el entusiasmo de los que tenemos la dicha de servir bajo las sabias órdenes de V. E.; y tanto por e…</t>
  </si>
  <si>
    <t>Ramírez, Juan Antonio</t>
  </si>
  <si>
    <t>Juan Antonio Ramírez</t>
  </si>
  <si>
    <t>…e la espalda, y se fuga en dispersión; que el 9.0, aunque en desorden , tam bién retrogradaba. Mando inmediatamente que uno y otro diesen frente al enemigo, y se sostuviesen, y al capitán D. Juan Antonio Ramírez que dis parase á metralla con las dos piezas de su mando sobre la parte izquierda de aquel: consiguióse que el 9.0 hiciese alto, diese frente, y empezase á ba tirse con la serenidad de una tropa aguerrida; pero el núm. i.° á mas de ha ber envuelto parte del 9…</t>
  </si>
  <si>
    <t>Ramiro</t>
  </si>
  <si>
    <t>7&lt;3° Real sangre de Francia, con su esposo el conde D. Ramiro: D. García , hi jo Je losados: lu condesa Doña María Froila , madre de Ñuño M-.lendez: la condesa Doña Este tan 14: el conde D. Froila, muy d.voro d: eia Iglesia: el conde D. Di go: el conde 1&gt;. Sancho : Ñuño Melcndez , el Hcrnuso, y oíros sin epitafio. Tambi…</t>
  </si>
  <si>
    <t>Ramiro, Domingo Requejo</t>
  </si>
  <si>
    <t>Domingo Requejo Ramiro</t>
  </si>
  <si>
    <t>…: su dotación es la de 13 rs. diarios, y casa, cobrados por la justicia, y satisfechos mensualmente ó por medios años. La persona que gus tare desempeñarlo acudirá en esta corte á D. Domingo Requejo Ramiro, que vive calle de S. Juan, barrio del Amor de Dios, casa núm. 4, quien enterará al preten diente de las circunstancias que se exigen para hacerle el nombramiento. Tratado para afinar el cáñamo y hacer de él el lino de mar ó de libretas : por D. Saturlo Ximen…</t>
  </si>
  <si>
    <t>Ramo, Josef Antonio</t>
  </si>
  <si>
    <t>Josef Antonio Ramo</t>
  </si>
  <si>
    <t>…Guardia, en el Reino de Jaén, á D. Teles foro Contreras: para la de Montemayor á D. Andrés Gómez Plata: para la de Higares á D. Manuel Gre gorio Velasco: para la de Salvatierra á D. Josef Antonio Ramo: para la de Fuensalida á D. Manuel Fernandez Azcona; para la de Doña Mencía á Don Alfonso Josef de Frías: para la deTorija á D. Telesforo Valero: para la de Aguilar de Campó á D. Victoriano Escribano: para la de Budia á D. Vi cente Perez Sánchez: para la de C…</t>
  </si>
  <si>
    <t>Ramón</t>
  </si>
  <si>
    <t>…, para que en el preciso término de un mes perentorio é improrogable concurran y se apersonalicen en dicho juicio de acreedores, con el que ten gan á su favor y contra el referido D. Ramón, por medio de procurador y con po der bastante, y los qué le han verificado hast3 el día calificarán y pondrán corrien tes y en declaratorio sus créditos dentro del referido término de un mes; con aper cibimiento unos y otros que de no verificarlo asi en el t…</t>
  </si>
  <si>
    <t>…los militares 6 patriotas que hubieren muerto en defensa de ia justa causa de la nación, ha cabido en suerte del primer extracto de la de este dia ¿ Doña Justa Casaviella, hija de D. Ramón, capitán que fue del regimiento de infantería de Guadalajara, muerto en el campo del honor. La extracción siguiente se egecutará el dia 19 de Agosto. ARTICULO O E OFICIO. El R 11Y nuestro Señor se ha servido expedir el decreto siguiente: Para evitar á los jov…</t>
  </si>
  <si>
    <t>Ramón, Juan</t>
  </si>
  <si>
    <t>Juan Ramón</t>
  </si>
  <si>
    <t>…s que se conceptúen con derecho á los bie nes quedados con motivo del fallecimiento abintestato de Doña María Asquet, viu da del furriel mayor que fue de Reales guardias españolas D. Juan Ramón, acae cido en esta corte el dia 28 de Diciembre de 1814, asi por lo respectivo á los pertenecientes á la primera, como á los de su marido, para que en ei preciso y perentorio término de 60 dias, contados desde esta fecha, que por primero, se gundo, tercero y…</t>
  </si>
  <si>
    <t>RamónFní</t>
  </si>
  <si>
    <t>…nvoy ya cargado en Cádiz, y que del orden y cuidado que ha tenido ja dimanado el que todo llegase a sus diversos destinos. Después mandanCta -y eVlni.on 5onf el capitán de fragata D. RamónFní lC°r -Luíate , han evitado la introducción de buques en la plaza en el momento mas critico, en lo que han hecho un servicio tan importante, que á ambos Ioj recomiendo a la munilicencia del Rey, * . ”El ^mandante de la fragata Diana D. Josef de Salas ha mandad…</t>
  </si>
  <si>
    <t>Ramos, Manuel</t>
  </si>
  <si>
    <t>Manuel Ramos</t>
  </si>
  <si>
    <t>…ey, D. Agustín Corcuera, teniente del de León , y D. Juan Pinto, ídem de Reales Zapadores, el grado de capitán: á D. Francisco Saín z, subteniente del regimiento de la Victoria, y D. Manuel Ramos, idem del de Barbastro, el grado de teniente: al brigadier D. Anto nio Cano, comandante general de una división del egército, D. León de Or tega, teniente coronel del regimiento infantería del Rey, D. Anselmo de Bierna, asesor general y auditor de guerra de l…</t>
  </si>
  <si>
    <t>Rando, Francisco de Paula Ruiz y</t>
  </si>
  <si>
    <t>Francisco de Paula Ruiz y Rando</t>
  </si>
  <si>
    <t>…a Cano, del Consejo de S. M. en el supremo de Hacienda, teniente corregidor de esta villa, por la escribanía de su número que egerce D. Juan Raya. Se solicita saber el paradero de D. Francisco de Paula Ruiz y Rando, briga dier de los Reales egérc-itos, que cayó prisionero en el castillo de Burgos. Quien supiere su paradero se servirá avisarla á Doña juana Verdugo, su esposa, en Málaga, calle de Pinete, núm. 33. Origen, progresos y estado actual de las rentas de la coron…</t>
  </si>
  <si>
    <t>Rara, Juan</t>
  </si>
  <si>
    <t>Juan Rara</t>
  </si>
  <si>
    <t>…. vn. Quien quisiere hacer postur i acuda ante el Sr. D. León de la Cámara Cano, del Consejo de S. M., teniente corregidor de esta,villa, por la escribanía de su número que-egjrce D. Juan Rara, y está señalado para su remate el dia 23 de este mes á las 1 2 á la puerta de la audiencia de dicho señor. El partido de médico del lugar del Almonacid, distante tres leguas de la ciudad de Toledo, se halla vacante, con la dotación anual de 6400 rs., pagados…</t>
  </si>
  <si>
    <t>Rascón, Víctor</t>
  </si>
  <si>
    <t>Víctor Rascón</t>
  </si>
  <si>
    <t>…Dada en Palacio á 28 de Junio de 1816 = YO EL REY.=r Yo D. Alfonso de Ibarra, Secretario del Rey nuestro Señor, lo hice escribir por su mandado =El Almirante Duque de Vera zúa. == Don Víctor Rascón. = D. Josef Martines de Bustos ^D. Sancho de Llamas, ss D. Amonio AlcaU Gali&amp;no. En atención á los dilatados y buenos servicios d.' D Josef Ramón Caxide Tabeada , tesorero de egército que era del de Castilla la Viej- , y comi sario ordenador honorario, se ha…</t>
  </si>
  <si>
    <t>Rasrion</t>
  </si>
  <si>
    <t>…y de Castilla ,, D. Fran-, ciscó Castilla y/4e Castilla p.j.Bartoloméy Spldevilla D. Andrés Calera, yiRosas., D.; juáin itiéVI&gt;ios.1Dig^"rdenMojíes, D., Jo§ef Vernaci y; Aguado ,&lt; D. Rasrion tQrtii rdatMon$eUía.n¡ól D. ¡Pedro: . Whirte» y Fleming, D. Miguel Whirte y Flemifig^ D. «Trinidad Caraveo y Lavalle, D. Alejan dro Ainirola y Pal vía-, D. Eusebio Fernandez , D: Francisco Diaz y Ramí rez, ;D Cruz A íburquérqtié,£iD: JFosef Varelá y Cancela,…</t>
  </si>
  <si>
    <t>Rava, Juan</t>
  </si>
  <si>
    <t>Juan Rava</t>
  </si>
  <si>
    <t>…vamente para el remate el 1 2 d? Agosto próximo á las doce en la audiencia del Sr. D. Joaquín Almaran, teniente corregidor de esta villa, por la escribanía de su número que egcrcc D. Juan Rava. Se halla vacante el partido de médico de Mahora , en el estado de Jorquera, pueblo de buen clima y de 400 vecinos: tiene de sueldo 7SJ rs. vn. cobrados, y ca sa franca, ademas de lo que le produzcan ks apelaciones á los pueblos inmediatos y la asistencia á l…</t>
  </si>
  <si>
    <t>Raya, Juan</t>
  </si>
  <si>
    <t>Juan Raya</t>
  </si>
  <si>
    <t>…calejos, de dos fanegas, en 403 rs. Quien quisiere ha er postura acuda an te el Su D. Joaquín Almazan, teniente corregidor de esta villa, por la escribanía de su número que egerce D. Juan Raya. A voluntad de sus dueños se vende una hacienda, sita en término de la vil!* de Legane», al sitio del Ranal, camino de la Aceña ó Polvorín , compuesta de to fa negas de tierra, huerta con el pozo corriente, tasada en 30$ rs.: 10 fanegas de tier ra contiguas á…</t>
  </si>
  <si>
    <t>…eda. Quien qui siere hacer mej ra acuda ante el Sr. IX León de la Cámara Cano, del consejo de S. M. , teniente corregidor de esta villa , por la escribanía de su numero que egerce D. Juan Raya, y estí señalado para el segundo remate el día 2 2 de este mes á las 1 2 en la audiencia del mismo señor; y al propio tiempo se llama y emplaza á quien tenga censo, obi gacion , hipoteca ú otros derechos contra los mismos bienes, para que acuda ante el expres…</t>
  </si>
  <si>
    <t>…s* vn- Quien quisiere hacer postura acuda ante el Sr. D. León de la Cámara Cano, del consejo de S. M., teniente corregidor de esta villa, por la escribanía de su número que egerce D. Juan Raya, dentro de 20 dias, contados desde 13 del corriente. Para la junta de los acreedores é interesados en los bienes del último señor con de marques de Perales, se ha señalado por el señor juez de la testamentaría, radica da en la escribanía del número de D. Cris…</t>
  </si>
  <si>
    <t>…a en 87465 rs. Quien quisiere hacer postura acuda ante el Sr. IX Joaquín Abruzan, de! consejo de S. M., teniente conegidor de esta villa, por la escribanía de su número que ejerce D. Juan Raya. Se vende á voluntad de su dueño en el pueblo de Isnalloz, i cuatro leguas de Granada, con 700 Fanegas de tierra de regadío y calma, olivar y monte, una casa parador y de labranza. Quien quiera tratar de ajuste acudirá á la calle del Pez, nú mero r . cuarto s…</t>
  </si>
  <si>
    <t>…ue vamente para el remate el 1 2 del o rricnte á las 1 2 en la audiencia del Sr. D. Joa quín Almazan, teniente corregidor de esta villa, por la escribanía de su núnveio que egerce D. Juan Raya. Quien tuviese noticia del paradero de D. Manuel de Rivas Albear y Perez de Soto, natural del valle de Soba, montañas de Santander, que pasó á América mu chos años hace, y si en el caso de haber fallecido dejó hijos ó herederos legítimos, se servirá avisarlo…</t>
  </si>
  <si>
    <t>…e la tasación á pagar en metálico. Quien quisiere hacer me jora acuda ante el Sr. D. Joaquín Almazati, teniente corregidor de esta villa, por la escribanía de su número que egerce D. Juan Raya, y esta señalado para su rema te el dia 20 del presente i las 1 2 á la puerta de la audiencia del mismo señor. Por providencia de los Sres. del Consejo de 3 del corriente se ha mandado volver £ «acar á pública subasta por término de 15 dias, contados desde es…</t>
  </si>
  <si>
    <t>…o nue vamente para el remate el fírdel corriente á las 12 en la audiencia del Sr. D. Joa quín Almazan, teniente corregidor de esta villa, por la escribanía de su número que egerce D. Juan Raya. O igen de ia revolución francesa, ó trama de los filósofos modernos para con seguirla: un tomo en 8.°“Relación circunstanciada de los trabajos, prisión y muerte de Luis xvi, Rey de Francia, de la Reina su esposa , del Delfín su hijo y de madama Isabel, herma…</t>
  </si>
  <si>
    <t>…e la tasación á pagar en metálico. Quien quisiere hacer mejora acuda ante el Sr, Don Joaquín Almazan, teniente corregidor de esta villa, por la escribanía de su núme ro que egerce D. Juan Raya, dentro de 15 días, por cuyo término lo ha mandado publicar el Real y supremo Consejo de S. M.; y se ha señalado para nuevo remate el dia 26 de este mes í las 1 2 en la audiencia del mismo señor. El Grado de certidumbre de la medicina: memoria escrita en fran…</t>
  </si>
  <si>
    <t>…juicio de su testamentaría pen diente ante el Sr. D. León de la Cámara Cano, del Consejo de S. M., teniente cor regidor de esta villa, y por la escribanía de su número que egerce D. Juan Raya. Doce cabezas .de ¡estudiosa'a los dibujantes , sacadas*de Tas obras de Rafael de Ürbino, grabadas por María dei ..Carmen Saiz,, académica de mérito de la Real aca demia de S. Fernando. Se hallarán en su casa, Cava baja, frente á la posada de las ■dos Castill…</t>
  </si>
  <si>
    <t>…r en metálico. Quien quisiere hacer mejora acuda ante el Sr, D. Joaquín Almazan, dél Consejo de $• M., teniente corregidor de esta villa, por la escribanía de su número que;egeice D. Juan Raya, dentro de ocho dias, que últimamente ha señalado el Real y supremo Consejo de.S. M., y ha de celebrarse eí último remate el dia 19 de este mes á las 12 en la audiencia del mismo señor teniente. Ea la villa de Valdemorillo, provincia de Madrid, se halla vacan…</t>
  </si>
  <si>
    <t>…r postura acuda ante el Sr. D. León de la Cámara Cano, del Consejo de S. M. en el supremo de Hacienda, teniente corregidor de esta villa, por la escribanía de su número que egerce D. Juan Raya. Se solicita saber el paradero de D. Francisco de Paula Ruiz y Rando, briga dier de los Reales egérc-itos, que cayó prisionero en el castillo de Burgos. Quien supiere su paradero se servirá avisarla á Doña juana Verdugo, su esposa, en Málaga, calle de Pinete,…</t>
  </si>
  <si>
    <t>Re</t>
  </si>
  <si>
    <t>…o¡trono, por lo que se hizo trae’ á su templo, en el que se desi ud • de ¿as in signias reales; visti í un pobre vestido , y cubierto de ceniza murió Lon &lt; g¿im plo grande. 11. El Sr. Re) D García, Rey de Galicia y Poru. ” , I i jo ..el Emperador D Alonso, murió preso en ei casti lo de Luna, y fue trujo con las prisiones á esta santa iglesia. Señor.a Reinas. i.a La Sra. Reina Doña Urraca , esposa del Sr. Rey D. Alonso el iv. 2.a La Sra. Reina…</t>
  </si>
  <si>
    <t>Re, Pascual de</t>
  </si>
  <si>
    <t>Pascual de Re</t>
  </si>
  <si>
    <t>…mo remite s&lt;: ha señalado el dia 13 del mismo presente mes en la audiencia de dicho seño' dcdde á las r 1 de la mañana. Desde el i.es de Noviembre de 1808 se ignora el paradero de D. Pascual de Re/u a , avudantc que era en dicho tiempo del director del esmino que cons truía de S.mtander á la R ioj 1 D F rinci seo Xa vier Barra. El que lo supiere se ser virá anunciarlo al coronel D. Silvestre Hidalgo, residente en la ciudad de Valladolid, quien tiene qu…</t>
  </si>
  <si>
    <t>Re, Príncipe</t>
  </si>
  <si>
    <t>Príncipe Re</t>
  </si>
  <si>
    <t>…Sa María Isabel , é igualmente el de su augusto Hermano el Serení simo Sr. Infante D. Cárlos María con la Serma. Sra. Infanta Do ña María Francisca de Asís, hija tercera del mismo Sr. Príncipe Re gente. Convenidos por ambas partes por medio de los respectivos ministros comisionados al efecto, que fueron por parte de S. M ¿1 Exctno. Sr. D. Pedro Cévallos Guerra, consejero de Estado, pri mer secretario de Estado del Despacho, y por la de S. A. R. el Prí…</t>
  </si>
  <si>
    <t>Reajal, Julián Ruiz de</t>
  </si>
  <si>
    <t>Julián Ruiz de Reajal</t>
  </si>
  <si>
    <t>…imonios, á nombre del cabildo catedral y ayuntamiento de la ciudad de Calahorra, D. Fermín Sanjuan, dignidad de arcediano de Berberiego; D. Romualdo Mendoza y Viguera, canónigo, y D. Julián Ruiz de Reajal, prebendado de dicha santa iglesia. •</t>
  </si>
  <si>
    <t>Real, Duque Presidente del Consejo</t>
  </si>
  <si>
    <t>Duque Presidente del Consejo Real</t>
  </si>
  <si>
    <t>…la analizó el profesor de química Don Luis Proust, se declaró que eran ciertas Jas virtudes y calidades de la men cionada agua.*Después dé esto en , este- taño de 1-816 eb Excmo. Sr. Duque Presidente del Consejo Real mandó que la volviese á examinar la junta supé-í rior gubernativa de Medicina' , lá Cüal-,* mediante &gt;él análisis hechopoV D. Gre gorio Bañares, declaró que era la: misma qué anteriormente había sido anali zada, y que sin perjudicar ni á la salud ni á la dura…</t>
  </si>
  <si>
    <t>Real, Pascual</t>
  </si>
  <si>
    <t>Pascual Real</t>
  </si>
  <si>
    <t>…ue se encuentran, fueron deshechos en pocas horas por la in trepidez de los soldados del Rey nuestro Señor. j,Gomo!V. S. én sus instrucciones me encargaba obrase de acuerdo con el brigadier D. Pascual Real, segundo de las fuerzas de estas provincias, me detuve dos dias en S. Joaquín de Mariara con intención de que arreglásemos lo mas conveniente al servicio de S. M. y felicidad de los pueblos; pero ob servando que la necesidad de batir á los bandidos era urgent…</t>
  </si>
  <si>
    <t>REAL, Pedro Cevallos EN LA IMPRENTA</t>
  </si>
  <si>
    <t>Pedro Cevallos EN LA IMPRENTA REAL</t>
  </si>
  <si>
    <t>…ombrado en su lugar á D Josef Vázquez Figueroa. Tendreislo entendido, y dispondréis lo necesario á su cumplimiento.=Rubricado de la Real mano.= En Palacio á 27 de Enero de 1816.=A D. Pedro Cevallos EN LA IMPRENTA REAL.</t>
  </si>
  <si>
    <t>Real, Secretario del Despacho de Hacienda la</t>
  </si>
  <si>
    <t>Secretario del Despacho de Hacienda la Real</t>
  </si>
  <si>
    <t>…aviso de quedar en egecutarío. Dios guarde á V. S. muchos años. Madrid 27 de Noviembre de 1816. 2.a Con fecha de 4 del corriente ha comunicado á esta Dirección general el Exc mo. Sr. Secretario del Despacho de Hacienda la Real orden que sigue: ,,Para que á consecuencia de la orden de 30 de Julio último pueda infor mar el Consejo de Hacienda en Junta de Comercio y Moneda la regla gene ral que haga desaparecer las disposiciones perjudiciales al cultivo y comercio de vinos, se ha serv…</t>
  </si>
  <si>
    <t>Rebolledo, Bernardino de</t>
  </si>
  <si>
    <t>Bernardino de Rebolledo</t>
  </si>
  <si>
    <t>…D. Juan de Austria, D. Alvaro de Bazan, Antonio de Nebrija, y D. Pedro Menendez Avilés.zzCuaderno 5 °: D. Juan de Austria, Fr. Luis de Granada, Martin de Alpizcueta, Pedro Chacón, D. Bernardino de Rebolledo, y D. Luis de Góngora.= Cuaderno 6.°: D. Alonso Tostado, Luis Vives, D. Diego Hurtado de Mendoza, D. Gerónimo de Zurita, D. Diego de Saavedra Fajardo, y D. Alvaro Navia Osorio.—Cuaderno 7.0: D. Luis de Requesens, D. Bartolomé Leonardo de Argensola, D. Francis…</t>
  </si>
  <si>
    <t>Reboredo</t>
  </si>
  <si>
    <t>…uerto á su co mandante el capitán de cazadores D. Marcelino Aragón y su subalterno el teniente D. Juan Josef Caracholi, por lo que adopté la resolución de bus carlo , ordenando al comandante Reboredo se inclinase sobre su izquierda para proteger la marcha del batallón de cazadores, mientras que yo con el de partidarios me dirigía de frente. A pocos momentos de haber salido del pueblo recibí parte del coronel Rolando de haber sido envuelto, y que se hallab…</t>
  </si>
  <si>
    <t>Reboredo, Domingo</t>
  </si>
  <si>
    <t>Domingo Reboredo</t>
  </si>
  <si>
    <t>…Antonio Ro. lando con el batallón de cazadores de su mando, para que sostuviese el cuer po avanzado y al segundo escuadrón desmontado, al mando de su gefe acci dental el teniente coronel D. Domingo Reboredo, para ja de Guanuni, con el objeto de observar y resguardar aquel punto. No bien habían puesto en cumplimiento esta disposición, cuando tuve parte de haber sido arrollada y prisionera la avanzada de mi retaguardia, después de haber muerto á su co mandante el…</t>
  </si>
  <si>
    <t>Rechberg, Josef de</t>
  </si>
  <si>
    <t>Josef de Rechberg</t>
  </si>
  <si>
    <t>226 El Rey ha nombrado varios embajadores para las cortes de Berlín , Turin, Dresde y la Haya: á la primera va el conde Josef de Rechberg; á la segunda el conde WÍIIibald; á la tercera el conde de Luxemburgo, y á la cuarta el barón de Giese. PAISES-B A JOS-UNID OS. Groninga 22 de Enero. E! instituto de sordo- mudos establecido en esta ciudad acaba de celebrar su jubileo de 2; años. En el de 179…</t>
  </si>
  <si>
    <t>Reding</t>
  </si>
  <si>
    <t>…cito de Cataluña en la guerra déla usurpación: campaña primera, que contiene la introducción y las épocas de los sematenes del general marques del Palacio, del general Vives y de! general Reding.—Nuevo mé todo económico y ventajoso de destilar el vino por el apanto de O. Juan Jordana, con la lámina del: aparato y su explicación, y una tabla de los diferentes grados del aguardiente, por el Dr. D. Francisco Carborell, catedrático de química, publi cado…</t>
  </si>
  <si>
    <t>Reding, Cárlos</t>
  </si>
  <si>
    <t>Cárlos Reding</t>
  </si>
  <si>
    <t>…nte dirigirá su memorial al. acalde mayor ó ayunta miento de dicha villa hasta el referido día 25. Se desea saber el paradero de D. Juan Ruti, capitán del regimiento de suizos del coronel D. Cárlos Reding. Si alguno supiese de su paradero se servirá avisarlo á D. Fernando López, calle de Boteros, níuns. 7 y 8. En la villa de S. Asensio, sita en la Rioja, se halla vacante la plaza de orga nista: su dotación es 8 rs. diarios, pagados mensualmente con toda puntua…</t>
  </si>
  <si>
    <t>Reding, Teodoro</t>
  </si>
  <si>
    <t>Teodoro Reding</t>
  </si>
  <si>
    <t>…ércitos de V. M., tiene la honra de hacerle presente: que en calidad de segundo comandante y gefe de la vanguardia de la primera división del egército de Andalucía, mandada por el general D. Teodoro Reding, concurrió á la acción de Mengibar que contra la enemiga, mandada por el general Gover, se dio el 16 de Julio de 1808 entre aquella villa y la de Bailen, Por esta circunstancia se han dirigido al exponente varios oficiales, solicitando de palabra y por escrit…</t>
  </si>
  <si>
    <t>…atalla las tropas de la primera división le obligan á manifestar á V. M., valiéndose'de las palabras literales del general en gefe D. Francisco Xavier Castaños, y del divisionario D. Teodoro Reding, que habiendo va deado los 9© hombres de que se-'-componía entre infantería y caballería el caudaloso rio Guadalquivir por el vado que llaman del Rinco , desalojaron ¿ los enemigos de los puestos fortificados que tenían á la oriíl» derecha, y to das las posic…</t>
  </si>
  <si>
    <t>…terio de Guerra. i.a Queriendo dar el Rey nuestro Señor un público testimonio de su Real aprecio á las tropas de la primera división del Egércitode Andalucía al man do del General D. Teodoro Reding, y que sostuvieron la importante acción de Mengibar contra las enemigas, mandadas por el GeneralGover, el dia 16 de Julio de 1808 entre aquella villa y la de Bailen; y conformándose con el parecer de la Comisión encargada en el examen de las instancias en sol…</t>
  </si>
  <si>
    <t>Redonzo, Andrés</t>
  </si>
  <si>
    <t>Andrés Redonzo</t>
  </si>
  <si>
    <t>D. Felipe Crespo , D. Blas Domínguez, D. Joaquín Lumeras, D. josef García, D. Lázaro Canillas y D. Tomas Asensio. D. Manuel Fernandez, D. Bernardo de la Iluerga y D. Andrés Redonzo lo fueron igualmente con unos lazos de distinción. Todas estas condecoraciones, colocadas en ricas bandejas, con las medallas de plata puestas en lazos de distintos co lores, fueron distribuidas á los beneméritos que las recibieron, ai mismo tiem po que un ar…</t>
  </si>
  <si>
    <t>Regnier</t>
  </si>
  <si>
    <t>…ta dos ve ces, fidelidad , obediencia, amor y respeto á V. M. Veinte y dos entradas de franceses sufrió aquel desgraciado pueblo, y entre ellas por dos veces to do el egercito del general Regnier,y dos divisiones de 60 hombres cada una mandadas por los generales Lapise y Girard , y en ninguna pudieron conse guir que jurase al Rey intruso, aunque algunos de sus generales lo solicita ron imperiosamente. Pero no solo no juró Cáceres, sino que no obedeció…</t>
  </si>
  <si>
    <t>: O ?a Carolina, la menor de las hijas del Emperador, con su primo el Príncipe heredero de Toscana. Acaba de ser nombrado presidente del Consejo de los Ministros el Archi duque Regnier, hermano de S. M. el Emperador, que conservará al mismo tiempo la dirección suprema de la administración pública. Los pueblos del Austria, que se acuerdan del tino y afabilidad que manifestó este Príncipe cuando gobernó el Austria durante la ausencia de S. M.…</t>
  </si>
  <si>
    <t>Regueiral, Ignacio</t>
  </si>
  <si>
    <t>Ignacio Regueiral</t>
  </si>
  <si>
    <t>…ido yo de la villa &lt;íe Poto sí, caí en la madrugada de hoy1 sobre sus avanzadas, que se hallaban situadas en la angostura de Salo en el numero de 250 hombres al mando del teniente coronel D. Ignacio Regueiral, oficial que fue del Rey en Montevideo, y ac tual gefe de la legión infernal de Salta; y haciendo avanzar con sable en mano al primer escuadrón de cazadores, á beneficio de la luna conseguí una completa victoria por el terrible aturdimiento que les causó un a…</t>
  </si>
  <si>
    <t>Reguera, Antonio</t>
  </si>
  <si>
    <t>Antonio Reguera</t>
  </si>
  <si>
    <t>…rá, D. Josef Goicoechea, D. Justo Josef Banqueri, D. Luis López Ballesteros y D. Manuel Corte*; D. Josef María de Aguirre, teniente goberna dor subdelegado de Rentas de Cantabria; D. Antonio Reguera., regidor de la Coruña; D. Mariano Moxo, maestrante de Ronda, y D. Francisco Durango, vecino de Santander. Cruz de mimero A D. Genaro Azcona y Balanza, oficial 'segundo primero de la secreta ría del Despacho de Gracia y Justicia. Opción a cruz de número A D.…</t>
  </si>
  <si>
    <t>…Nota. En la gaceta extraordinaria del dia 13 del corriente, pág. 1126, línea 28, donde dice D. Antonio Ribera, uno de los agraciados con la cruz supernume raria de Cárlos m, léase D. Antonio Reguera; y en la misma gaceta, pág. 1128, línea 7, en lugar de D. Casiano Manuel Gómez de (.astro, léase D. Casiano Manuel González. Id. en la pág. 1132, en ia clase de gentileshombres de cámara con entra da, donde dice marques de Casa-boca, debe decir de Cas aboza ;…</t>
  </si>
  <si>
    <t>Reihbtrg</t>
  </si>
  <si>
    <t>…os plenipoten ciarios respectivos los han firmado y sellado con sus armas. Hecho en Munich á 16 de Abril de i$i6. zzEl taren de Wacquant*si GcgzcIUs. — EL conde de Montéelas. = El conde Reihbtrg. ORAN BRETAÑA. Zóndres 10 de Junio. El Príncipe Regente presenció dias pasados una escena bien singular a! salir de la tertulia de lady Headcote. Hallándose delante de la puerta otro coche ,41 cochero no quiso hacer paso al del Príncipe: los dos cocheros y la…</t>
  </si>
  <si>
    <t>Reinalte, Rafael de</t>
  </si>
  <si>
    <t>Rafael de Reinalte</t>
  </si>
  <si>
    <t>…cuarto principal. Cuartel del Barquillo. El Sr. visitador eclesiástico de Madrid, y no ha biéndole actualmente, se encargó al.expresado Sr. Uria Nafarrondo. Cuartel de Amafies. Al Sr. D. Rafael de Reinalte, caballero de la Real y distinguida orden española de Cárlos 111, y regidor de Madrid, que vive calle de la Espada , níím. 1, cuarto principal. ; Cuartel de S. Martin. Al Sr. D. Juan Antonio Salcedo, cura párroco de S. Gines, individuo del cabildo de curas y…</t>
  </si>
  <si>
    <t>Reínoso</t>
  </si>
  <si>
    <t>…rio de Sevilla, impreso en la misma por D. Josef Hidalgo, año de 1813. El 4.® [Catecismo político español constitucional que á imitación del de Doctrina cristiana compuesto por el Sr. Reínoso presenta al publico E. D. D. E. A. , en Málaga en la oficina de D. Luis Carreras, año de 1814. Y el 5° Catecis* mo cristiano político compuesto por un Magistrado para la educación de su hijo, y dado á luz por el Ayuntamiento de Antequera para el uso de su s e…</t>
  </si>
  <si>
    <t>Reinoso, Pedro</t>
  </si>
  <si>
    <t>Pedro Reinoso</t>
  </si>
  <si>
    <t>1131 Honores de auditores de departamento, A D. Juan de Dios Aguilar, maestrante de Ronda, y alcalde mayor de Xerez de la Frontera; D. Pedro Reinoso, auditor de marina de Vera; Don Joaquín Wuster de Velasco, auditor de marina de Vera , y D. Manuel Benitez , abogado de los Reales Consejos, residente en la Havana, habilitado de suplir en ausencias y enfermedades ó vacantes al propietario de aquel apostadero…</t>
  </si>
  <si>
    <t>Reirihard</t>
  </si>
  <si>
    <t>…duos siguientes: Los señores Dacier, secretario perpetuo, conde Choiseul-Gouffier, el conde Pastoret, el barón Silvestre de Sacy, Gossellín, Daunau, Derales, Dupont de Nemours, el barón Reirihard, Guinguené, el príncipe deTalley'rand , el conde -Garan de Coulon , ei caballero Visconti, él conde Boissy de Anglas, Millin , el barón Degerando, Brial, Petit- Radel, Barbie-Dubocage, el conde de Lanjuinais y Gausin,,; Gail, Clávier, • Arnaui*.y-Duval, Berna…</t>
  </si>
  <si>
    <t>Relagos, Juan Francisco de</t>
  </si>
  <si>
    <t>Juan Francisco de Relagos</t>
  </si>
  <si>
    <t>…eos. En virtud de providencia del Sr. Dr. D. Francisco Josef de Mardones, pres bítero, teniente vicario de esta villa de Madrid y su partido, y por el oficio del notario de número D. Juan Francisco de Relagos, se ha mandado sacar á pública subasta la mitad de una casa sita en la cálle de la Magdalena de esta corte, con accesorias á la de la Cabeza, núm. 5 , manz. 8, perteneciente al concurso de acree dores del presbítero D. Josef Segundo Moreno, que está tasada nu…</t>
  </si>
  <si>
    <t>Remigio</t>
  </si>
  <si>
    <t>…ra el de Chiapa, vacante por fallecimiento de D. Ambrosio de Llano , á Don Salvador Samartin, prebendado de la catedral de Guadalajara: para el de la Pa z, vacante por renuncia de D. Remigio de la Santa y Ortega, á D. Diego Antonio Navarro Martin de Villodres. Asimismo se ha servido S. M. conferir plaza de oidor en la Real audien cia de México, por promoción de D. Josef de Mesia y Caicedo á regente de la propia, á D. Francisco Antonio de Velasco,…</t>
  </si>
  <si>
    <t>Remires, Josef Santiago</t>
  </si>
  <si>
    <t>Josef Santiago Remires</t>
  </si>
  <si>
    <t>…ida pasaron al cuarto de S. A. y tuvo la bondad dé dispensarles igual gracia. El mismo dia tuvieron la honra de presentarse á S. M. y besar su Real mano D. Midas Mariano Mae»rre , D. Josef Santiago Remires, D. Román Romero y D. Tomas de Trúpita , comisionados por el ayuntamiento de la villa de Valdeolivas; con cuyo motivo dijo el primero: ,,Señor: El ayuntamiento de la villa de Valdeolivas se presenta ¿los Reales pies de V. M. ¿ ofrecerle sus personas y faculta…</t>
  </si>
  <si>
    <t>Rentar, He</t>
  </si>
  <si>
    <t>He Rentar</t>
  </si>
  <si>
    <t>…cía un establecimiento que tar^s ventajas ha producido y debe producir, y para cuyo fomento ha dictado ¿as mas efi caces providencias. ARTICULO DF. OFICIO. Circular He la Direcchn general He Rentar, Con fecha de 14 del corriente ha comunicado a esta Dirección general «I</t>
  </si>
  <si>
    <t>Rentería, Josef Carrandi y</t>
  </si>
  <si>
    <t>Josef Carrandi y Rentería</t>
  </si>
  <si>
    <t>…uien corresponda para su cumplimien= Palacio 8 de Febrero de i8i6. = A D. Josef Vázquez Figueroa. En atención á los méritos y servicios contraídos en defensa de la justa causa por D. Josef Carrandi y Rentería , vecino y regidor perpetuo de la villa de Gijon,- diputado que fue de su junta superior, y comandante gene-^ ral de alarma , se ha servido S. M. concederle, á consulta de la cámara, la gracia de qúe pueda aumentar á los blasones de sus armas un nuevo cuartel…</t>
  </si>
  <si>
    <t>Repiso, Bartolomé</t>
  </si>
  <si>
    <t>Bartolomé Repiso</t>
  </si>
  <si>
    <t>…mismo mes, á saber: Córdoba. D. Francisco Josef Benitez 160 rs. D. Manuel Martínez de Te jada 160. D. Josef de Luque 100. D. Rafael de Medina y Luque 60. Don Antonio de Luque 20. D. Bartolomé Repiso 60. Josef Lucena 4. D. Juan de Fio res 60. El gremio de especieros 760 rs. y 10 inrs. El mariscal de camoo D. To mas Zerain i^oo rs. D. Francisco Beltran de Guevara 160. D. Rafael Crespo ico. D. josef Herrera 120. D. Juan Carrillo y Aguayo 70. D. Miguel Mu ño…</t>
  </si>
  <si>
    <t>Repnin, Príncipe</t>
  </si>
  <si>
    <t>Príncipe Repnin</t>
  </si>
  <si>
    <t>…cho también directamente una exposición al Rey de Francia. RUSIA. Petersburgo 7 de Agosto. S. M. el Emperador acaba de nombrar gobernador militar y político de Ukrania al teniente general Príncipe Repnin, que durante la última guerra era gobernador militar de la Saxonia. Ha llegado ya á Cronstadt la escuadra del almirante Crown, que había ido al Báltico. Hace unos cuantos dias que el embajador de Francia dio su primer con vite, al que asistieron el cuerpo dip…</t>
  </si>
  <si>
    <t>Requesens, Luis de</t>
  </si>
  <si>
    <t>Luis de Requesens</t>
  </si>
  <si>
    <t>…de Góngora.= Cuaderno 6.°: D. Alonso Tostado, Luis Vives, D. Diego Hurtado de Mendoza, D. Gerónimo de Zurita, D. Diego de Saavedra Fajardo, y D. Alvaro Navia Osorio.—Cuaderno 7.0: D. Luis de Requesens, D. Bartolomé Leonardo de Argensola, D. Francisco Valles, D. Juan de Ribera, D. Juan de Palaíox y Mendoza, y el Mt ro. Fr. Luis Ponce de León. (iV continuará.') Por providencia de los Sres. del Real y supremo Consejo de Castilla, y su sala de Provincia, se ci…</t>
  </si>
  <si>
    <t>Res, Antonio</t>
  </si>
  <si>
    <t>Antonio Res</t>
  </si>
  <si>
    <t>…esino, manifestando sus conocimientos en la esfera armilar y geografía, explicando los mapas y resolviendo varios pro blemas con entera satisfacción de los concurrentes; dando fin D. Antonio Res ino con un romance endecasílabo de despedida y gracias. Los elogios y admiración del ilustre ayuntamiento y la de los sabios cen sores nombrados al intento por esta ilustre corporación, la alegría y dulce emoción que se notaba en todos los circunstantes al ve…</t>
  </si>
  <si>
    <t>Resgate, María</t>
  </si>
  <si>
    <t>María Resgate</t>
  </si>
  <si>
    <t>…e ha servido agraciar con la banda de su Real orden de Damas nobles de la Reina. María Luisa á la marquesa de San Miguel, á la marquesa de Lumiares, á la condesa de Caballeros y á Doña María Resgate de^Norotiha.; • . ; j ^ i' ' ■ -- - ----- - - ---------—'.............. .............. -........ i. ------------El dia r4 de Junio ultimo falleció en esta corte, á los 75 años, tres me ses y 14 dias de su edad , D. Juan Adan, primer escultor de S. M. , v dire…</t>
  </si>
  <si>
    <t>Resino, Antonio</t>
  </si>
  <si>
    <t>Antonio Resino</t>
  </si>
  <si>
    <t>…(ias que en su anverso tenían esculpidas las armas de Talavera y año, y en el reverso este lema: progressui in litterú) á ios mas sobresalientes, que fueron D. Felipe Neri Carral, D. Antonio Resino, D- Joseí Rodríguez, D. Simón de Sousa, D. Manuel García Santander, D. Mariano Martin, Doa Juan de Baños y D. Josef Portales, con sentimiento de no haber hecho mas para premiar los restantes, que creyó dignos todos de sus benéficas in tenciones, y dió á su sa…</t>
  </si>
  <si>
    <t>…firiendo por orden cronológico los héroes y Reyes que ha habido, y sucesos memorables que han acontecido hasta el siglo x. Y finalmente amenizaron el acto D. Fe lipe Neri Carral y D. Antonio Resino, manifestando sus conocimientos en la esfera armilar y geografía, explicando los mapas y resolviendo varios pro blemas con entera satisfacción de los concurrentes; dando fin D. Antonio Res ino con un romance endecasílabo de despedida y gracias. Los elogios y…</t>
  </si>
  <si>
    <t>Resusta, Josef</t>
  </si>
  <si>
    <t>Josef Resusta</t>
  </si>
  <si>
    <t>…e Mella y D. Manuel de Cañas. A tenientes de Navio los de Fragata El graduado de teniente de Navio D. Josef Morales, D. Francisco Berminghan, D. Pedro Mareilla, D. Josef Buitrago, D. Josef Resusta y D. Pe dro Micheo. A tenientes de Fragata los alféreces de Navio D. Josef Vargas MachucaD. Josef López Sagredo, D. Francisco Ro dríguez Gelabert, D. Mateo Albornoz, D. Josef Oiozaga, D. Francisco Gascón, D. Tomas Ciscar, D. Francisco Ristori y D. Santiago Soroa. A a…</t>
  </si>
  <si>
    <t>Retortillo, Josef</t>
  </si>
  <si>
    <t>Josef Retortillo</t>
  </si>
  <si>
    <t>…no, se procederá á lo que corresponda en derecho, pa rándoles el perjuicio que haya lugar. El marques de Real Proclamación, vecino de la Havana, hace saber que Dona Mariana Saens, D. Josef Retortillo, D. Felipe Esmilch, D. Josef Gomara, Don Pedro Subviaga, D. Domingo de la Torre, D. Manuel García Tejada, D. Santiago Merino y D. Ignacio Yanci pueden ocurrir por sí ó sus poderes á cobrar de los bie nes de D. Gonzalo Recio Oquendo, marques de Real Proclamaci…</t>
  </si>
  <si>
    <t>Retz, Bárbara de</t>
  </si>
  <si>
    <t>Bárbara de Retz</t>
  </si>
  <si>
    <t>…rtamento de marina de Cartagena : Don Victoriano Ortuño y Venader, vecino de la Coruña, 20 rs. en de s recibos de rédi os de acciones dtl R«ial empréstito de 160 millones de rs. : Doña Bárbara de Retz ha cedido 12800 rs. de los caídos que tiene por su viudtdad en el monte pió milirar: D. Andrés Fernandez de Ranilla y Palacios 2?coS rs. que tenia en créditos contra la Real Hacienda: Doña M^ua Ordeñes Acuña , vecina de Villaviciosa ,en el principado de Astúr…</t>
  </si>
  <si>
    <t>Rev</t>
  </si>
  <si>
    <t>…Sres. Reyes. i.° El Sr. Rey D. Alomo el iv, llamado el Monge. 2.0 El Sr. Rey D. Ramiro el n. 3.0 El Sr. Rey D. Ordoño el ur. 4." El Sr. Rey D. Sancho, el 1 de este nombre. 5.' El Sr. Rev D. Ramiro el ni. 6 o El Sr. Rey D. Bermudo el 11. 7.0 El Sr. Rey D. A1 n o el v: este fue quien trasladó á esta iglesia los cuerpos de lo&lt; Sres. Reves anrecesores, con otros de Sres. Infantesy Obispos que florecieron en santidad S.° El Sr. Rey D. Bermudo el iit. 9." El…</t>
  </si>
  <si>
    <t>Rey</t>
  </si>
  <si>
    <t>^99 «arcas, y en especial la Infanta Doña Sancha, esposa qne se intituló de 3an Isidoro. Cuerpos de Sres. Reyes. i.° El Sr. Rey D. Alomo el iv, llamado el Monge. 2.0 El Sr. Rey D. Ramiro el n. 3.0 El Sr. Rey D. Ordoño el ur. 4." El Sr. Rey D. Sancho, el 1 de este nombre. 5.' El Sr. Rev D. Ramiro el ni. 6 o El Sr. Rey D. Bermudo el 11. 7.0 El Sr. Rey D. A1 n o el v: este fue quien trasladó á es…</t>
  </si>
  <si>
    <t>…pan teón, y capilla intitulada de Sta. Catalina. E inmediato á la iglesia, dentro de ella, está el sepulcro del artífice de esta iglesia, llamado Pedro de Deus, que le destinó el Sr. Rey D. Fernando el 1 tan honorífico por su grande opinión de santidad. El dia to de Junio próximo pasado tuvieron la honra de presentarse á cumplimentar á S. M. en nombre de la villa del Ferrol los Excmos. Sres. Don Manuel López de Aranjo, del consejo de Estado, y secretario…</t>
  </si>
  <si>
    <t>…CIO. El Rey ,á consulta de la Cámara, se ha dignado elevar á tirulo de Cas tilla el de marques de la Garantía, que corresponde a D. Fernando Tamariz Martel, y lúe concedido por el Sr. Rey D. Cirios 111, siendo!» de NApoles, á su tio D, Antonio Morales para que le tenga con esta misma denomina ción para sí, sus hijos, herederos y sucesores en casa y mayorazgos per petuamente. Y en atención al lustre y antigüedad de la casa de D. Manuel Josef de Fallares…</t>
  </si>
  <si>
    <t>Rey'</t>
  </si>
  <si>
    <t>…el vi. 12. La Sra. Reyna Doña Urraca, segunda espoía del Señor Rey Don Alonso de Aragón. Sres. Infantes é Infantas. Lo? Sres. Infantes D. Alonso, D. Ordoño y D. Ramiro, hijos del Sr. Rey' D. Fruela el 11. Fl Infante D. García, hijo del conde de Castilla D. Sancho. La Sra. Infanta Doña Sancha, hermana dd Emperador D. Alonso, está consagrada á Dio« por cs^iótual esposa de San Isidoro; anduvo siete años en peregrinación visitando los santos lugares; en riq…</t>
  </si>
  <si>
    <t>Rey, Fructuoso Beltran del</t>
  </si>
  <si>
    <t>Fructuoso Beltran del Rey</t>
  </si>
  <si>
    <t>…o enlace los dipútadovde la., universidad general de la isla de Me,nor£a ,y particulares de Cindadela, el P. presentado Fr. Nicolás Ferrer, re ligioso agustino de la misma isla, y D. Fructuoso Beltran del Rey, vecino de esta corte; el primero de ios cuales, arengando á S.M.,dijo entre otras co sas lo siguiente:4_J ,, Señor: Por segunda vez se postra á los augustos pies de V. M. la gene ral universidad de Menorca y particular de Ciudadela para rectificar los sin ce…</t>
  </si>
  <si>
    <t>Reyes, Juan</t>
  </si>
  <si>
    <t>Juan Reyes</t>
  </si>
  <si>
    <t>…lanco, D. Josef Prendegart y D. Pedro de Paul, quienes admitirán toda proposición que fuese razonable. Estos mismos desean quienes pue den ser los herederos ó aibaceas del difunto D. Juan Reyes, que naufragó en la ba hía de Gibraltar el año de 1813, para comunicarles asunto que les interesa. En la Real fábrica de manufacturarían de metales establecida en la calle de San Lorenzo, á la de Hortaleza,se halla'de venta,'un número de campanas de peso des^…</t>
  </si>
  <si>
    <t>Reynoso, Manuel Gil</t>
  </si>
  <si>
    <t>Manuel Gil Reynoso</t>
  </si>
  <si>
    <t>…ña Isabel Francisca , y besar su Real mano, en nombre del ayuntamiento de la ciudad de Valladolid, el Sr. D. Manuel Ma ría Junco, del consejo de S. M. en el supremo de las Indias, D. Manuel Gil Reynoso, regidores , y D. Vicente Federico, procurador síndico general de la misma ciudad; y el primero dirigió á S. M. el discurso siguiente: ,, Señor: Vuestra M. V. y M. L. ciudad de Valladolid, á quien tenemos el honor de representar en acto tan solemne, felicita…</t>
  </si>
  <si>
    <t>Riaño, Rafael</t>
  </si>
  <si>
    <t>Rafael Riaño</t>
  </si>
  <si>
    <t>…ef Mi lian; graduación de tercero al cuarto D. Francisco Cerquero; graduación de cuarto al quinto D. Antonio Pascual la Peña, y graduaciones de oficiales quin tos á los meritorios D. Rafael Riaño, D. Manuel Sánchez Pinete y D. Mi guel Josef de Quevedo. DEPARTAMENTO DE FERROL. Ascendidos d sus inmediatas clases. A oficial primero el segundo D. Domingo Antonio Pereira; á oficial se gundo el tercero D. Pedro Montojo ; á oficial tercero el cuarto D Alejan…</t>
  </si>
  <si>
    <t>Riaúo, Miguel</t>
  </si>
  <si>
    <t>Miguel Riaúo</t>
  </si>
  <si>
    <t>…ebastian Díaz ,;capitaty-de,^apadqresqíá ]},. :Jo$ef Arguelles,&gt;capitan dei regimiento.de lá; Victoria ;pá Qfcfcndó;» capitán-graduado; de teniente coronel dél ?ext,o esóuadrpn de D. Miguel Riaúo, teniente de húsares de</t>
  </si>
  <si>
    <t>Riaz</t>
  </si>
  <si>
    <t>…s te mes por el consejo de guerra de Strasburgo. Las tropas suizas que están en Besa nznu se han repartido en dos batallo nes , mandados por ti capitán Hcíd gger y por el teniente coronel Riaz. El primero de estos batallones ocupa el fuerte Grition. Se esperan en la misma ciudad muchas partidas de reclutas suizos. Las cartas de Amsterdam de x 1 del corriente anuncian que se hallan en aqueila ciudad mas de 300 emigrados suizos, que se proponen pasar…</t>
  </si>
  <si>
    <t>Ribera, Antonio</t>
  </si>
  <si>
    <t>Antonio Ribera</t>
  </si>
  <si>
    <t>…los Agonizantes, frente al hospital General: su precio 8 rs. en rústica y 10 en pasta. Nota. En la gaceta extraordinaria del dia 13 del corriente, pág. 1126, línea 28, donde dice D. Antonio Ribera, uno de los agraciados con la cruz supernume raria de Cárlos m, léase D. Antonio Reguera; y en la misma gaceta, pág. 1128, línea 7, en lugar de D. Casiano Manuel Gómez de (.astro, léase D. Casiano Manuel González. Id. en la pág. 1132, en ia clase de gentilesh…</t>
  </si>
  <si>
    <t>Ribera, Carlos</t>
  </si>
  <si>
    <t>Carlos Ribera</t>
  </si>
  <si>
    <t>…retórica y poética. A este efecto el dia 13 del mes próximo pasado se presentaron los discípulos de la clase de retórica y poética en número de 28, y después que el uno de ellos (D. Carlos Ribera) pidió la atención d.-I pú blico, los concurrentes dieron á todos ellos asuntos para que escribieren en prosa latina algún pequeño discurso, corta relación ó cosa semejante; y en seguida habiendo señalado también el público á cada uno de ellos pasages para tr…</t>
  </si>
  <si>
    <t>Ribera, Juan de</t>
  </si>
  <si>
    <t>Juan de Ribera</t>
  </si>
  <si>
    <t>…endoza, D. Gerónimo de Zurita, D. Diego de Saavedra Fajardo, y D. Alvaro Navia Osorio.—Cuaderno 7.0: D. Luis de Requesens, D. Bartolomé Leonardo de Argensola, D. Francisco Valles, D. Juan de Ribera, D. Juan de Palaíox y Mendoza, y el Mt ro. Fr. Luis Ponce de León. (iV continuará.') Por providencia de los Sres. del Real y supremo Consejo de Castilla, y su sala de Provincia, se cita, llama y emplaza á D. Pedro Gómez de Rozas, vecino de esta corte, D. Andr…</t>
  </si>
  <si>
    <t>Ricardo, Juan</t>
  </si>
  <si>
    <t>Juan Ricardo</t>
  </si>
  <si>
    <t>…rrogante caballo. Mi pérdida consiste en 42 muertos, inclusos los expresados dos oficiales de la avanzada, y 32 heridos , entre los que se cuentan al valiente capitán de cazadores Don Juan Ricardo y el subteniente de. partidarios D. Melchor Velarde, á quienes recomiendo ó V. E. Hasta el ultimo tambor ce mis tropas se ha porta do brillantemente en este glorioso suceso; pero sin embargo cebo elogiar á V. E. la rapidez y serenidad con que el coronel de Mi…</t>
  </si>
  <si>
    <t>Richar</t>
  </si>
  <si>
    <t>…ifiesta tanto en la -actividad de las operaciones mercantiles, como en las crecidas cantidades que suministran los comerciantes para adornar los paseos públicos. Se asegura que el general Richar, comandante militar de está provincia, tuvo encargo del mayordomo mayor de la Archiduquesa María Luisa para ir</t>
  </si>
  <si>
    <t>Richelieu, Duque de</t>
  </si>
  <si>
    <t>Duque de Richelieu</t>
  </si>
  <si>
    <t>…cuadrilla del famoso, Krasel, que se halla ya privada de sus principales cabezas. Se asegura que el Rey de Baviera ha intercedido con S. M. el Rey de Francia por medio del Exento. Sr. Duque de Richelieu á favor de Mr. de Lavalette , para que se modere la pena á que ha sido condenado. Dícese que ayer ha debido tenerse un consejo privado para tratar de este acto de cle mencia. Idem 21. El Conde de Lavalette, que estaba sentenciado á pena capital, se ha fu gado…</t>
  </si>
  <si>
    <t>Riega, Bernardo</t>
  </si>
  <si>
    <t>Bernardo Riega</t>
  </si>
  <si>
    <t>…de Miranda , nifyordomo mayor de S. M., presidente * y de los Sres. D. Josef Perez Caballero , del consejo supremo de Hacienda , con honores y antigüedad del deCasrilla , de cano; D. Bernardo Riega, de este consejo y cámara ; el conde de Torremuzquiz , del consejo y cámara de Indias ; D. Juan Paez de la Cadena, del de Guerra; D. Diego María Badiilos, del de Almirantazgo; D. Santiago Masarnau y Torres , secretario de la mayordomía mayor; D. Francisco Esc…</t>
  </si>
  <si>
    <t>Riego, Angel del</t>
  </si>
  <si>
    <t>Angel del Riego</t>
  </si>
  <si>
    <t>…Guevara 160. D. Rafael Crespo ico. D. josef Herrera 120. D. Juan Carrillo y Aguayo 70. D. Miguel Mu ñoz 320. D. Rafael Juanicotena 1$. D. Andrés de León 100. D. Antonio Ru iz 60. D. Angel del Riego 100. Geraido de la Fuente ^o. D. Juan de Pa nlagua 60. El colegio de escribanos 1500. D. Juan Xerez Palomo 40. D. Ber nabé Notario 160 D. Juan Xerez y Montes 40. D. Francisco Carrillo del Valle, administrador general ,2411 rs. y 26 mrs. D. Antonio de Ramos y…</t>
  </si>
  <si>
    <t>Riera, Guillermo</t>
  </si>
  <si>
    <t>Guillermo Riera</t>
  </si>
  <si>
    <t>…de aférez de Fragata al primer piloto prdetico D. Antonio Armengual. OFICIALES DE MAR. A la graduación de tenientes de Fragata los graduados de alféreces de Navio D. Pablo Marge, D. Guillermo Riera y D. Juan de los Reyes. A la graduación de alféreces de Navio d los graduados de Fragata D. Manuel Bienvenga y D. Juan del Villar López. A la graduación de alféreces de Fragata á los primeros contramaestre* D. Josef del Pino, D. Domingo Pineirua, D. Justo López, D. And…</t>
  </si>
  <si>
    <t>Riesco, Francisco María</t>
  </si>
  <si>
    <t>Francisco María Riesco</t>
  </si>
  <si>
    <t>…alamanca , y felicitarle por su augusto enla ce matrimonial con la Reina nuestra Señora , los Sres. D. Vicente Ruiz de Albillos, arcediano titular de ella, y auditor de la Rota, y D. Francisco María Riesco, canónigo de la misma , é inquisidor de corte ; manifestando los constantes sentimientos de lealtad de aquel venerable cuerpo, y su rego cijo por las esperanzas que se promete de las glorias de la nación con tan plausible suceso, ácuyo interesante fin dirige…</t>
  </si>
  <si>
    <t>Rigard</t>
  </si>
  <si>
    <t>…er las costas, y proteger ios barcos costaneros. PRUSIA. Sarrebruck j5 de Julio. Varios periódicos de París, y algunas gacetas de Alemania que los han copiado, han dicho que el ex-general Rigard, condenado á muerte en rebel día, como convicto de haber expendido antes del 2 de Marzo de 181 s gran des cantidades de dinero con el objeto de sublevar las tropas de la división de su mando, había sido arrestado aqui de orden del Gobierno prusiano por manten…</t>
  </si>
  <si>
    <t>Rio, Antonio del</t>
  </si>
  <si>
    <t>Antonio del Rio</t>
  </si>
  <si>
    <t>…e su partido, compuesta de los sugetos siguientes: el coronel de caballería D. Juan de Vergara, di rector general de las partidas destinadas á perseguir malhechores en Andalu cía; D. Antonio del Rio, teniente de los Reales egércitos,regidor del ayun tamiento de dicha ciudad; D. Josef Callejón y Chacón ,maestrante del Real cuerpo de Granada, y D. Cirios Hauria de Lombera, secretario segundo deí mismo ayuntamiento; quienes manifestaron á S. M, y A. los sen…</t>
  </si>
  <si>
    <t>Rio, Bernardo del</t>
  </si>
  <si>
    <t>Bernardo del Rio</t>
  </si>
  <si>
    <t>…de Contaduría mayor A D. Casiano Manuel González de Castro, contador y asesor de tempo ralidades de España é Indias. Plaza supernumeraria sin sueldo en el tribunal del Excusado A D. Bernardo del Rio, canónigo de Ciudad-Rodrigo, é inquisidor de Llerena. Idem de intendente de Egército A D, Bernardo Temes, D. Antonio Barata y D. Diego de la Torre, di rectores del Crédito público; D. Pió Eüzalde, ídem de Reales provisiones; D. Carlos Rusconi , cónsul en Vene…</t>
  </si>
  <si>
    <t>Rio, Francisco Torrecilla del</t>
  </si>
  <si>
    <t>Francisco Torrecilla del Rio</t>
  </si>
  <si>
    <t>…creación de i.° de Mayo, que fueron endo sados en Málaga con fecha 6 de Abril del corriente ano por D. Félix Antonio Ruiz á la orden de D. Josef Miranda, y por su ausencia á la de D. Francisco Torrecilla del Rio, de Cádiz, quien los firmó para su descuento por ausencia de aquel; lo avi sa al comercio dicho Rosal para su gobierno y detención ene 1 caso de presentarlos í descuento, dándole el aviso oportuno, cuyos números son los siguientes: 50717, 5°738» 5°739» 5o837»…</t>
  </si>
  <si>
    <t>Rio, Luis Fernandez Gonzalo del</t>
  </si>
  <si>
    <t>Luis Fernandez Gonzalo del Rio</t>
  </si>
  <si>
    <t>…o que haya lugar, caso de no hacerlo; y se señala para nueva junta general el dia i.° de Febrero de 1816, á las 9 de su ma ñana en la posada de S. S. Los síndicos del concurso del Sr. D. Luis Fernandez Gonzalo del Rio, vecino que fue de esta corte, nombrados en la junta general de acreedores de 10 de Di ciembre del año próximo anterior, avisan á dichos señores acreedores que debiendo proceder al reconocimiento de sus créditos para enterarse de su legitimación, y li quidarl…</t>
  </si>
  <si>
    <t>…antidad de 933432 rs. rs. Quien quisiere tratar de compra a.udirá por sí ó por comisionado al R. P. Fr. Manuel Gómez, prior de dicho convento. Los síndicos al concurso del difunto Sr. D. Luis Fernandez Gonzalo del Rio previenen á los acreedores que hubiesen presentado sus créditos para liquidar en ca sa de D. Pedro Xavier de Vera, calle de Preciados, niim. 13, esquina á la de la Zarza, se sirvan ocurrir á ia misma, desde el dia 15 del presente mes, donde se lés de volverán…</t>
  </si>
  <si>
    <t>…Sr. D. Tadeo Soler, del consejo de S. M., alcalde decano de la Real casa y corte, á instancia de los señores síndicos nombrados por los acreedores á la testa mentaría del difunto Sr. D. Luis Fernandez Gonzalo del Rio, se ha servido señalar para nueva junta general el martes 4 de Junio próximo, á las 4 en punto de la tar decen la posada de S. S,, calle de¿ Fuencarral, pasada la casa de Astreareua. Lo que se avisa por el presente á todos ios acreedores para que concurran po…</t>
  </si>
  <si>
    <t>Ríos, Josef Gutiérrez de Jos</t>
  </si>
  <si>
    <t>Josef Gutiérrez de Jos Ríos</t>
  </si>
  <si>
    <t>…e, Carlos ni; conde de Viflánionte; conde de Salvatierra ; marques de Santa Cruz, ca ballero gran cruz de la Real y distinguida orden española de Cár los Iii; marques de Malferit; D. Josef Gutiérrez de Jos Ríos; conde de Belveder, caballero gran cruz de la orden de S Fernando; du que de Rivas; marques de Cerralvo ; señor de Rubianes; duque de Osuna.; duqne de Frías; marques de Ayerbe. Y ios Capitanes ge nerales del egército y de la Real armada D. Félix de Tejada, de…</t>
  </si>
  <si>
    <t>Ríos, Tomas</t>
  </si>
  <si>
    <t>Tomas Ríos</t>
  </si>
  <si>
    <t>…covar dos: D. Manuel Lorenzana uno : el provisor dos : los señores Jclís y compañía dos : D. Ma nuel Castaáon dos: D. Josef R*eovar dos: D. Ruperto Cea dos: D. Aniceto Cavero uno: D. Tomas Ríos uno: D. Francisco Val le jo dos : el cura de San Salvador Pala del Rey uno: el de S. Marcelo uno: el de Renueva uno: el de Sta. Ana uno: el tesorero del cabildo dos: D. Pascual Suarez uno: D. Lidro Benitoa uno: D. Ramón Arquello dos : D. Pedro Gastaniaga uno:…</t>
  </si>
  <si>
    <t>Risei, Ramón</t>
  </si>
  <si>
    <t>Ramón Risei</t>
  </si>
  <si>
    <t>…, D. Josef Trespuentes y D. Teiesforo Abascal, los cuales hicieron los egeroicios que prescribe el reglamento de esta escuela , en cuyo intermedio el socio protec tor de la misma D. Ramón Risei leyó un discurso relativo á las utilidades y vemajas de este arte. Concluidos los exámenes, se procedió á la adjudicación de premios en la forma siguiente: el primero á D.- Martin López, el segundo á D. Márcelo Se villano, el extraordinario á D. Josef Trespue…</t>
  </si>
  <si>
    <t>Risel, Ramón</t>
  </si>
  <si>
    <t>Ramón Risel</t>
  </si>
  <si>
    <t>…eal y distinguida orden española de Cárlos mi , é individuo del cuerpo colegiado de la nobleza, que vive Corredera de S Pablo, núm. 9, cuarto segundo. Cuartel de Afligidos. Al Sr.-D. Ramón Risel, contador de la Real in clusa, individuo de la Real sociedad económica matritense, que vive calle del Príncipe, núm. 13, cuarto principal. La Junta general de Caridad comunicó estos nombramientos, tanto á los caballeros censores, como á las diputaciones y sus…</t>
  </si>
  <si>
    <t>…presidiendo el acto el Sr. D. Ramón Satúe, del consejo de S. M., alcalde de su Real casa y corte, al que asistió también, como censor de las escuelas del cuartel de Afl igidos, el Sr. D. Ramón Risel; y habiéndose presentado á esta oposición personas de la mayor habilidad, tanto en las labores propias de su sexo como en la moral cristiana, recayó la plaza, después de oidas las señoras censoras, en Doña Fermina Meana, á quien se le aió la posesión el lunes…</t>
  </si>
  <si>
    <t>Ristori, Francisco</t>
  </si>
  <si>
    <t>Francisco Ristori</t>
  </si>
  <si>
    <t>…los alféreces de Navio D. Josef Vargas MachucaD. Josef López Sagredo, D. Francisco Ro dríguez Gelabert, D. Mateo Albornoz, D. Josef Oiozaga, D. Francisco Gascón, D. Tomas Ciscar, D. Francisco Ristori y D. Santiago Soroa. A alféreces de Navio los de Fragata D. Luis Romero, D. Josef Sevilla, D. Félix Martínez, D. Ildefonso Yoldi, D. Josef del Solar, D. Juan de Lerena, D. Pedro Teruel, D. Ber nardo Roca, D. Luis Roca, D. Manuel de Llanos, D. Juan Cervino y Don Miguel del Solar.…</t>
  </si>
  <si>
    <t>Rius, Pedro Pichó y</t>
  </si>
  <si>
    <t>Pedro Pichó y Rius</t>
  </si>
  <si>
    <t>…ses del año dé 1817 algunas de las plazas destinadas á la educación é instrucción de los semina ristas. Los que aspiren á obtenerlas se entenderán con el director del mismo el Dr. D. Pedro Pichó y Rius, presbítero, exponiendo su carrera, y los estudios do su profesión ; y en su vista el director los instruirá de los destinos vacantes., sus obli gaciones y emolumentos., y cuanto necesiten saber : podrán ser los pretendientes ecle siásticos ó seculares; pero…</t>
  </si>
  <si>
    <t>Rivas, Agustín Caballero y</t>
  </si>
  <si>
    <t>Agustín Caballero y Rivas</t>
  </si>
  <si>
    <t>…ef Rubiano y otros consortes, acreedoies á la testamentaria de D. Manuel Rivas Aibear, vecino y del comercio que fue de esta corte, al defensor de los demas acreedores ausentes, á D. Agustín Caballero y Rivas, socio principal de la casa y comercio titulada Rivas, Pena y compañía, y á los demas que sean interesados en la ocurrencia á la expresada testa mentaría, ó sus herederos en caso de haber fallecido, para que en el término de ig dias, contados desde hoy, compa…</t>
  </si>
  <si>
    <t>Rivas, Antonio</t>
  </si>
  <si>
    <t>Antonio Rivas</t>
  </si>
  <si>
    <t>…lar mas de los que presentan ahora, y .una vez comprobado y rubricado por el oficial de este ramo , deberán entregarlo al colector del doble derecho de carga y t des carga, que es D. Antonio Rivas, y verificado el pago de ló que adeudare con arreglo á la tarifa de lo que deben percibir las cofradías de mareantes del año de 1807.;,' recibirá del mismo colector una papeleta para ^presentarla ’á los prohombres de las cofradías, y sin este.requisito no se…</t>
  </si>
  <si>
    <t>Rivas, Manuel López de</t>
  </si>
  <si>
    <t>Manuel López de Rivas</t>
  </si>
  <si>
    <t>…y les parará en perjuicio. Por providencia del Sr. D. Josef Manuel de Arjcna, del consejo de S. M., su alcalde de casa y corte , refrendada del escribano de provincia y comisiones D. Manuel López de Rivas, á instancia de D. Rafael Perez Romo, vecino de la ciudad de Burgos, como testamentario de D. Juan González Merlo, vecino que fue de la mis ma, por quien se hallan reclamados dos rales de 600 pesos,creación de Mayo,núms. 399700 y 390268, se cita, llama y empl…</t>
  </si>
  <si>
    <t>…-u :ncí.íiuo, libre de toda carga y gravamen. Quien quisiere hacer mejora acuda ante el señor alcalde de casi y corte D. Josef Manuel de Arjona , por la escri banía de pro-inda de D. Manuel López de Rivas, dentro del precitado término de seis día,, curtidos desde 5 del presente mes de Julio; en la inteligencia que para el último remite s&lt;: ha señalado el dia 13 del mismo presente mes en la audiencia de dicho seño' dcdde á las r 1 de la mañana. Desde el i.es de…</t>
  </si>
  <si>
    <t>…or razón de alcabala y derechos judiciales. Quien quisiere hacer me jora acuda al juzgado del tenor alcalde de casa y corte D. Josef Manuel de Arjona. y escribanía de piovincia de D. Manuel López de Rivas; en la inteligencia de que para su último remate se ha señalado el día 3 de Agosto próximo á las 11 en punto de la mañana en dichos juzgado y escribanía. Poesías líricas de D. J. B. de Arriaz»: dos tomos en 8.° con portadas y viñetas del mejor birrii y gusto.…</t>
  </si>
  <si>
    <t>…s de alcabala, inclusos los judiciales. Quien qui siere hacer mis puja o mejora acuda ante el señor alcalde de casa y corte D. Josef Manuel de Arjona, y escribanía de provincia de D. Manuel López de Rivas; en la inteligencia de que se ha señalado para su remate el dia 5 de Setiembre próximo á las 1 1 en punto de hi mañana en la audiencia de dicho señor alcalde y citada escri banía de provincia. Instrucción sobre los impedimentos mas comunes para contraer matri…</t>
  </si>
  <si>
    <t>…suelta á 8, (i&gt; continuará.) Hn virtud de providencia del Sr. D. Josef Manuel de Arjona, del Consejo de S. Al-« si^.alcalde de casa y corte, refrendada del escribano de provincia D. Manuel López de Rivas, se ha mandado sacar á pública subasta una casa sita en el lugar de Carabanchel de abajo, y su calle que JMuman Empedrada, comprensiva de 4983Í pies cuadrados, y está tasada en 22110 rs. vn. Lo que se anuncia al público a fin de que las personas que quieran h…</t>
  </si>
  <si>
    <t>…r al público para que le conste y pueda concurrir á él. En virtud de providencia del Sr. D. Josef Manuel de Arjona, del Consejo de S. M., su alcalde de Casa y Corte, refrendada de D. Manuel López de Rivas, escri bano de provincia y comisiones, se ha mandado volver á sacar al pregón por 15 dias ?nas una casa sita en el lugar de Carabanchel de abajo, y su calle llamada Em pedrada, comprensiva de 4983! pies cuadrados, y tasada en 22 no rs. de vellón. Juien quisie…</t>
  </si>
  <si>
    <t>Rivas, Mateo Francisco de</t>
  </si>
  <si>
    <t>Mateo Francisco de Rivas</t>
  </si>
  <si>
    <t>…os en la felicitación hecha en Cádiz á S. M y A. por la ciudad de Arcos de la Frontera, y estando equi vocados los apellidos de otros, se advierte que los sugetós nombrados fueron Don Mateo Francisco de Rivas, D. Antonio María Alcx, D. Juan Zapata y Caro, Don Josef María Obregon y D. Pedro Josef Zapata. EN LA IMPRENTA REAL.</t>
  </si>
  <si>
    <t>Riveiro, Josef María Mariscal y</t>
  </si>
  <si>
    <t>Josef María Mariscal y Riveiro</t>
  </si>
  <si>
    <t>…nuestro Señor y el Serrno. Sr. Infante. El dia 9 de Octubre tuvieron la honra de felicitar á S. M. por su augus to enlace, como diputados de la santa iglesia de Játiva , los Sres D. Josef María Mariscal y Riveiro, del Consejo de S. M., inquisidor honorario de Valencia, dignidad de chantre y canónigo , y D. Fernando Muñoz , canó nigo de la misma; el primero de los cuales arengó á S. M.; y dijo entre otras cosas lo siguiente: „Señor: Vuestro cabildo de la santa iglesia…</t>
  </si>
  <si>
    <t>Ro</t>
  </si>
  <si>
    <t>…gecuten en el térmi no de 40 dias, que han de empezar á correr y contarse desde el 23 de este mes, acudiendo á presentar sus títulos y grados á la escribanía de cámara de cargo de Don Ro man Lorenzo Calvo. Los-subscriptores al itinerario descriptivo de las provincias de España, y dé sus islas y posesiones en el Mediterráneo, podran acudir á recoger sus egemplares á las librerías'donde se hayan.Suscrito, Esta obra, traducida libremente de la q…</t>
  </si>
  <si>
    <t>Ro, Francisco</t>
  </si>
  <si>
    <t>Francisco Ro</t>
  </si>
  <si>
    <t>…Berminghan, D. Pedro Mareilla, D. Josef Buitrago, D. Josef Resusta y D. Pe dro Micheo. A tenientes de Fragata los alféreces de Navio D. Josef Vargas MachucaD. Josef López Sagredo, D. Francisco Ro dríguez Gelabert, D. Mateo Albornoz, D. Josef Oiozaga, D. Francisco Gascón, D. Tomas Ciscar, D. Francisco Ristori y D. Santiago Soroa. A alféreces de Navio los de Fragata D. Luis Romero, D. Josef Sevilla, D. Félix Martínez, D. Ildefonso Yoldi, D. Josef del So…</t>
  </si>
  <si>
    <t>Ro, Francisco Martínez</t>
  </si>
  <si>
    <t>Francisco Martínez Ro</t>
  </si>
  <si>
    <t>…traducciones del Linneo, y los Anales de ciencias naturales. De las mismas obras que el primer premio, excepto las traducidas, cons taban los segundos de agricultura, conferidos á D. Francisco Martínez Ro bles y D. Gabriel Ortiz. El tercero lo recibió D. Josef Eusebio de Quintanilla en las Observacio nes , obra del Herrera y Filosofía botánica indicadas. Por la clase de botánica médica se presentó á recibir el Apparatus medicamentorum de Murray, los nuevos Ele…</t>
  </si>
  <si>
    <t>Ro, Ignacio</t>
  </si>
  <si>
    <t>Ignacio Ro</t>
  </si>
  <si>
    <t>…. M. en él uno de los mejores oficiales del egército. „No puedo dejar en silencio al sargento mayor del mismo cuerpo Don Antonio Casano, y á los capitanes D. Josef María Barreiro, D. Ignacio Ro mero y D. Melchor Castaños, por su zelo y trabajos en la formación y des empeño de las baterías, en que no han reposado dia y noche. „ Al teniente coronel del Real cuerpo de ingenieros D. Juan Camacho y al capitán de zapadores D. Sebastian Díaz les estoy muy…</t>
  </si>
  <si>
    <t>Ro, Josef Zoilo</t>
  </si>
  <si>
    <t>Josef Zoilo Ro</t>
  </si>
  <si>
    <t>…y los tres segundos de 35 pesos á D. Rafael Josef de Guardia, D. Josef Lorenzo Suarez y D. Vicente Garda; y deseosa la Real junta de condecorar el mérito de D. Ruperto Sacristán, D. Josef Zoilo Ro mán, D. Manuel Godos y Mendoza, D. Vicente de la Fuente y D. Fran cisco Sola, que han manifestado particular instrucción y aprovechamiento en los referidos exámenes, ha agraciado á cada uno de ellos con una caja de instrumentos de disección, y una obra de cir…</t>
  </si>
  <si>
    <t>Ro, Pedro Antonio</t>
  </si>
  <si>
    <t>Pedro Antonio Ro</t>
  </si>
  <si>
    <t>…camino directo de Vilcapugio. En este orden , y seguro de que Rodríguez se hallaba embarazado con la resistencia de Ja avanzada que cu bría mi retaguardia, destaqué rápidamente al coronel D. Pedro Antonio Ro. lando con el batallón de cazadores de su mando, para que sostuviese el cuer po avanzado y al segundo escuadrón desmontado, al mando de su gefe acci dental el teniente coronel D. Domingo Reboredo, para ja de Guanuni, con el objeto de observar y resguardar aqu…</t>
  </si>
  <si>
    <t>Robelo, Josef</t>
  </si>
  <si>
    <t>Josef Robelo</t>
  </si>
  <si>
    <t>…ádiz. Idem de secretarios del Rey A D. Josef Armesto y Segovia, contador de Resultas de la contaduría mayor, y á D. Antonio Carrero, idem de título. Idem de tesorero de Egército A D. Josef Robelo, depositario de Rentas de Sanlúcar. POR LA SECRETARIA DEL DESPACHO DE MARINA. EN EL CUERPO GENERAL DE LA ARMADA. Cruces pensionadas de la Real y distinguida orden española de Carlos tii. A D. Miguel Moreno, oficial segundo primero de la secretaría de Estado y…</t>
  </si>
  <si>
    <t>Robinchon, Francisco</t>
  </si>
  <si>
    <t>Francisco Robinchon</t>
  </si>
  <si>
    <t>…de aritmética, ortografía y gra mática castellana. Los memoriales se remitirán francos de porte al escribano de ayun tamiento en todo el presente mes. Escuela de á caballo por el Sr. Francisco Robinchon de la Gueriniere, caballe rizo que fue de S. M. Cristianísima, en que se contiene el conocimiento, la ins trucción y la conservación del caballo: traducido del francés al castellano por Don Baltasar de Irurzun. El método, claridad y solidez que brillan en est…</t>
  </si>
  <si>
    <t>Robledo, Mariano</t>
  </si>
  <si>
    <t>Mariano Robledo</t>
  </si>
  <si>
    <t>…Pedro Brenes Lobato: para la del Viso de Alcor á D. Antonio María de Rodas: para la de las Peñas de S. Pedro de nueva creación á D. Fernando Antonio Navarro : para la JsSacedon á D. Mariano Robledo: para la de Villablino á D. Josef García Al fonso: para la de la villa del Cerro á D. Antonio Morco é loza: para la del Burgo de Osma á D. Juan Galban Valiente: para la de Gerga á D. Miguel Antonio Compani; y para la de Cerezo á D. Josef Giménez Echevarría. S…</t>
  </si>
  <si>
    <t>Robles, Josef</t>
  </si>
  <si>
    <t>Josef Robles</t>
  </si>
  <si>
    <t>…. Juan Ocon uno: D. Manuel Cono uno: D. Fernando Carrillo uno: D. Josef Cantalapiedr» uno: D. Tomas Medina uno: D. Josef Salinas uno: D. Fernando Acuña uno: D. Nicolás Suarcz dos: D. Josef Robles uno: D. Blas López cuatro: el mar ques de Villadangos dos : e! marques de Castrojanillos dos: D. Josef Quiño nes dos: D. Claudio Quijada dos: D. Bernardo Escovar dos: D. Manuel Lorenzana uno : el provisor dos : los señores Jclís y compañía dos : D. Ma nuel Ca…</t>
  </si>
  <si>
    <t>Roca, Luis</t>
  </si>
  <si>
    <t>Luis Roca</t>
  </si>
  <si>
    <t>…féreces de Navio los de Fragata D. Luis Romero, D. Josef Sevilla, D. Félix Martínez, D. Ildefonso Yoldi, D. Josef del Solar, D. Juan de Lerena, D. Pedro Teruel, D. Ber nardo Roca, D. Luis Roca, D. Manuel de Llanos, D. Juan Cervino y Don Miguel del Solar. jEn el cuerpo de Ingenieros. Para el grado de ingenieros en gefe al en segundo D, Vicente Manterola y D. Joaquín María Perl., A ingeniero en segundo al ordinario D, Diego de Parra, En el cuerpo de…</t>
  </si>
  <si>
    <t>Roca, Salvador</t>
  </si>
  <si>
    <t>Salvador Roca</t>
  </si>
  <si>
    <t>…a de algunos de dichos acreedores, ha mandado se les haga notorio por medio de este periódico para su concurrencia. En virtud de providencia de 10 de Junio de este año del Sr. Dr. D. Salvador Roca, presbítero, teniente vicario de esta villa , se ha mandado sacar á pública sub asta por termino de ios 30 dias de la ley la mitad de una casa propia de D. Joset</t>
  </si>
  <si>
    <t>Rocabruna, Melchor de</t>
  </si>
  <si>
    <t>Melchor de Rocabruna</t>
  </si>
  <si>
    <t>…ronel de los Reales egérciros; D. Manuel Hernández , comisario ordenador, y regidor de la ciudad de S. Juan de Puerto-Rico; barón de Ortiz, digni dad de la catedral de Barcelona ; D. Melchor de Rocabruna, abad de Besalú; D. Santiago Diez Rodríguez, rector del lugar de Matiago en el obispado de Ciudad-Rodrigo ; D. Fermin Gil de Linares, fiscal de la audiencia de Extremadura; D. Fernando Gutiérrez, vecino de Campeche; D. Josef Moreno Martínez , contador de la t…</t>
  </si>
  <si>
    <t>Rod, Fernando</t>
  </si>
  <si>
    <t>Fernando Rod</t>
  </si>
  <si>
    <t>…e Vida, regidor de La misma villa , y de D. Josef Jurado Caballero, síndico procurador general de la misma: otra de la villa de Luque, de la que fueron individuos su alcalde mayor D. Fernando Rod riguez y Luque, alcalde ordinario, y D. Ignacio Ortiz González, di putado del común, juez comisario de la santa hermandad de Ciudad-Real: otra de la ciudad de Monroro, compuesta de su alcalde mayor el Lie. Don Josef Macedo y de D. Antonio Piedrahita , regidor…</t>
  </si>
  <si>
    <t>Roda, Marcelino</t>
  </si>
  <si>
    <t>Marcelino Roda</t>
  </si>
  <si>
    <t>…mal dotada; habiendo observado que varios particulares de esta ciudad , por evitar á sus inocentes hijos la trbte suerte de la ignorancia, acordaron poner su educación al cargo de D. Marcelino Roda (en que han tenido un loable acierto), é interesándose íntimamente en facilitar los mas sublimes conocimien tos á la juventud, encargó á este profesar hiciese un examen público de sus alumnos : en efecto el dia 23 de Abril, á las 10 de la mañana , presentó 1…</t>
  </si>
  <si>
    <t>Rodas, Antonio María de</t>
  </si>
  <si>
    <t>Antonio María de Rodas</t>
  </si>
  <si>
    <t>…el Rio á D. Cristóbal Benitez: para ía de Salas de los Infantes á D. Sandalio de Or ne y Garav : para la de Villalba de Alcor á D. Pedro Brenes Lobato: para la del Viso de Alcor á D. Antonio María de Rodas: para la de las Peñas de S. Pedro de nueva creación á D. Fernando Antonio Navarro : para la JsSacedon á D. Mariano Robledo: para la de Villablino á D. Josef García Al fonso: para la de la villa del Cerro á D. Antonio Morco é loza: para la del Burgo de Osma á…</t>
  </si>
  <si>
    <t>Rodenas, Máximo</t>
  </si>
  <si>
    <t>Máximo Rodenas</t>
  </si>
  <si>
    <t>…rimero de la secreta ría del Despacho de Gracia y Justicia. Opción a cruz de número A D. Josef Antonio Larraz , oficiab mayor primero de la secretaría del Despacho de Hacienda ; á D. Máximo Rodenas, oficial-mayor segundo de la misma secretaría, y al intendente de egército D. Rafael Ruiz de Arana, Bandas de la Real orden dé Damas Nobles de la Reina Marta Luisa A las Sermas. Sras. Infantas de Portugal Doña María de la Asunción, Doña Ana de Jesús María, y…</t>
  </si>
  <si>
    <t>Rodrí, Juan</t>
  </si>
  <si>
    <t>Juan Rodrí</t>
  </si>
  <si>
    <t>…ano Fernandez Villamil. Fueron examinados en aritmédea D. Josef Perez, D. Juan Pablo Rodríguez, D. Josel María JLcureiro, D. Florencio Pereira, D, Benito Pereira , D. Cosme Arias, D. Juan Rodrí guez, D. Josef Abad, D. Manuel Vicario, D. Josef Vicente Veiga , D. Jo-</t>
  </si>
  <si>
    <t>Rodríguez, Alfonso</t>
  </si>
  <si>
    <t>Alfonso Rodríguez</t>
  </si>
  <si>
    <t>…sita en la calle del Rclox, barrio de Doña María de Aragón, señalada con el núm. 11 de la manz. 554, como perteneciente á la misma testamentaría, la cual se tasó por el arquitecto D. Alfonso Rodríguez en 20 de Abril del año pasado de 1811 en la cantidad de 158957 rs. de vn. Lo que se anuncia al púbiieo por si al guna persona quisiese hacer postura concurra i la escribanía citada, que se le admi tirá la que hiciere, en el concepto de ser precisamente en mon…</t>
  </si>
  <si>
    <t>Rodríguez, Andrés</t>
  </si>
  <si>
    <t>Andrés Rodríguez</t>
  </si>
  <si>
    <t>…d los sargentos primeros D. Cárl os Valero, D. Josef de Cárdenas, D. Josef Usero, D. Domingo Apodaca, D. Benito Molina, D. Ramón López y D. Manuel Perea. En el tercer regimiento A D. Andrés Rodríguez. EN EL CUERPO DE PILOTOS. DEPARTAMENTO DE CADIZ. A tenientes de Navio los primeros pilotos graduados de tenientes de Fragata D. Juan Dieguez Miguez y D. Andrés Ramos. Vara la graduación de tenientes de Fragata d los que lo están de alférez de Navio D Pedro Sá…</t>
  </si>
  <si>
    <t>Rodríguez, Antonio</t>
  </si>
  <si>
    <t>Antonio Rodríguez</t>
  </si>
  <si>
    <t>…habiéndose hecho dignos del aplauso del lucidísi mo concurso y de los premios que se Ies distribuyeron D. Manuel Caro, D, Ildefonso Lucas, D. Josef de Neira , D. Antonio Montero, D. Antonio Rodríguez, D. Antonio Villar., D. Antonio Ulloa y D. Antonio Cartnona. Para dar fin á este acto D. Cristóbal Romero García, cura mas antiguo y beneficiado propio de lá Encarnación de esta villa, profirió un elegante y enérgico discurso, en el que dando gracias al P. Mt…</t>
  </si>
  <si>
    <t>Rodríguez, Antonio Caspe y</t>
  </si>
  <si>
    <t>Antonio Caspe y Rodríguez</t>
  </si>
  <si>
    <t>…ción de D. Manuel Plácido de Berriozabal á ídcaldc del crimen de •la de Lima : para otra de oidor de la audiencia de Santiago de Chile á Don Antonio Luis Pereira, por promoción dé D. Antonio Caspe y Rodríguez í</t>
  </si>
  <si>
    <t>Rodríguez, Cosme</t>
  </si>
  <si>
    <t>Cosme Rodríguez</t>
  </si>
  <si>
    <t>…miento de Granada. La medalla de plata coronada á D.Juan Sicilia, capitán del batallón del Rey; á D. habían Perez, teniente de ídem; á D. Antonio Fernandez , te niente de ídem ; á D. Cosme Rodríguez, sargento primero graduado del ba tallón de la Victoria ; á D. Joaquin Gomiel, soldado graduado de sargento segundo del sexto escuadrón de Artillería; á Juan Hurtado, soldado gradua do de sargento segundo del sexto escuadrón de Artillería; á Joaquin Bos, sold…</t>
  </si>
  <si>
    <t>Rodríguez, Francisco Alfonso</t>
  </si>
  <si>
    <t>Francisco Alfonso Rodríguez</t>
  </si>
  <si>
    <t>…ios é interino de Segovia Don Antonio González Alameda, D. Mateo de Eezaera y Zúíriga y el conde de Sarrtibañez , el asesor , abogados y promotor D. Vicente Amonio de la Grandara, D. Francisco Alfonso Rodríguez, D. Sebastian-de la*- Peñas y D. Sebastian de Iglesias el alguacil mayar D. Tomas Aibarran , el escribano D~ Pedro J3Iazquez. Tova l, el visitador D. Gerónimo Salgado, el escribana D. Francisco Yangiie j3ecerril&gt; los alcaldes que fueron del Espinar D. Juan</t>
  </si>
  <si>
    <t>Rodriguez, Joscí</t>
  </si>
  <si>
    <t>Joscí Rodriguez</t>
  </si>
  <si>
    <t>…compuesto de los regidores D. Pablo López, el capitán D. Dionisio Amelo, D. Máximo de Avila y D. Rafael Bautista Ca ntara , y los diputados D Manuel Ahugetas, D. Vicente Cárdenas, D. Joscí Rodriguez y D. Francisco Fernandez Calvillo , y el sindico persenero Don Bernardo González, con su procurador síndico el Lie. 1). Fraru en Joscfde Torre, pasó tn cuerpo al templo , que estaba surruosamente adornado , &gt; con asistencia de los cabildos eclesiásticos y prelados de los conventos. como asi m…</t>
  </si>
  <si>
    <t>Rodríguez, Josef</t>
  </si>
  <si>
    <t>Josef Rodríguez</t>
  </si>
  <si>
    <t>…tino el Magno, á satisfacción del ilustre ayuntamiento,sinodales y demas circunstan tes que honraban este acto , con lo que dio fin el 15 por la mañana. Por la tarde dió principio D. Josef Rodríguez con una elegante oración latina en alabanza de la poética y oratoria , y acto continuo se dió principio al examen en gramática latina, ya traduciendo en los escritores latinos dé primera nota , tanto prosaicos como poéticos , los pasages que se les señalaron,…</t>
  </si>
  <si>
    <t>…a. Honores de primer profesor médico-cirujano al médico-cirujano aprobado D. Alonso Pacheco* A segundo cirujano con la graduación de primero de la Real Armada al cirujano auxiliar D. Josef Rodríguez. Honores de primer cirujano al segundo jubilado D. Josef López.</t>
  </si>
  <si>
    <t>Rodríguez, Juan Pablo</t>
  </si>
  <si>
    <t>Juan Pablo Rodríguez</t>
  </si>
  <si>
    <t>9°t primer maestra director D. Cayetano Fernandez Villamil. Faeron exami nad en aritmérica D. Josef Perez, D. Juan Pablo Rodríguez, D. Josef María Loureiro, D Florencio Pereira, D. Benito Pereira, D. Cosme Arias, D. Juan RoJriuuez , I). Josef Abad, D. Manuel Vicario, D. Josef Vicente Veigi, D Josef Alonso, D. Juan Vega, D. Manuel Rodríguez Almeiras j D. Cayetano Cruz. En geometría D. Jos…</t>
  </si>
  <si>
    <t>…orma siguiente: Dióse principio por un papel alusivo al objeto, que leyó el primer maes tro director D. Cayetano Fernandez Villamil. Fueron examinados en aritmédea D. Josef Perez, D. Juan Pablo Rodríguez, D. Josel María JLcureiro, D. Florencio Pereira, D, Benito Pereira , D. Cosme Arias, D. Juan Rodrí guez, D. Josef Abad, D. Manuel Vicario, D. Josef Vicente Veiga , D. Jo-</t>
  </si>
  <si>
    <t>Rodríguez, Manuel</t>
  </si>
  <si>
    <t>Manuel Rodríguez</t>
  </si>
  <si>
    <t>…: monasterio de Espinareda 2Q: el ayuntamiento de Valencia de S. Juan 16: el de ia villa de Grajal 10. „ Particulares de la cuidad de León. D. Antonio Fernandez un par de zapatos: D. Manuel Rodríguez , boticario, uno: D. Tomas López 1 2 rs.: Don Josef Chicarro un par de zapatos : D. Fausto Escaja uno: D. Gerónimo Gó mez uno: D. Fernando Pareja uno: D. Martin Ginoves 10 rs.: D. Santiago Gallego un par de zapatos: D. Manuel Alonso uno: D. Antonio Chalanzon…</t>
  </si>
  <si>
    <t>Rodríguez, Mariano</t>
  </si>
  <si>
    <t>Mariano Rodríguez</t>
  </si>
  <si>
    <t>…del Consejo. Dios guarde ¿ V. muchos años. Madrid 17 de Agesto de 1816. El domingo 4 del corriente se consagraron en la iglesia de la Merced calzada de esra corte los linos. Sre&lt;. D. Mariano Rodríguez je O'.ruedo, obispo de Puerto-Rico, y I&gt;. Fr. Josef Higinio Durar Mar ti, obb-o de Panamá, siendo consagra nte el limo. Sr. D. Andrés fist :han . &lt; bbpo Jo Ce;i ta , v eiecto de Jaén; asistentes los limos. Sres. D. Luis Grcg'irio López del Castrillo, obispo d…</t>
  </si>
  <si>
    <t>Rodríguez, Miguel de Manuel y</t>
  </si>
  <si>
    <t>Miguel de Manuel y Rodríguez</t>
  </si>
  <si>
    <t>…emplar de la misma obra que existe en la Real biblioteca de esta corte y con otros manuscristos: publícanlo con notas históricas y legales los Dres. D. Ignacio de Asso y del Rio y Don Miguel de Manuel y Rodríguez: un tomo en folio: su precio 22 rs. á la rústica y 30 en pasta. Se hallará en la librería de Bailo calle de las Carretas. EN LA IMPRENTA REAL.</t>
  </si>
  <si>
    <t>Rodríguez, Pedro Alonso</t>
  </si>
  <si>
    <t>Pedro Alonso Rodríguez</t>
  </si>
  <si>
    <t>…no: obra original sacada de graves autores para la enseñanza y buena educación de la juventud , y acomodada al carácter , costum bres , leyes y religión de la nación española, por D. Pedro Alonso Rodríguez: ter cera edición. El aprecio que ha merecido, esta obra enlodas las provincias de Es paña y América en vista de las dos primeras ediciones hechas en gran número üe cgemplares, han obligado al autor á hacer esta tercera edición para^ beneficio pftbjir co. Se…</t>
  </si>
  <si>
    <t>Rodríguez, Román</t>
  </si>
  <si>
    <t>Román Rodríguez</t>
  </si>
  <si>
    <t>…vas: para la de Friones á I). Josef de Aguirre; y para la de Aznalcázar á D. Josef Joaquín Romero del Már mol. Y ha prorogado S. M. por seis años en la vara de Vegas dei Condado á D. Román Rodríguez. En la dirección del establecimiento del Crédito publico, situada en la ca sa nombrada del Platero, inmediato á la parroquia deSanta María de esra corte, se han de verificar los segundos y últimos remates del arriendo de las encomiendas que á continuación se…</t>
  </si>
  <si>
    <t>Rodríguez, Santiago Diez</t>
  </si>
  <si>
    <t>Santiago Diez Rodríguez</t>
  </si>
  <si>
    <t>…Hernández , comisario ordenador, y regidor de la ciudad de S. Juan de Puerto-Rico; barón de Ortiz, digni dad de la catedral de Barcelona ; D. Melchor de Rocabruna, abad de Besalú; D. Santiago Diez Rodríguez, rector del lugar de Matiago en el obispado de Ciudad-Rodrigo ; D. Fermin Gil de Linares, fiscal de la audiencia de Extremadura; D. Fernando Gutiérrez, vecino de Campeche; D. Josef Moreno Martínez , contador de la tesorería gen. ral ;;D. Pedro Vázquez Balles…</t>
  </si>
  <si>
    <t>Roig, Jaime</t>
  </si>
  <si>
    <t>Jaime Roig</t>
  </si>
  <si>
    <t>…nuestro Señor de la competencia promovida entre el Consulado de Valencia y el Santo Oficio de la Inquisición acerca del cono cimiento de un expediente suscitado por el comerciante D. Jaime Roig con tra D. Cayetano Ñogues, Secretario jubilado é Inquisidor honorario , sobre el reintegro de unos vales Reales, y de io que prescribe la ley 18, tít. i.°, lib. 4.° de la Novísima Recopilación, como posterior á la 1*5 del mismo tí tulo y libro sobre el métod…</t>
  </si>
  <si>
    <t>Rojas, Felipa de</t>
  </si>
  <si>
    <t>Felipa de Rojas</t>
  </si>
  <si>
    <t>…igen de la pintura, de original de autor desconocido, dibujado y grabado por D. Josef Navia: á 8 rs. ( Se continuará.) D. Josef Iglesias, natural de Málaga, hijo de D. Manuel y de Doña Felipa de Rojas, se ausentó de dicha ciudad de edad de 20 años, pudiendo tener en el dia 56 a 60; se sabe viajó á varias partes de América en clase de marinero, y que úl timamente »e estableció en el puerto de Cavite, en las Islas Filipinas; pero ha biendo hcvho las mas viva…</t>
  </si>
  <si>
    <t>Rojo, Francisco</t>
  </si>
  <si>
    <t>Francisco Rojo</t>
  </si>
  <si>
    <t>…miento y demas personas que asi lóTmanÍfestaron: y en la clase de rudimentos y sin taxis acreditaron tina instrucción sobresaliente D. ( Raimundo Colmenero, D. Evaristo Ánchiálo , D. Francisco Rojo yD; Francisco Llórente: en vis ita de eito: el 'alcalde Jmayor y los' señores D. Josef Clavero y D. Éstéban de h Peña, comisarios ¿ y demas individuos de áyuñtamiento, deseandó premiarel mérito de estos discípulos f y excitar Su zelo y apjicacion, ofrecieron,…</t>
  </si>
  <si>
    <t>Rojo, Simón Galiardon y</t>
  </si>
  <si>
    <t>Simón Galiardon y Rojo</t>
  </si>
  <si>
    <t>…SPAÑA. Madrid 8 de Abril. El dia 27 del pasado tuvo la honra de besar la Real mano de S. M., y felicitarle por su contratado enlace á nombre del batallón de Patriotas de Moratalla D. Simón Galiardon y Rojo , quien dirigió á S. M. el discurso si guiente : „ Señor: Los oficiales del bata Ron de Patriotas de Moratalla , del que fui comandante, en cuyo nombre y como comisionado me presento con el ma yor jubilo á besar la Rea! mano de V. M., y á poner en ellas el ad…</t>
  </si>
  <si>
    <t>RoJriuuez, Juan</t>
  </si>
  <si>
    <t>Juan RoJriuuez</t>
  </si>
  <si>
    <t>…yetano Fernandez Villamil. Faeron exami nad en aritmérica D. Josef Perez, D. Juan Pablo Rodríguez, D. Josef María Loureiro, D Florencio Pereira, D. Benito Pereira, D. Cosme Arias, D. Juan RoJriuuez , I). Josef Abad, D. Manuel Vicario, D. Josef Vicente Veigi, D Josef Alonso, D. Juan Vega, D. Manuel Rodríguez Almeiras j D. Cayetano Cruz. En geometría D. Josef Pujadas, D. Fermín Galceran, D Josef Sada, D. Ignacio Palacios, D. Tomas Diago, y los citados D J…</t>
  </si>
  <si>
    <t>Rol, Francisco Valle</t>
  </si>
  <si>
    <t>Francisco Valle Rol</t>
  </si>
  <si>
    <t>…éla Concordia Española del Perú/* Madrid 2 de Diciembre. El 15 del pasado tuvieron la honra de felicitar á SS. MM. y AÁ. por el cabildo de la iglesia catedral de Scgovia los Sres. D. Francisco Valle Rol dan , audiror de la Nunciatura , del Consejo de S. M., y arcediano de Cuellar, y*D. Josef Salomé García Puente, canónigo de dicha iglesia , juez del tribunal apostólico y Real de la gracia del Excusado, oidor honorario de la Real chanciileru de Vallado-lid, c…</t>
  </si>
  <si>
    <t>Rolando</t>
  </si>
  <si>
    <t>…quierda para proteger la marcha del batallón de cazadores, mientras que yo con el de partidarios me dirigía de frente. A pocos momentos de haber salido del pueblo recibí parte del coronel Rolando de haber sido envuelto, y que se hallaba apoyado en un morro,formado en cuadro, sufriendo todo el ímpetu del enemigo; por cuya razón continué con la precipitación consiguiente á tan crítica situación, hasta que puesto á la izquierda de cazadores desplegué en…</t>
  </si>
  <si>
    <t>Rolando, Pedro Antonio</t>
  </si>
  <si>
    <t>Pedro Antonio Rolando</t>
  </si>
  <si>
    <t>…s tropas se ha porta do brillantemente en este glorioso suceso; pero sin embargo cebo elogiar á V. E. la rapidez y serenidad con que el coronel de Milicias comandante de cazadores D. Pedro Antonio Rolando acudió con su batallón á vendar el sa'enfloro de su avanzada; el valor del teniente coronel de ejército D. Manuel de Valle, comandante de partidarios; el del comandante accidental del se gundo escuadrón teniente coronel de egército D. Domingo Reboredo; el del…</t>
  </si>
  <si>
    <t>Roldan, Felipe</t>
  </si>
  <si>
    <t>Felipe Roldan</t>
  </si>
  <si>
    <t>…asado de 1815 , D.-E legarlo, de los Cuetos, D. Josef Quesada , D. Esteban Croquer, D. Antonio Tiscar, D. Joaquín Mozo, D. Juan de Arcos , D. Antonio Sotelo , D. Manuel Zaragoza , D. Felipe Roldan , Don Antonio Urzais y D. Juan Mesías: el de alféreces de fragata á los guardias marinas D. Juan Mozo, D. Segundo Díaz Herrera, D. Victoriano López Llanos, D. Josef Salcedo, D. Francisco Osorio , D. Manuel Ibarra, D. Ma nuel Ortiz Canelas y D. Francisco S* Pe…</t>
  </si>
  <si>
    <t>Rollan, Josef Sánchez</t>
  </si>
  <si>
    <t>Josef Sánchez Rollan</t>
  </si>
  <si>
    <t>…quín Blanco Maldonado: para el corregi miento de Herrera del Rio Pisuerga á D. Eugenio María Alvarez: para el de Mayorga á D. Manuel Rufino García Zorrilla: para el de Trebujena á Don Josef Sánchez Rollan : para el de Valencia de Don Juan á D. Manuel de Quevedo y los Ríos : para el de Atienza á D. Juan Antonio Vergara: para el de Jadraque á D. Francisco García Ortiz : para el del valle de Soba-Ruesga y Villaverde á D. Josef Muñoz Contreras: para el de Montejaq…</t>
  </si>
  <si>
    <t>Rolng</t>
  </si>
  <si>
    <t>…privilegios por su fidd iad á su&gt; Re . es en todos tiempos , y señaladamente D. Alonso, conquis tador de este territorio , y hoy ya titulado del Infantado por medio del va liente capitán Rolng* D'i¿ d i Vivar , llamado comunmente el Cid Cam peador, se mira 'hoy hu^dana de los hijos que ha sacrificado en defensa de los derechos de V. M., reunión y leyes fundamentales de la monarquía, arrui nada en sus edificios, yerma en sus campos, y eri la!'última…</t>
  </si>
  <si>
    <t>Román, Pascual</t>
  </si>
  <si>
    <t>Pascual Román</t>
  </si>
  <si>
    <t>…en Venecia, y D. Rafael Ruiz de Arana, ministro del tribunal de Cruzada. Idem de Provincia Á D. Mariano Vallejo, superintendente y director de las Reales fábricas de Guadalajara; D. Pascual Román, contador de Juros, y D. Francisco Mel garejo y D. Antonio Alonso , tesoreros de egército y Real hacienda de Cádiz. Idem de secretarios del Rey A D. Josef Armesto y Segovia, contador de Resultas de la contaduría mayor, y á D. Antonio Carrero, idem de título.…</t>
  </si>
  <si>
    <t>Romano, Francisco Xavier</t>
  </si>
  <si>
    <t>Francisco Xavier Romano</t>
  </si>
  <si>
    <t>…matrímoñíd jr comisión del cabildo de la M. N. y M. t. ciu dad de Xerez de la Frontera el Excmo. Sr. duque de S. Lorenzo, brigadier de los Reales egércitos, y los Sres. coróneles D. Francisco Xavier Romano y D. Josef Herrera Dávila j de los cuales el primero dijo entre otras c &gt;.sas lo siguiente: ,, Señor: La ciudad de Xerez de la Frontera nos ha dispensado la hoñrfc de comisionarnos para tributar á V. M. los mas rendidos homenages de séi amor y veneración, virtud qué jamas ha po…</t>
  </si>
  <si>
    <t>Romanzow</t>
  </si>
  <si>
    <t>14</t>
  </si>
  <si>
    <t>…principios, se han tomado ya las medidas mas activas para atajar los progresos de un mal, que desprecia do acarrearla la ruina de una porción de familias. Escriben de Rusia que el general Romanzow está haciendo edificar á sus expensas en la ciudad de Holme una iglesia que ha de servir para el culto ruso , otra para el culto ctólico, y una sinagoga. Estas tres iglesias deben formar un solo edificio triangular. Algunos periódicos ingleses hablan de una r…</t>
  </si>
  <si>
    <t>…mentamos una sequía tan extraordinaria que no hay memoria de otra igual en los países septentrionales. Acaba de salir de aquí para Moscow , desde donde se dirigirá i Maca— new, el conde Romanzow, canciller del imperio. Idem J2. El embajador persa, que salió hace dias de esta capital para regresar á su</t>
  </si>
  <si>
    <t>Romanzow, Nicolás</t>
  </si>
  <si>
    <t>Nicolás Romanzow</t>
  </si>
  <si>
    <t>…los astilleros, la extensión de los arsenales y de los depósitos, se presentará al congreso en un informe espe cial durante la presente sesión.” RUSIA. Petersburgo 3 de Enero, El conde Nicolás Romanzow, canciller del imperio, ha regresado á esta capital. Se cree que volverá al ministerio, y que para año nuevo (que prin cipia entre los rusos el 12 de Enero) habrá muchas mudanzas en los emplea dos principales de la corte. Antes ae ayer hizo su entrada solemne…</t>
  </si>
  <si>
    <t>Romeo, Vicente</t>
  </si>
  <si>
    <t>Vicente Romeo</t>
  </si>
  <si>
    <t>…gante oración latina, dando gracias al ayuntamiento por los paternales desvelos con que procura la instrucción pública. Después de lo cual I03 de la misma .clase D. Manuel Miguel, D. Vicente Romeo y D. Ci priano Aznar expusieron con tanto método como claridad todos los precep tos de Ta gramática latina , y se egercitaron en la versión de los mejores au tores de pura latinidad, tanto prosaicos como poetas, dando cúenta de la es tructura, locución é índole del l…</t>
  </si>
  <si>
    <t>Romero, Eusebio</t>
  </si>
  <si>
    <t>Eusebio Romero</t>
  </si>
  <si>
    <t>…elicitar á S. M. y Ai R. el vicario general de ellos el Dr. D. Pió Rafael Sánchez de León: otra de la villa de Camuñas, compuesta de D. Manuel María More no, D. Juan Manuel Díaz , D. Eusebio Romero , D. Juan Antonio López de la Oliva, D. Manuel Sánchez, D. Alonso María Sahagun y Chacón, y D. Lorenzo Romero: otra del ayuntamiento y clero de Villarubia de los ojos de Guadiana , compuesta de su alcalde mayor D. Salvador Gramage , de; su alcalde ordinario D…</t>
  </si>
  <si>
    <t>Romero, Josef París y</t>
  </si>
  <si>
    <t>Josef París y Romero</t>
  </si>
  <si>
    <t>…e de Soba-Ruesga y Villaverde á D. Josef Muñoz Contreras: para el de Montejaque á Don Josef Moreno Ramírez : para el de Jodar á D. Florencio García Colmenero: para el de Setenil á D. Josef París y Romero, y reponer en el de Dueñas á D. Pedro Diez Canseco: para la vara de alcalde mayor de Roa á D. Do mingo Fuentenebro : para la de Potes á D. Mariano Muñoz Gómez Henriquez: para la de Cervera del Rio Pisuerga á D. Josef Joaquín Yagiie: para la de Mairena de Alco…</t>
  </si>
  <si>
    <t>Romero, Juan</t>
  </si>
  <si>
    <t>Juan Romero</t>
  </si>
  <si>
    <t>…dencia del tribunal del consulado de Cádiz, y escribanía de D. Elias Izquierdo y Payan, se cita, llama y emplaza á cuantos se estimen con derecho á los bienes de la dependencia de D. Juan Romero, para que en el término de seis meses ocurran á deducirlo con los documentos que les comprueben; prevenidos que transcursado dicho plazo sin haberlo hecho, se egecutarán los pagos sin cualidad de fian za, cancelándose las que esten dadas; lo que, con cuanto s…</t>
  </si>
  <si>
    <t>Romero, Lorenzo</t>
  </si>
  <si>
    <t>Lorenzo Romero</t>
  </si>
  <si>
    <t>…Camuñas, compuesta de D. Manuel María More no, D. Juan Manuel Díaz , D. Eusebio Romero , D. Juan Antonio López de la Oliva, D. Manuel Sánchez, D. Alonso María Sahagun y Chacón, y D. Lorenzo Romero: otra del ayuntamiento y clero de Villarubia de los ojos de Guadiana , compuesta de su alcalde mayor D. Salvador Gramage , de; su alcalde ordinario D. Juan García Tasamero, de su cura párroco D. Ma tías González Soler y de D. Francisco López; y otra de la vil…</t>
  </si>
  <si>
    <t>Romero, Luis</t>
  </si>
  <si>
    <t>Luis Romero</t>
  </si>
  <si>
    <t>…cisco Ro dríguez Gelabert, D. Mateo Albornoz, D. Josef Oiozaga, D. Francisco Gascón, D. Tomas Ciscar, D. Francisco Ristori y D. Santiago Soroa. A alféreces de Navio los de Fragata D. Luis Romero, D. Josef Sevilla, D. Félix Martínez, D. Ildefonso Yoldi, D. Josef del Solar, D. Juan de Lerena, D. Pedro Teruel, D. Ber nardo Roca, D. Luis Roca, D. Manuel de Llanos, D. Juan Cervino y Don Miguel del Solar. jEn el cuerpo de Ingenieros. Para el grado de ingen…</t>
  </si>
  <si>
    <t>Romero, Román</t>
  </si>
  <si>
    <t>Román Romero</t>
  </si>
  <si>
    <t>…A. y tuvo la bondad dé dispensarles igual gracia. El mismo dia tuvieron la honra de presentarse á S. M. y besar su Real mano D. Midas Mariano Mae»rre , D. Josef Santiago Remires, D. Román Romero y D. Tomas de Trúpita , comisionados por el ayuntamiento de la villa de Valdeolivas; con cuyo motivo dijo el primero: ,,Señor: El ayuntamiento de la villa de Valdeolivas se presenta ¿los Reales pies de V. M. ¿ ofrecerle sus personas y facultades , y disponga de ellas como su Rey y…</t>
  </si>
  <si>
    <t>Romo, Rafael Perez</t>
  </si>
  <si>
    <t>Rafael Perez Romo</t>
  </si>
  <si>
    <t>…a del Sr. D. Josef Manuel de Arjcna, del consejo de S. M., su alcalde de casa y corte , refrendada del escribano de provincia y comisiones D. Manuel López de Rivas, á instancia de D. Rafael Perez Romo, vecino de la ciudad de Burgos, como testamentario de D. Juan González Merlo, vecino que fue de la mis ma, por quien se hallan reclamados dos rales de 600 pesos,creación de Mayo,núms. 399700 y 390268, se cita, llama y emplaza á D. Domingo Cabezón y D. Jua¡n d…</t>
  </si>
  <si>
    <t>Ron, Pedro Martínez de</t>
  </si>
  <si>
    <t>Pedro Martínez de Ron</t>
  </si>
  <si>
    <t>…en la oficina de renovación, entre otros tres de á 300 pesos cada uno de i.° de Enero de 1808, números 87858, 107518 y 126837, que aparecen en su último endoso, el i.° á favor de D. Pedro Martínez de Ron por D.'GabrieJ Leonely en Madrid i 10 de Agbsto.de 1810»; el 2.0 á D. Juan de Arribas por Don Pascual Suarez, íambieái en Madrid, á 2,0 de Enero del propio año, y el, 3.0 al te* piertte de caballería D., Cipriano de Velasco por D. Saturio Angel de Velasco, as…</t>
  </si>
  <si>
    <t>Ronquillo, Francisco</t>
  </si>
  <si>
    <t>Francisco Ronquillo</t>
  </si>
  <si>
    <t>…quín Cornijo , teniente de cazado res de Barbastro, empleo de capitán efectivo : á D. Gregorio Valiente, tenien te de cazadores de Castilla, D. Manuel Ximenez, ídem de Barbastro , Don Francisco Ronquillo, idein de Reales Minadores, D. Antonio Van-Halen, ayudante del regimiento del Rey, D. Agustín Corcuera, teniente del de León , y D. Juan Pinto, ídem de Reales Zapadores, el grado de capitán: á D. Francisco Saín z, subteniente del regimiento de la Victoria, y…</t>
  </si>
  <si>
    <t>Rosal, Eulogio del</t>
  </si>
  <si>
    <t>Eulogio del Rosal</t>
  </si>
  <si>
    <t>…Antonio Diaz Noriega, que despacha el infrascrito en virtud de Real habilitación, dentro del térmi no de 30 dias contados desde esta fecha. .Habiendo sido extraídos de la casa de D. Eulogio del Rosal, del comercio de Cádiz, 15 vales Reales de 300 pesos, creación de i.° de Mayo, que fueron endo sados en Málaga con fecha 6 de Abril del corriente ano por D. Félix Antonio Ruiz á la orden de D. Josef Miranda, y por su ausencia á la de D. Francisco Torrecilla d…</t>
  </si>
  <si>
    <t>Rosales, Bernardo Mozo</t>
  </si>
  <si>
    <t>Bernardo Mozo Rosales</t>
  </si>
  <si>
    <t>…e Castilla; el Conde de Torre Muzquiz y D. Bruno Vallnrino por el de Indias; D. Sancho de Llamas y D. Juan Antonio Fernandez de Quesada por el de Hacienda , nombrando por Fiscal á D. Bernardo Mozo Rosales, Fiscal antes, y ahora Ministro del Consejo de Hacienda; y para Secretario con voto á D. Anacleto Fagoaga y Dutari, Ministro de la Chancillería de Granada, con plena jurisdicción y facultades para conocer única y privatimamente de la restitución de las propie…</t>
  </si>
  <si>
    <t>Rosas, JosefPerez de</t>
  </si>
  <si>
    <t>JosefPerez de Rosas</t>
  </si>
  <si>
    <t>…; D. Josef Ruiz de Copegni, vocal que fue de la junta de Burgos; D. Ventura Tagle Soasaga, racionero de la catedral de Lima; D. Francisco Florencio de Olazabal, vecino de Sevilla; D. JosefPerez de Rosas, corregidor de Logroño; D. Juan Jabat, ministró plenipotencia io en Constantinopla; D. Josef Iznardi, ministro residente en Hamburgo; D. Josef Antonio Iparraguirre, cónsul en Bayona; D. Francisco Verges, canónigo de Gerona, director de aquel hospicio; D. Fran…</t>
  </si>
  <si>
    <t>Rosen</t>
  </si>
  <si>
    <t>…m íái;ió de allí para‘Petersburgo. Se componía ademas delembajador, del secretario Brandel, que irá'de París á Perersbtirgo, de los con des Carlos y Alejandro de Wachtmeister, del conde Rosen , del teniente co ronel Stiernschanz ,y del teniente de la guardia Gustavo Peiron___Esta em bajada parece que tiene por objeto felicitar á S. M. el Emperador Alejandro por los esfuerzos gloriemos que este ilustre Monarca ha hecho para el resta blecimiento del…</t>
  </si>
  <si>
    <t>Rósete, Francisco</t>
  </si>
  <si>
    <t>Francisco Rósete</t>
  </si>
  <si>
    <t>…y JD. L michino I turrado; al del escuadrón de Tiznados D. L&gt;:e::o ¿;olanco; á ios de Espino y Ortiz , Reyes, Alvarado, y D. Francisco Saina do, y ni de auxiliares de S. Sebastian D. Francisco Rósete, igualmente que • al teniente-justicia de Espino D. Concepción Ledesma , que a pesar de su avanzada edad de mas de 6o años se batió con furor aun después de recibi das tres graves heridas. Todas las tropas, asi europeas como del pais, se han hecho dignas A qu…</t>
  </si>
  <si>
    <t>Rosslin</t>
  </si>
  <si>
    <t>…ito de ocupación; á lo que contestó el conde de Bathurst que se pagarla el total en el año de 1817, y que se ha tenido por conveniente no pedir nada antes de dicha época. El mismo lord Rosslin preguntó también si el interes y los fondos de amorti zación de la parte del préstamo tomado por la Rusia en Holanda, por el cual la Inglaterra ha contraído empeños, serán satisfechos con las contribu ciones que ha,de pagar la Francia , ó con fondos de la Ing…</t>
  </si>
  <si>
    <t>Rozas, Pedro Gómez de</t>
  </si>
  <si>
    <t>Pedro Gómez de Rozas</t>
  </si>
  <si>
    <t>…doza, y el Mt ro. Fr. Luis Ponce de León. (iV continuará.') Por providencia de los Sres. del Real y supremo Consejo de Castilla, y su sala de Provincia, se cita, llama y emplaza á D. Pedro Gómez de Rozas, vecino de esta corte, D. Andrés Cálvelo, D. Manuel de Entrambasaguas, D. Manuel Cano, D. Luis de Nestrosa , O. Antonio Castillo de Lerin, apoderados del conde de Vistaflorida, de D. Josef Manuel de Trevilla, D. Josef Rubiano y otros consortes, acreedoies á l…</t>
  </si>
  <si>
    <t>Rozas, Ramón Calvo de</t>
  </si>
  <si>
    <t>Ramón Calvo de Rozas</t>
  </si>
  <si>
    <t>…Escariad, contador general de la Real casa y patrimonio; D. Pedro de Vargas , teso rero general de la misma Real casa y patrimonio; D^ Francisco Alonso de Ojeda, asesor general, y D. Ramón Calvo de Rozas , fiscal. Reunidos t&lt; dos con este objeto en la secretaría de la mnyordomía mayor á la hora señalada por el Excmo. Sr. presidente, pronunció este el discurso que sigue : „ Señores: Después de seis años de desolación y exterminio vió por fin la fiel España cum…</t>
  </si>
  <si>
    <t>Ru, Antonio</t>
  </si>
  <si>
    <t>Antonio Ru</t>
  </si>
  <si>
    <t>…Francisco Beltran de Guevara 160. D. Rafael Crespo ico. D. josef Herrera 120. D. Juan Carrillo y Aguayo 70. D. Miguel Mu ñoz 320. D. Rafael Juanicotena 1$. D. Andrés de León 100. D. Antonio Ru iz 60. D. Angel del Riego 100. Geraido de la Fuente ^o. D. Juan de Pa nlagua 60. El colegio de escribanos 1500. D. Juan Xerez Palomo 40. D. Ber nabé Notario 160 D. Juan Xerez y Montes 40. D. Francisco Carrillo del Valle, administrador general ,2411 rs. y 26 m…</t>
  </si>
  <si>
    <t>Ruano, Juan María</t>
  </si>
  <si>
    <t>Juan María Ruano</t>
  </si>
  <si>
    <t>1202 Señora, á nombre de la ciudad de Chinchilla su corregidor D. Juan María Ruano, y el regidor decano D. Josef Barnuevo; y el primero arengando á S. M. dijo enrre otras cosas lo siguiente: ,,Chinchilla, Señor, y los pueblos de su partido, zelosos siempre por las glorias de su Rey , cuentan como la primera el augusto matrimonio de V. "M.,…</t>
  </si>
  <si>
    <t>Rubiano, Josef</t>
  </si>
  <si>
    <t>Josef Rubiano</t>
  </si>
  <si>
    <t>…rés Cálvelo, D. Manuel de Entrambasaguas, D. Manuel Cano, D. Luis de Nestrosa , O. Antonio Castillo de Lerin, apoderados del conde de Vistaflorida, de D. Josef Manuel de Trevilla, D. Josef Rubiano y otros consortes, acreedoies á la testamentaria de D. Manuel Rivas Aibear, vecino y del comercio que fue de esta corte, al defensor de los demas acreedores ausentes, á D. Agustín Caballero y Rivas, socio principal de la casa y comercio titulada Rivas, Pena y…</t>
  </si>
  <si>
    <t>Rubio, Alonso Ramón</t>
  </si>
  <si>
    <t>Alonso Ramón Rubio</t>
  </si>
  <si>
    <t>…Acosta: para la de Villafrechos á D. Juan García Barba: para la de Motril á D. Josef Manzano Márquez: para la de Iznajar á D, Josef Manuel Sánchez del Aguila: para la de Alarcon á D. Alonso Ramón Rubio: para la de Alaejos á D. Juan Rabanal y Hevia: para la de Torrelobaton á D. Eugenio Hernández Borbon: para la de Siruela á D. Pedro Cano: para la de Teba á D. Juan Alonso de Prado: para la de la Coruña á D. Manuel Fernandez .Duran: para la de Miranda del Cast…</t>
  </si>
  <si>
    <t>Rubio, Antonio</t>
  </si>
  <si>
    <t>Antonio Rubio</t>
  </si>
  <si>
    <t>…gimiento de voluntarios distinguidos de la Concordia áei Perú. POR LA SECRETARIA DE GRACIA Y JUSTICIA. Merced de título de Castilla con la denominación de marques de Valdeflores á D. Antonio Rubio, en cabeza y á favor de su muger Doña María de la Concepción Velazquez. Igual gracia de título de Castilla con la denominación de marques de la Reunión de Nueva-España al teniente general D. Francisco Xavier Venegas. Honores de la Cámara de Castilla á D. Andr…</t>
  </si>
  <si>
    <t>Rubio, Vicente</t>
  </si>
  <si>
    <t>Vicente Rubio</t>
  </si>
  <si>
    <t>78 de Comisarios, relativos á haber habilitado el referido Intendente de Comisa rios de Guerra á D. Vicente Rubio, D. Juan Quijada y D. Fernando Cornel, Oíiciales de Contaduría y Ministerio económico de Marina; y enterado S. M. se ha servido resolver que solo en caso muy urgente se hagan estas ha*bilitaciones, y que si se necesitan Comisarios se pidan al Inspector genera…</t>
  </si>
  <si>
    <t>Ruiseco, Joaquín García</t>
  </si>
  <si>
    <t>Joaquín García Ruiseco</t>
  </si>
  <si>
    <t>…ia ✓20 del actual tuvieron el alto honor de besar la Real mano, y felicitar á S. M. por su augusto enlace, como comisionados del ca bildo de la santa iglesia de Piasencia , el Dr. D. Joaquín García Ruiseco, deán de la misma, y el Dr. D. Andrés Je Aransai y Sancho, capellán de honor de S. M., doctoral de su Real capilla, y arcediano de Medellin en aquella; de los cuales el primero dijo: ,,Señor: El cabildo de la santa iglesia catedral de. Piasencia nos ha comi s…</t>
  </si>
  <si>
    <t>Ruiz, Ambrosio Ortega y</t>
  </si>
  <si>
    <t>Ambrosio Ortega y Ruiz</t>
  </si>
  <si>
    <t>…ros, comparecerán ante el cura actual de Móstoles, provincia de Madrid, quien tiene asuntos interesantes que comunicar les sobre cierto incidente que les acaeció en el citado año. D. Ambrosio Ortega y Ruiz, residente en esta corte, tiene que comunicar asuntos importantes á D. Ramón Rull y Heredia, administrador que fue del Exce lentísimo Sr. Duque de Berwick en el marquesado de la Mota de Toro, y no sa biendo cual es su destino le suplica tenga á bien anunciárs…</t>
  </si>
  <si>
    <t>Ruiz, Félix Antonio</t>
  </si>
  <si>
    <t>Félix Antonio Ruiz</t>
  </si>
  <si>
    <t>…a de D. Eulogio del Rosal, del comercio de Cádiz, 15 vales Reales de 300 pesos, creación de i.° de Mayo, que fueron endo sados en Málaga con fecha 6 de Abril del corriente ano por D. Félix Antonio Ruiz á la orden de D. Josef Miranda, y por su ausencia á la de D. Francisco Torrecilla del Rio, de Cádiz, quien los firmó para su descuento por ausencia de aquel; lo avi sa al comercio dicho Rosal para su gobierno y detención ene 1 caso de presentarlos í descuento…</t>
  </si>
  <si>
    <t>Ruiz, Francisco</t>
  </si>
  <si>
    <t>Francisco Ruiz</t>
  </si>
  <si>
    <t>…Tasamero, de su cura párroco D. Ma tías González Soler y de D. Francisco López; y otra de la villa de Dos Bar rios, representada por D. Jorge Ferrer, D. Josef Crespo de la Serna y Don Francisco Ruiz; todos los cuales en nombre de los vecinos de los pueblos que representaban tuvieron la honra de prestar á S. M. y A. R. el hoinenage de su profundo respeto y de su cordial amor y adhesión á sus Reales Per sonas. Ultimamente habiendo llegado S. M. y A. R. á l…</t>
  </si>
  <si>
    <t>Ruiz, Gerónimo</t>
  </si>
  <si>
    <t>Gerónimo Ruiz</t>
  </si>
  <si>
    <t>…n la Reina nuestra Señora , en nombre del venerable deán y cabildo de la: santa iglesia catedral de Lérida, los señores D. Luís Cubero , canónigo de ella,,é inquisidor de corte, y Don Gerónimo Ruiz, canónigo también de la misma-, y abreviador de la Nuncia tura , haciendo las mas rendidas protestas de la fidelidad de aquel cuerpo eclesiástico, que continuamente ofrece sus votos por la-prosperidad de SS. MiVf. y su augusta familia; y S. M. penetrado de ta…</t>
  </si>
  <si>
    <t>Ruiz, Josef Gerónimo</t>
  </si>
  <si>
    <t>Josef Gerónimo Ruiz</t>
  </si>
  <si>
    <t>…de esta villa, refrendada del escribano del número D. Alejandro Gutiérrez, su fecha 2 del corriente, se manda citar y emplazar a todos los acreedo res á los concursos formados por D. Josef Gerónimo Ruiz , boticario que fue en esta corte, y D. Julián Valentín Ruiz, sú hijo, radicados en dicha escribanía, pa ra que en el dia 17 del mismo y hora de las nueve dé su mañana concurran á la ca sa posada de dicho señor juez por sí ó persona en su nombre con poder suf…</t>
  </si>
  <si>
    <t>Ruiz, Julián Valentín</t>
  </si>
  <si>
    <t>Julián Valentín Ruiz</t>
  </si>
  <si>
    <t>…dro Gutiérrez, su fecha 2 del corriente, se manda citar y emplazar a todos los acreedo res á los concursos formados por D. Josef Gerónimo Ruiz , boticario que fue en esta corte, y D. Julián Valentín Ruiz, sú hijo, radicados en dicha escribanía, pa ra que en el dia 17 del mismo y hora de las nueve dé su mañana concurran á la ca sa posada de dicho señor juez por sí ó persona en su nombre con poder suficiente, para con arreglo al resultado de los autos providenc…</t>
  </si>
  <si>
    <t>Ruiz, Manuel María Cabrera</t>
  </si>
  <si>
    <t>Manuel María Cabrera Ruiz</t>
  </si>
  <si>
    <t>…io. Nogués: para la de la villa de Uclés, vacante por fallecimiento de D. Antonio Celedonio Lorente, á D. Juan Crisóstomo de Frías; y para la de Miguelturra , de nueva creación, á D. Manuel María Cabrera Ruiz. D. Pedro J osef Lazon, coronel de las milicias del partido de Huanta en la provincia de Huainanga, ha hecho al R,ey nuestro Señor el donativo de 28428 rs. y 25 mrs. y nVedio en tres recibos de réditos de vales, que S. M. Se ha dignado admitir; mandando que s…</t>
  </si>
  <si>
    <t>Ruiz, Simón</t>
  </si>
  <si>
    <t>Simón Ruiz</t>
  </si>
  <si>
    <t>…ancisco Cándido de Paz, del consejó de S. M. ,y alcalde de su Real casa v corte, ha señalado el dia 4 de Abril próximo á las 12 de Ir mañana, en el oficio de prbviiiciá que égérce D. Simón Ruiz,, para el remate de una escribanía de número y juzgado de ésta heroica villa, tasada en 165© rs. vn. Quien quisiere háCérf postura adida ánte dicho señor y por iá indicada escribanía de provincia. • En la villa d¿ Arandiga, partido de Calatuyud éri Aragón , s…</t>
  </si>
  <si>
    <t>Ruño</t>
  </si>
  <si>
    <t>…arte de la cuadrilla de bandoleros que come tieron mil excesos cuando se quemó el teatro de S. Carlos. Se han encon trado en la c^sa que habitaban varios efectos pertenecientes al cardenal Ruño. Se procura poner en el mejor estado el egórcito, y se cree que en todo el mes Je Aeo'to estará vestido de nuevo. S. A. R. el Príncipe Leopoldo tie ne el mando de las tropas napolitanas. El ftld-mariscal Príncipe Nugent, ge neral en ge fe de tas tropas austrí…</t>
  </si>
  <si>
    <t>Rusconi, Carlos</t>
  </si>
  <si>
    <t>Carlos Rusconi</t>
  </si>
  <si>
    <t>…Llerena. Idem de intendente de Egército A D, Bernardo Temes, D. Antonio Barata y D. Diego de la Torre, di rectores del Crédito público; D. Pió Eüzalde, ídem de Reales provisiones; D. Carlos Rusconi , cónsul en Venecia, y D. Rafael Ruiz de Arana, ministro del tribunal de Cruzada. Idem de Provincia Á D. Mariano Vallejo, superintendente y director de las Reales fábricas de Guadalajara; D. Pascual Román, contador de Juros, y D. Francisco Mel garejo y D. Ant…</t>
  </si>
  <si>
    <t>Ruti, Juan</t>
  </si>
  <si>
    <t>Juan Ruti</t>
  </si>
  <si>
    <t>…separación por ajus te alzado. Cualquiera pretendiente dirigirá su memorial al. acalde mayor ó ayunta miento de dicha villa hasta el referido día 25. Se desea saber el paradero de D. Juan Ruti, capitán del regimiento de suizos del coronel D. Cárlos Reding. Si alguno supiese de su paradero se servirá avisarlo á D. Fernando López, calle de Boteros, níuns. 7 y 8. En la villa de S. Asensio, sita en la Rioja, se halla vacante la plaza de orga nista: su…</t>
  </si>
  <si>
    <t>S, Antonia</t>
  </si>
  <si>
    <t>Antonia S</t>
  </si>
  <si>
    <t>…s personas ó corporaciones á quienes cor respondan las dehesas tituladas de Valdeaparicio y de Suerte el Burro Gallego, am bas en la provincia de Extremadura, que se compraron por Doña Antonia S^ez de Tejada, viuda de D. Bernardo Iriarte, vecina de esta corte, al Gobierno intruso. Lo que se hace saber para que á las á quienes pertenezcan acudan á acreditarlo coa los competentes documentos, y con peder y en forma, en el término de 15 días primeros sig…</t>
  </si>
  <si>
    <t>S, Claudio</t>
  </si>
  <si>
    <t>Claudio S</t>
  </si>
  <si>
    <t>…do autos ante ei Sr. D. León de la Cámara Cano, del Consejo de S„ M., primer teniente y corre .:¡do.- int; rico de esta heroica villa de Madrid, v por la escribanía del. número de D. Claudio S.nz, en razop &lt;!c que se declaren de su pertenencia cuatro vales Reales de 600 pe-sos de la creación de i.d de Tunero de 1808 , encabezados á D. Juan Adinero, señalados con los números 363743» 364806, 360339 y 373375 , y últimamente endosados el pnnVero á los s…</t>
  </si>
  <si>
    <t>S, Francisco</t>
  </si>
  <si>
    <t>Francisco S</t>
  </si>
  <si>
    <t>…gata á los guardias marinas D. Juan Mozo, D. Segundo Díaz Herrera, D. Victoriano López Llanos, D. Josef Salcedo, D. Francisco Osorio , D. Manuel Ibarra, D. Ma nuel Ortiz Canelas y D. Francisco S* Pedro: el de teniente de fragSta gra duado en su clase de contra-maestre á D Sebastian Garrido:el de ayudante de contra- maestre de construcción á D. Manuel Abaida , capataz de carpin teros de Ribera: el de oficial primero del cuerpo político de marina a Don…</t>
  </si>
  <si>
    <t>Saavcdra, Francisco de</t>
  </si>
  <si>
    <t>Francisco de Saavcdra</t>
  </si>
  <si>
    <t>…aparato se reunió el a mr j añun.un to delante de una hermosa tienda de campaña que se armó ni n u¡ r&lt; , de'de la que empezó con el mejor órden la marcha , c rr r.dola J ! xcm- Sr Don Francisco de Saavcdra , presidente de la junta ion-ru vad« ra , qt.¡. co duca el cuadro por el pie sostenido scbre su frente, y el Excn o Sr. D. Ion ys Mo reno y Daoiz y el Sr. D. Juan de la Cruz Mt.u.g en le ay ucrb-i. t &lt; 1 am bos lados á llevarlo. Paseó la vistosa ceremonia lo…</t>
  </si>
  <si>
    <t>Saavedra, D Francisco de</t>
  </si>
  <si>
    <t>D Francisco de Saavedra</t>
  </si>
  <si>
    <t>…arti lles ía que acompañaron al augusto retrato h&lt;rta llegar á la casa de la direc ción , donde se nabia enarbolado ia bandera Real. Alli lúe colocado, pronun ciando dieho Excmo. Sr. D Francisco de Saavedra un breve y enérgico dis curso análogo á las circunstancias. Se redoblaron los vivas y aclamaciones; y expuesto el cuadro á la Tsta de los trabajadores en la parte exterior de la casa, como lo habían estos solicitado , desahogaron su afecto, festejándolo con l…</t>
  </si>
  <si>
    <t>Saavedra, Francisco</t>
  </si>
  <si>
    <t>Francisco Saavedra</t>
  </si>
  <si>
    <t>…empresa ha sido constantemente au xiliado por su zeloso primer secretario de Estado; la actividad y amor pa triótico de la junta conservadora, presidida por el concejero de Estado Don Francisco Saavedra , ha contribuido mucho á cimentarla, y las principales corporaciones de Sevilla , no menos que los mas acreditados comerciantes, em pleados y propietarios de todas las clases de esta populosa ciudad, han con currido con sus fondos y con el mas vivo interes á…</t>
  </si>
  <si>
    <t>Saball, Ignacio</t>
  </si>
  <si>
    <t>Ignacio Saball</t>
  </si>
  <si>
    <t>…ción de cami nos y canales para fomentar y asegurar su prosperidad. D. Jaime Moré: es absolutamente necesaria la libertad prudente dél co mercio de alimentos de primera necesidad. D. Ignacio Saball, socio de la Real academia de Ciencias naturales y ar tes de esta dudad: en una nación como nuestra España, cuya industria no puede aun competir con la extrangera, son necesarias las leyes prohibitivas. D. Juan Moré: para que las contribuciones sean menos gra…</t>
  </si>
  <si>
    <t>Sacramentado</t>
  </si>
  <si>
    <t>…iudad perpetuar este sucedo tan glorioso, y corresponder á los deseos del pueblo,determinó, por aclamación unánime, que se celebrase la mas solemne función en acción de gracias al Señor Sacramentado en las Santísimas Formas que se conservan incorruptas en la iglesia magistral de aquella ciudad: que se justifícase en forma auténtica este suceso para colocar la historia en su archivo i y que se erigiese una pirá mide en el sitio de la batalla con la conven…</t>
  </si>
  <si>
    <t>Sacristán, Ruperto</t>
  </si>
  <si>
    <t>Ruperto Sacristán</t>
  </si>
  <si>
    <t>…osef Atanasio Torres ; y los tres segundos de 35 pesos á D. Rafael Josef de Guardia, D. Josef Lorenzo Suarez y D. Vicente Garda; y deseosa la Real junta de condecorar el mérito de D. Ruperto Sacristán, D. Josef Zoilo Ro mán, D. Manuel Godos y Mendoza, D. Vicente de la Fuente y D. Fran cisco Sola, que han manifestado particular instrucción y aprovechamiento en los referidos exámenes, ha agraciado á cada uno de ellos con una caja de instrumentos de disección…</t>
  </si>
  <si>
    <t>Sacristana, Francisco</t>
  </si>
  <si>
    <t>Francisco Sacristana</t>
  </si>
  <si>
    <t>…n Pozo Novo; pero se debe entender que este aviso tendrá solamen te efecto en el dicho mes de Mayo. En los autos de dimisión de bienes hecha por la casa titulada bajo el nombre de D. Francisco Sacristana é hijos, en que está entendiendo el Sr. D. León de la Cá mara Cano, del consejo de S. M., corregidor interino y teniente primero, por la escribanía de D. Ramón de Milla Cuellar, en junta de acreedores celebrada en este dia á la presencia judicial, se ha acord…</t>
  </si>
  <si>
    <t>Sacy, Silvestre de</t>
  </si>
  <si>
    <t>Silvestre de Sacy</t>
  </si>
  <si>
    <t>…academia Real de Inscripciones y de Buenas Letras se compone de los -individuos siguientes: Los señores Dacier, secretario perpetuo, conde Choiseul-Gouffier, el conde Pastoret, el barón Silvestre de Sacy, Gossellín, Daunau, Derales, Dupont de Nemours, el barón Reirihard, Guinguené, el príncipe deTalley'rand , el conde -Garan de Coulon , ei caballero Visconti, él conde Boissy de Anglas, Millin , el barón Degerando, Brial, Petit- Radel, Barbie-Dubocage, el cond…</t>
  </si>
  <si>
    <t>Sada, Josef</t>
  </si>
  <si>
    <t>Josef Sada</t>
  </si>
  <si>
    <t>128o sef Alonso, D. Juan Vega\ D. Manuel Rodríguez Almeiras y D. Cayetano Cruz. En geometría D. Josef Pujadas, D. Fermín Gaiceran, D. Josef Sada, D. Ignacio Palacios , D. Tomas Díago, y los citados D. Josef Perez y Don Juan Pablo Rodríguez. En trigonometría plana D. Manuel Bandujo, Don Cándido Pulleiro, D. Joaquín Hernández, D. Eusebio Arróspide, D. Ra món González, D. Domingo Valay y D. Vicente Matis…</t>
  </si>
  <si>
    <t>Saenz, Antonio</t>
  </si>
  <si>
    <t>Antonio Saenz</t>
  </si>
  <si>
    <t>io8i Tercera clase. D. Antonio Saenz , D. Fernando Herrero , D. Vicente Te jada, D. Miguel de Goicochea, D. Andrés Ubago y D. Lucio Roldan. Torca 20 de Setiembre. El ilustre ayuntamiento de esta ciudad, no pudiendo desentenderse de la dolorosa decadencia á que se veian reducidos por las pasadas…</t>
  </si>
  <si>
    <t>Saez, Fulgencio García</t>
  </si>
  <si>
    <t>Fulgencio García Saez</t>
  </si>
  <si>
    <t>…GENA. Promovidos d sus inmediatas clases. A oficial segundo el tercero D. Juan Andrisain; á oficial tercero el cuar to D. Josef Santiago Santaeiia; á oficiales cuartos los quintos D. Fulgencio García Saez y D. Martin Rodon y Simón, y á oficiales quintos los meritorios D. Joaquín García y D. Serapio Carreras.</t>
  </si>
  <si>
    <t>Saez, Juan</t>
  </si>
  <si>
    <t>Juan Saez</t>
  </si>
  <si>
    <t>…uela de anatomia con el poderoso estímulo del honor y de la utilidad particular, tie ne establecidos. Los tres primeros de á 5 5 pesos cada uno se han adjudica do á los candidatos D. Juan Saez, D. Benito Rodríguez de Bel vis y D Josef Atanasio Torres ; y los tres segundos de 35 pesos á D. Rafael Josef de Guardia, D. Josef Lorenzo Suarez y D. Vicente Garda; y deseosa la Real junta de condecorar el mérito de D. Ruperto Sacristán, D. Josef Zoilo Ro má…</t>
  </si>
  <si>
    <t>Saiazar, Antonio López de</t>
  </si>
  <si>
    <t>Antonio López de Saiazar</t>
  </si>
  <si>
    <t>…471S) rs. en monedaipneíilica, y ademas 51® en va les Reales, libre de todo censo y carga. Quién quisiere hacer mejora acuda ante di cho señor juez por la escribanía del número de D. Antonio López de Saiazar, que se admitirá. , # . Para hacer pago á un acreedor se subastan dos majuelos de viduño tinto y blan co, sitos en el término y junto á la villa de Pétales del Rio, al sitio que llaman el Cerrillo, que constan de 1 277 cepas vivas y 457 marras, que dos por un…</t>
  </si>
  <si>
    <t>Saín, Francisco</t>
  </si>
  <si>
    <t>Francisco Saín</t>
  </si>
  <si>
    <t>…les Minadores, D. Antonio Van-Halen, ayudante del regimiento del Rey, D. Agustín Corcuera, teniente del de León , y D. Juan Pinto, ídem de Reales Zapadores, el grado de capitán: á D. Francisco Saín z, subteniente del regimiento de la Victoria, y D. Manuel Ramos, idem del de Barbastro, el grado de teniente: al brigadier D. Anto nio Cano, comandante general de una división del egército, D. León de Or tega, teniente coronel del regimiento infantería del Re…</t>
  </si>
  <si>
    <t>Saina, Francisco</t>
  </si>
  <si>
    <t>Francisco Saina</t>
  </si>
  <si>
    <t>…o Marques; á los de la tercera D. Jo^ef Antonio Mar tínez y JD. L michino I turrado; al del escuadrón de Tiznados D. L&gt;:e::o ¿;olanco; á ios de Espino y Ortiz , Reyes, Alvarado, y D. Francisco Saina do, y ni de auxiliares de S. Sebastian D. Francisco Rósete, igualmente que • al teniente-justicia de Espino D. Concepción Ledesma , que a pesar de su avanzada edad de mas de 6o años se batió con furor aun después de recibi das tres graves heridas. Todas las t…</t>
  </si>
  <si>
    <t>Saínper, Francisca</t>
  </si>
  <si>
    <t>Francisca Saínper</t>
  </si>
  <si>
    <t>…irvió para premiar á los in dividuos siguientes: ’ ,1 Aula de latinidad: su maestro el P. Fr. Juan Chorro. Maestro 160 rs, Mariano Julia 30. Vicente Moltó id. Bautista Climent id. D. Francisca Saínper 20. Gregorio Irles id. Vicente Moltó id. Miguel Moltó id. Agustín Pé rez id. Francisco Gosalbes id. Manuel Gosalbes 10. Fernando Sapena id. Vicente Sapena id. Andrés Monlior id. Escuela dd maestro D. Juan Carvajal. Tadeo Abad 20 rs. Joaquín Giner id. Luis Ber…</t>
  </si>
  <si>
    <t>Sainz, Pedro</t>
  </si>
  <si>
    <t>Pedro Sainz</t>
  </si>
  <si>
    <t>…, y contestaron perfectamente á las preguntas de ortografía cas tellana. Y después de un combate de 96 preguntas de doctrina cristiana , en que resultó victorioso D. Rafael Auñon, D. Pedro Sainz para cerrar la fun ción dio en una canción las gracias al auditorio, que quedó justamente com placido de la instrucción de los niños y del esmero de sus maestros. Tamarite jo de Agosto. Los PP. de las Escuelas Pias de esta villa celebraron el 28 del mes últi…</t>
  </si>
  <si>
    <t>Saiz, Josef Cuenca</t>
  </si>
  <si>
    <t>Josef Cuenca Saiz</t>
  </si>
  <si>
    <t>…te del Fre 1 o y Malagon á D. Josef Francisco Florez Viilamil: para la de la debela d ’* ¡ro blados del Castañar á D. Francisco Fernandez Colavida: para la d Cu vico de la Torre á D. Josef Cuenca Saiz: para la de la Palma, reino J S^vl a. á D. Antonio Josef Santevaez y Lerin : para la de Monraíbar . aitio d* C rdoba, ¿ D. Juan Josef López: para la de Cea á D. Vicente i vz Sánchez: para la de Buendia á D. Felipe Mingojuan: para la de Sal.«s u&gt; I fuves i D.…</t>
  </si>
  <si>
    <t>Saiz, Manuel</t>
  </si>
  <si>
    <t>Manuel Saiz</t>
  </si>
  <si>
    <t>…tisfaciendo á cuanto se les preguntó. En esta clase de latinidad se distinguieron D Josef Viejo* D. Francisco Martínez, D. Manuel Antonio Nuñez, D. Manuel Paez, Don Manuel Perez , D. Manuel Saiz, D. Manuel Valles, D. Manuel Manso, Don Gregorio Colmeneroy D. Francisco Arribas; los cuales dieron pruebas de su constante aplicación y adelantamientos, y de hallarse aptos para emprender otros estudios, por lo que merecieron particular aprecio del ayuntamie…</t>
  </si>
  <si>
    <t>Sakreuski</t>
  </si>
  <si>
    <t>…artillería; el teniente general de ingenieros Oppermann , que egerce las funciones de inspector del mismo cuerpo; el teniente general Toll, cuartel-maestre general, y el ayudante general Sakreuski.” El embajador de Persia ha tenido una audiencia particular de S. M. To davía no ha hecho su entrada solemne á causa del rigor del frió, que no po drían tolerar los elefantes destinados á la pompa y magnificencia de este acto Anteayer se celebró con la mayor…</t>
  </si>
  <si>
    <t>Sal, Josef</t>
  </si>
  <si>
    <t>Josef Sal</t>
  </si>
  <si>
    <t>…i el Sr. D. Ramón Gar cía Xitnenez , secretario de S. M., en la que se les instruirá de todo. A voluntad de su dueño, y en virtud de providencia pronunciada en 10 de es te mes del Sr. D. Josef Sal vador López del Pan, del consejo de S. M., alcalde de casa y corte, refrendada de D. Luis López de Castro, escribano de provincia y co misiones de la dicha Real casa y corte, se ha mandado*sacar i pública subasta por término de 20 dias, contados desde el en q…</t>
  </si>
  <si>
    <t>Salamanca, Josef</t>
  </si>
  <si>
    <t>Josef Salamanca</t>
  </si>
  <si>
    <t>…D. Gabriel Lledó, D. Josef Tuells y D. GabrieTSousa. CUERPO DE MEDICO'CIRUJANOS DE LA REAL ARMADA. Honores de médico consultor al primer médico-cirujano de la matrícula de Malaga D. Josef Salamanca. Honores de primer profesor médico-cirujano al médico-cirujano aprobado D. Alonso Pacheco* A segundo cirujano con la graduación de primero de la Real Armada al cirujano auxiliar D. Josef Rodríguez. Honores de primer cirujano al segundo jubilado D. Josef López…</t>
  </si>
  <si>
    <t>Salas, Bernardo de</t>
  </si>
  <si>
    <t>Bernardo de Salas</t>
  </si>
  <si>
    <t>…de la fragata Dia na, los de fragata D. Manuel Cordero y D. Ramón Eulate, el primero que lo es de las fuerzas sutiles, y el último de la corbeta Diamante, los tenien tes de navio D. Bernardo de Salas, D. Josef de la Serna, D. Josef María Chacón y D. Rafael de Santibañez., y los demás gefes y subalternos de la marina Real, han trabajado con los mejores deseos, arrostrando peligros y despreciando temporales durante los 104 dias del bloqueo riguroso que ha s…</t>
  </si>
  <si>
    <t>„ De; capitán de fragata y comandante de las barcas D. Manuel Cordem y los tenientes de navio D. Bernardo de Salas y D. Josef de la Serna he he cho mencion en los partes anteriores , y ahora los vuelvo á recomendar á la piedad de S. M., pues han sido incansables en el cumplimiento de sus deberes , » j«^cuerdo a V. E. que considero acreedor á ascenso al teniente de na vio L). Josef M…</t>
  </si>
  <si>
    <t>americana de Isabel la Católica: al capitán de fragata D. Manuel, Cordero su ascenso á capitán de navio: el de capitanes de fragata á los tenientes de navio D. Josef Laserna , D. Bernardo de Salas, D. Rafael Santibañez y Don Josef María Chacón : el de capitanes de fragata graduados á los tenientes de navio D Jacinto Marcaida y D,.Francisco Topete: el,de tenientes de navio á los tenientes de fragata D. Simón Ponce y D. Ignacio Chacón r el de te nientes…</t>
  </si>
  <si>
    <t>Salas, Francisco Gregorio de</t>
  </si>
  <si>
    <t>Francisco Gregorio de Salas</t>
  </si>
  <si>
    <t>…a los que conservan y manejan escrituras anticuas. Se hallará en la librería de Rodríguez, calle de las Carreta . Colección de los epigramas y otras poesías satíricas y jocosas de D. Francisco Gregorio de Salas: tercera edición: un tomo en 1 2.0 á 8 rs. en rústica y 1 o en pas ta. be hallará en la librería de Oiea, calle de la Montera. En ia misma librería se halla el Observatorio rústico del mismo autor. Retrato del Ruy D. Fernando vii, grabado p^r D. Miguel G’mbor…</t>
  </si>
  <si>
    <t>Salas, Josef de</t>
  </si>
  <si>
    <t>Josef de Salas</t>
  </si>
  <si>
    <t>„El capitán de navio D. Josef de Salas, comandante de la fragata Dia na, los de fragata D. Manuel Cordero y D. Ramón Eulate, el primero que lo es de las fuerzas sutiles, y el último de la corbeta Diamante, los tenien tes de navio D. Bernardo de Salas, D. Josef de la Serna, D. Josef María Chacón y…</t>
  </si>
  <si>
    <t>…en la plaza en el momento mas critico, en lo que han hecho un servicio tan importante, que á ambos Ioj recomiendo a la munilicencia del Rey, * . ”El ^mandante de la fragata Diana D. Josef de Salas ha mandado en mi ausencia, y me ha aconsejado en los casos difíciles en que le he consulta do. Es olicial conocido en L armada por su mérito , y atribuyo mucha par te del buen éxito de esta expedición á sus medidas ;yS. M, ama demasiadj a oficiales tan decidi…</t>
  </si>
  <si>
    <t>…nto del mismo á D. Tuan Morote, que era honorario. Premios de cruces de la Real Orden de Isabel la Católica, y de la de Marina. Para comendadores de la primera al capitán de navio D. Josef de Salas, y que se tenga presente su mérito para los ascensos sucesivos con antelación, y á los capitanes de fragata D. Torcuato Piedrola y D. Ramón Huíate: para la de Marina al alférez de navio D. Antonio Van-IIalen, y al dé fragata D. Josef Quesada. Pensiones de 4®…</t>
  </si>
  <si>
    <t>Salas, Marques de</t>
  </si>
  <si>
    <t>Marques de Salas</t>
  </si>
  <si>
    <t>…iciente poder; en inteligencia que al que no asista le parará el per juicio que baya lugar----El mismo Señor se ha servido convocar igualmente á junta á los acreedores del difunto Sr. Marques de Salas, que no están comprendidos en la cesión de la hacienda de Pinto, para el jueves 4 de Abril próximo, á las 1 2 en pun to de su mañana, en dicha escribanía de provincia, bajo la misma prevención. Se vende una huerta con pozo-noria, vestido de cal y ladrido, muy…</t>
  </si>
  <si>
    <t>Salazar, Antonio López de</t>
  </si>
  <si>
    <t>Antonio López de Salazar</t>
  </si>
  <si>
    <t>…za á los herederos de Juan Goyanes, vecino que fue dé esta corte, para que en el término de 30 dias , contados desde 31 del pasado , acudan á su juzgado y escribanía del número de D. Antonio López de Salazar á deducir las acciones y derechos que les convenga en los autos que se siguen sobre nulidad de la venta de una vara de alguacil de corte, y pasado dicho término sin haberlo hecho, sin mas citarles ni emplazarles, les parará el per juicio que haya lugar, y s4…</t>
  </si>
  <si>
    <t>…orreos. En virtud de providencia del Sr. D. León de la Cámara Cano, del consejo de S. M., primer teniente corregidor de esta villa, refrendada del escribano del número de la misma D. Antonio López de Salazar, se cita, llama y emplaza á D, Josef Montobbio, para que en el término de 10 dias comparezca á su juzgado á deducir y ex poner lo que Je convenga acerca de la reclamación hecha de un vale Real de 600 pesos de 1° de Mayo de 1808, y pasado dicho término sin hab…</t>
  </si>
  <si>
    <t>…ecto en el dicho mes ¡de Abril. En vÍTtud de providencia del Sr. D. León de la Cámara Cano, del consejo de S. M., primer teniente corregidor de esta villa de Madrid, refrendada de Don Antonio López de Salazar, Escribano del número de la misma, se ha mandado con vocará junta á los acreedores de Justo Custodio Gómez, vecino del lugar de Aicorcon, y señalado para ella el dia i.° de Mayo próximo venidero , á las nueve de su mañana, en la posada de S. S. Lo que se les…</t>
  </si>
  <si>
    <t>…dia 4 de Mayo próximo, á la una en punto de su mañana, en la audiencia de S. S. La persona que quisiere hacer postura á ella acuda ante dicho señor Juez y escribanía del número de D. Antonio López de Salazar. Se halla vacante la plaza de cirujano y comadrón de la villa de la Bañeza: tiene de dotación 2800 rs , á saber: 1100 por cirujano y 1700 por comadrón, satisfe chos por tercios de los fondos de propios, con la obligación de asistir á los vecinos de balde en t…</t>
  </si>
  <si>
    <t>…s sin dicho reato. En virtud de providencia del Sr. D. León de la Cámara Cano, del consejo de S. M., primer teniente corregidor de esta villa, refrendada del escribano del núme ro D. Antonio López de Salazar, y para hacer pago á acreedores, se Ha mandado sacar á pública subasta por término de 30 días la dehesa titulada del Madroño, sita en término de la villa de Cabeza del Buey, partido de la Serena, provincia de Ex tremadura, que tiene de arca superficie 11.5617…</t>
  </si>
  <si>
    <t>…videncia del Sr. D. León de la Cámara Cano, del Conseio de S. M., teniente primero de corregidor de esta villa , de 24 de Julio próximo pasado, tefrendada del escribano del número D. Antonio López de Salazar, se cita, llama y emplaza al dueño ó dueños ¿ quienes pueda pertenecer una- parte y media del me són titulado en esta corte de Maragatos, y su calle de Segovia , comparezcan en di cho juzgado y citada es.ribanía á deducir y exponer lo que tengan por convenien…</t>
  </si>
  <si>
    <t>…00 rs.; y otra en el camino de la Berta, su caber una fa nega, va'e 650 rs. Qui?n quisiere hacer postura á todas y cada una acuda ante di cho señor juez y escribanía del número de D. Antonio López de Salazar, que se admitirán siendo arregladas. El editor de la guia de la Grandeza, deseando que esta sea la mas exacta posi ble, suplica que por los contadores, secretarios ó mayordomos de las casas de los grandes se le pasen notas de los días y cumpleaños de los indi…</t>
  </si>
  <si>
    <t>Salazar, Damian González de</t>
  </si>
  <si>
    <t>Damian González de Salazar</t>
  </si>
  <si>
    <t>…to Sarrandeg ;i 24. El capellán mayor de Sta. Ana 12. D. Francisco Illera so. Don Ildefonso Castejon 24. D. l omas Landias 20. D. Vicente Evaristo Blasco 20. D. Gaspar Arribas 24. D. Damian González de Salazar 160. El beneficiado de S. Vicente 4^0. Pedro Seguir 6. D. Joaquín Zagonero 20. D. Francisco Villegas 2. D Josef Pavat 23. El R. P. general de Gerónimos 46 La co munidad del Carmen calzado 40. La de padres Preinostratenses 80. D. Ra món Moreda 23. D. Félix Arg…</t>
  </si>
  <si>
    <t>Salazar, Francisco Xavier</t>
  </si>
  <si>
    <t>Francisco Xavier Salazar</t>
  </si>
  <si>
    <t>…de Almirantazgo, y libramiento de las conducentes ¿ su cumplimiento.” Con fecha de 9 de Febrero de este año dice desde Pampatar en Margari ta el capitán de navio de la Real armada D. Francisco Xavier Salazar , co mandante de marina de Cumaná, al Excmo. Sr. Secretario de Estado y del despacho universal de este ramo, que con la de 31 de Enero anterior le había dado parte el teniente de navio D. Manuel de Cañas, comandante de la go leta Ferro leña, de todas sus oper…</t>
  </si>
  <si>
    <t>Salazar, Francisco Xavier de</t>
  </si>
  <si>
    <t>Francisco Xavier de Salazar</t>
  </si>
  <si>
    <t>…3......................... 1000 idem....... .... En Bilbao. ARTICULO DE OFICIO. En oficio de 18 de Diciembre del año próximo pasado participa entre otras cosas el capitán de navio D. Francisco Xavier de Salazar, comandante de marina de Cumaná, ai Excmo. Sr. secretario de Estado y del Despacho universal del mismo ramo lo que sigue. Con fecha de 14 de Diciembre me dice desde Pampatar en Margarita D. Francisco Machado lo que copio: Consecuente á la orden de V. S. de 23…</t>
  </si>
  <si>
    <t>…e la monarquía, os rinden respetuosas gracias por tan acertada elección, que os grangeará una inmortal corona de gloria.” ARTICULO DB OFICIO. El capitán de navio de la Real armada D. Francisco Xavier de Salazar, comandante de marina de Cumaná, ha dirigido al Sr. Secretario de Estado y del Despacho del mismo ramo ,con fecha de 12 de Enero último desde Pampatar,el siguiente parte: „E1 alférez de fragata D. Juan Gabaso, comandan te de la goleta de S. M. General Morillo…</t>
  </si>
  <si>
    <t>Salazar, Josef Alvarez Acevedo y</t>
  </si>
  <si>
    <t>Josef Alvarez Acevedo y Salazar</t>
  </si>
  <si>
    <t>TI?2 iistelítéoáttMi tle la Ac Lima: para la. fiscalía de Iq .civil de la audiencia de Charcas á D. Josef Alvarez Acevedo y Salazar: para .una plaza de endeu de Ja de Quito á D. Pedro Vicente Cañete, por traslación á otra del Cuzco de D. Migqel: Otertfñji ’ para otra .dé oidor de la jnjswia audiencia de Quito 4 D. Jya$¡B¡aprt&amp;$ y í^ayja , por promoción de D. Santiago Corbalan á otra del C…</t>
  </si>
  <si>
    <t>Salazar, Juan</t>
  </si>
  <si>
    <t>Juan Salazar</t>
  </si>
  <si>
    <t>…illavicencio y D. Josef de Navas, y mis ayudantes dé «ampo el teniente coronel comandante del regimiento infantería del Rey Don León de Ortega y el alférez de dragones de la Union D. Juan Salazar. „ La ciudad presentaba el espectáculo mas horroroso á nuestra vista. Las calles estaban llenas de cadáveres que infestaban el aire , y la mayor parte de ios habitantes se encontraban moribundos por resultas de la hambre. Inme diatamente se dispuso que bajase…</t>
  </si>
  <si>
    <t>Salazar, Luis</t>
  </si>
  <si>
    <t>Luis Salazar</t>
  </si>
  <si>
    <t>…réis lo necesario á su cumplimiento. s Rubricado de la Real mano,=En Palacio á 27 de Enero de 1816. s= A D. Pedro Cevallos. 5 .0 Condescendiendo con la renuncia que me tenia hecha D. Luis Salazar de la Secretaría de Estado y del Despacho de Marina, he venido en exonerarle de ella, concediéndole plaza efectiva en mi Consejo de Estado, con el máximo del sueldo señalado para todos los empleados, pero sin asistencia al mismo Consejo; y he nombrado en su l…</t>
  </si>
  <si>
    <t>Salazar, Ruperto</t>
  </si>
  <si>
    <t>Ruperto Salazar</t>
  </si>
  <si>
    <t>…moro y D. Josef So rtario Valdemoro: en seguida este dio las gradas al auditorio en una oda castellana, con lo que se finalizó la función, que duró mas de tres horas. ' El segundo D. Ruperto Salazar, cadete del regimiento de la Corona, y</t>
  </si>
  <si>
    <t>Salceda, Antonio</t>
  </si>
  <si>
    <t>Antonio Salceda</t>
  </si>
  <si>
    <t>…uel Palomares 30. Don Pabio Aviles 23 D. Joaquín Delgado 69. D. Sebastian Zahonero 60. D. Pe dro Espina 11 5. D. Manuel García 46. D. Francisco Meneses 4. D. Manuel Castellano 22. D. Antonio Salceda 10. D. Félix Mcdinilla 6. D. Manuel Parra 69. D. Juan Martin Parra 4. D. Francisco Carrasco 2. D. Vicente Ximenez 6. Josef Alcaide 8. Miguel Palacios 8. Antonio Garrigos 2. Marga rita Martin 20. Pueblos. Navas del Marques 1500 rs. Arévalo 3100. Cabreros 1937…</t>
  </si>
  <si>
    <t>Salcedo, Francisco</t>
  </si>
  <si>
    <t>Francisco Salcedo</t>
  </si>
  <si>
    <t>…gusto enlace una diputación de la junta general de Caridad., compuesta de D. D07 mingo Fernandez Campomanes, del Consejo Real, y gobernador de la sala de alcaldes de Casa y Corte, D. Francisco Salcedo , D. Fermín Nafarrondo* y el secretario D. Angel Barrciro, en los termines siguientes: „Señor : La junta general de Caridad de esta corte , reconocida por ranfos títulos á la incomparable beneficencia de V. M , ya por la singular gracia de su restablecimiento…</t>
  </si>
  <si>
    <t>Salcedo, Josef</t>
  </si>
  <si>
    <t>Josef Salcedo</t>
  </si>
  <si>
    <t>…goza , D. Felipe Roldan , Don Antonio Urzais y D. Juan Mesías: el de alféreces de fragata á los guardias marinas D. Juan Mozo, D. Segundo Díaz Herrera, D. Victoriano López Llanos, D. Josef Salcedo, D. Francisco Osorio , D. Manuel Ibarra, D. Ma nuel Ortiz Canelas y D. Francisco S* Pedro: el de teniente de fragSta gra duado en su clase de contra-maestre á D Sebastian Garrido:el de ayudante de contra- maestre de construcción á D. Manuel Abaida , capataz d…</t>
  </si>
  <si>
    <t>Salcedo, Juan Antonio</t>
  </si>
  <si>
    <t>Juan Antonio Salcedo</t>
  </si>
  <si>
    <t>…Reinalte, caballero de la Real y distinguida orden española de Cárlos 111, y regidor de Madrid, que vive calle de la Espada , níím. 1, cuarto principal. ; Cuartel de S. Martin. Al Sr. D. Juan Antonio Salcedo, cura párroco de S. Gines, individuo del cabildo de curas y beneficiados de Madrid, que vive en dicha parroquia de S. Gines. Cuartel de la Plaza. Al Sr. D. Fermín Nafarrondo, individuo de la so ciedad económica matritense. Cuarteles de S. Isidro y S. Francisc…</t>
  </si>
  <si>
    <t>Salcedo, Nemesio</t>
  </si>
  <si>
    <t>Nemesio Salcedo</t>
  </si>
  <si>
    <t>…on tan señalado y plausible .motivo- cumplimentaron á S. M., quien se dignó admitir con su bondad característica á cuantos tuvieron la honra de besar su Real mano. • : El teniente general D. Nemesio Salcedo, D. Jbsef Irúnciaga 3? D. Manuel' María de Aldecóa , diputados de la M N.fy M. Lí. villa de Bilbao señorícv de Vizcaya, túvieron la honra de felicitar á S. M. por su augusto enlace el' 31 de Octubre en los términos siguientes : „ Señor: Los sentimientos de am…</t>
  </si>
  <si>
    <t>Saldiña, Manuel</t>
  </si>
  <si>
    <t>Manuel Saldiña</t>
  </si>
  <si>
    <t>…Madrid /p de Julio. En los dias 17 , t8, 20, 22 , 25 y 26 de Junio próximo pasado hubo egercicios públicos de historia natural farmacéutica, en los que D. Josef Ma ría Hernández , D. Manuel Saldiña, D. Pedro Navas, D. Antonio de la Barrera, O Pedro Mezquia y D. Francisco Guzman, discípulos de este Real colegio de Farmacia de S. Fernando, manifestaron su grande aplicación</t>
  </si>
  <si>
    <t>Salgado, Antonio Losada Cadórniga y</t>
  </si>
  <si>
    <t>Antonio Losada Cadórniga y Salgado</t>
  </si>
  <si>
    <t>…Se hallará á 5 rs. en la librería de Es cribano, calle de las Carretas, y en la de Brun, frente á las covachuelas. Sermones que con motivo de la pasada revolución y otros predicó D. Antonio Losada Cadórniga y Salgado, canónigo magistral y dignidad de juez del fuero de la iglesia de Mondoñedo. Dalos á luz el R. P. Fr. Antonio González; prior del Real Monasterio de S. Gerónimo de Madrid: un tomo en 8.° Se vende en la libre ría de Brun, frente á las gradas de S. Felipe. EN L…</t>
  </si>
  <si>
    <t>Salgado, Gerónimo</t>
  </si>
  <si>
    <t>Gerónimo Salgado</t>
  </si>
  <si>
    <t>…, D. Francisco Alfonso Rodríguez, D. Sebastian-de la*- Peñas y D. Sebastian de Iglesias el alguacil mayar D. Tomas Aibarran , el escribano D~ Pedro J3Iazquez. Tova l, el visitador D. Gerónimo Salgado, el escribana D. Francisco Yangiie j3ecerril&gt; los alcaldes que fueron del Espinar D. Juan</t>
  </si>
  <si>
    <t>Salido, Diego Luis de</t>
  </si>
  <si>
    <t>Diego Luis de Salido</t>
  </si>
  <si>
    <t>…gidor de la misma, el limo. Sr. D. Gonzalo Jósef de Vilches, del consejo y cámara de S. M., el marques de Fontanar, D. Diego María Badil los, del supremo consejo del Almirantazgo, D. Diego Luis de Salido, brigadier de los Reales egérciros, y comandante del parque de Artillería de esta corte, y D. Bernardo María de Güenduiain, capitán de Reales guardias Walonas ; ae los cuales el primero dijo: \ ,, Señor: La villa de Linares, reino de Jaén, representada por la…</t>
  </si>
  <si>
    <t>Salignac-Fenelon</t>
  </si>
  <si>
    <t>…, Mr....... Estados-Unidos, Mr. Hide de Neuville , ministro plenipotenciario. Hamburgo, Mr....... Hannóver, Mr. de Latour-Maubourg, ministro plenipotenciario. Hesse- Darmstadt, el conde Salignac-Fenelon, idem. Portugal, el duque de Luxemburgo«embajador ex traordinario. Provincias-Unidas, el conde de la Tour-du-Pin-Gouvernet, ministro plenipotenciario. Prusia, el marques de Bonnay, enviado extraor dinario y ministro plenipotenciario. Rusia, el conde de Noaill…</t>
  </si>
  <si>
    <t>Salinas, Alonso Horrillo y</t>
  </si>
  <si>
    <t>Alonso Horrillo y Salinas</t>
  </si>
  <si>
    <t>…ervancia de *£ instituto , y en celebridad del plausible dia de nuestro augusto Soberano y Sr. D. F ernando vil , en la tarde del 30 del pasado se formó á caballo en las casas del Sr. D. Alonso Horrillo y Salinas, teniente de S. A. R. , con su it'risica marcial, y puesto en un coche de gala el retrato de S. M., escoltado - compañía de granaderos del regimiento provincial á queda nombre esta dicha ciudad , se dirigió á su plaza propia con espada en mano y toda magnific…</t>
  </si>
  <si>
    <t>Salinas, Josef</t>
  </si>
  <si>
    <t>Josef Salinas</t>
  </si>
  <si>
    <t>…D. Ricardo Muñoz uno: D. Marcos Unzue uno: D. Manuel García ur.o: D. Juan Ocon uno: D. Manuel Cono uno: D. Fernando Carrillo uno: D. Josef Cantalapiedr» uno: D. Tomas Medina uno: D. Josef Salinas uno: D. Fernando Acuña uno: D. Nicolás Suarcz dos: D. Josef Robles uno: D. Blas López cuatro: el mar ques de Villadangos dos : e! marques de Castrojanillos dos: D. Josef Quiño nes dos: D. Claudio Quijada dos: D. Bernardo Escovar dos: D. Manuel Lorenzana uno :…</t>
  </si>
  <si>
    <t>Salinas, Raimundo Ettenhard y</t>
  </si>
  <si>
    <t>Raimundo Ettenhard y Salinas</t>
  </si>
  <si>
    <t>…ários. ; ¿ • Los diputados comisionados por la ciudad de Vitoria D. Ignacio María de Ala-va, teniente general de la Real armada, y ministro deí Supremo Con sejo de Almirantazgo, y D. Raimundo Ettenhard y Salinas, arcediano de TIuete en la santa iglesia de Cuenca, y ministro de la suprema Inquisición, felicitaron á S. M. y A. el dia 23 de Octubre én los términos siguientes : „Señor: La M. N. y M. L. ciudad de Vitoria, que en todas ocasiones ha acreditado su lealtad y…</t>
  </si>
  <si>
    <t>Salmón, Manuel Gqnzalcz</t>
  </si>
  <si>
    <t>Manuel Gqnzalcz Salmón</t>
  </si>
  <si>
    <t>…so del nombramiento que se ha servido ha cer S. M. de su consejero en el supremo de Hacienda D. Jacobo María de Parga, el secretario de la embajada de S. M. en la corte de Francia D. Manuel Gqnzalcz Salmón, y el cónsul general en aauel reino D. Justo de Machado, para comisarios de la comisión mixta que debe entender en París en concur rencia con los comisarios franceses en arreglar y preparar la parte dispositi va de las obligaciones sobre pagos y reintegros. E…</t>
  </si>
  <si>
    <t>Salustiano, Tomas</t>
  </si>
  <si>
    <t>Tomas Salustiano</t>
  </si>
  <si>
    <t>…triotas que hubieren muerto en defensa de Ja justa causa de Ja nación, ha cébido en suerte del primer extracto de ia de este dia á Doña Antonia Manuela Gallardo, hija del patriota D. Tomas Salustiano, muerto en el campo del honor. La extracción siguiente se egecutará el dia 29 de Abril. ARTICULO DE OFICIO. Copia del parte del capitán general del Nuevo-Reino de Granada. ,,Excmo. Sr.: Tengo el honor de anunciar á V. E. que esta plaza, la mas bien fortificad…</t>
  </si>
  <si>
    <t>Saluzzo</t>
  </si>
  <si>
    <t>…rno. Muchos ingleses que viajan por Italia pasan á ver á la Princesa y ofrecerle sus homenages. Todos los extraíageros que van á visitarla son muy bien recibidos y obsequiados. El cardenal Saluzzo falleció en Roma el 3 de Noviembre. El barón Tripp, oficial distinguido,antiguo ayudante de campo del du que de Wellington,y después del Príncipe de Orange,se ha tirado un pisto letazo en Florenícia, y se ignora la causa de esta desesperación. Se ha publicado…</t>
  </si>
  <si>
    <t>Salvador</t>
  </si>
  <si>
    <t>…lica acaba de triunfar completamente en esta parte del mundo, donde los rebeldes que la amenazaban con el nombre de independientes han sido dispersados por los generales Morales y D. Salvador de1 Moxó. El Eúriale-y su convoy han llegado al tiempo preciso de socor rer las fuerzas Reales de la Guaira, y especialmente á la escuadra española, íjue tenía la; mas urgente necesidad de víveres. Un acto de protección tan no table, dado por el Gobierno del…</t>
  </si>
  <si>
    <t>…ayo sobre los reconocimientos militares, inserto en el núm. 4.0 del memorial topográfico y militar, publicado en Francia por el depósito de la Guerra, y tradu cido por el teniente coronel D. Salvador .Manzanares, capitán primero del Real cuerpo de ingenieros, é individuo de la comisión de gefes y oficiales establecida en esta corte á la inmediación del Excino. Sr. secretario de Estado y del despacho de la Guerra. Dalo á luz la misma comisión. Este ensayo…</t>
  </si>
  <si>
    <t>Samartin, Salvador</t>
  </si>
  <si>
    <t>Salvador Samartin</t>
  </si>
  <si>
    <t>…Fr. Francisco Ronset, á Fr. Ber nardo del Espíritu Santo , provincial de Carmelitas descalzos de México; pa ra el de Chiapa, vacante por fallecimiento de D. Ambrosio de Llano , á Don Salvador Samartin, prebendado de la catedral de Guadalajara: para el de la Pa z, vacante por renuncia de D. Remigio de la Santa y Ortega, á D. Diego Antonio Navarro Martin de Villodres. Asimismo se ha servido S. M. conferir plaza de oidor en la Real audien cia de México, por p…</t>
  </si>
  <si>
    <t>Samper, Antonio</t>
  </si>
  <si>
    <t>Antonio Samper</t>
  </si>
  <si>
    <t>…esente al Rey nuestro Señor que hallándose destinados en esta Corte en 1808 se fugaron de ella, juntamente con el Comandante general interino que era entonces del expresado Cuerpo D. Antonio Samper , v antes de la o-i— mera entrada del intruso, llevándose consigo la tropa de Zapadores que exis tía en esta Capital con todo su armamento y vestuario , dirigiéndose reuni dos al ejercito de Andalucía para ser útiles en el, v rorr.tr parte en la defen sa de í…</t>
  </si>
  <si>
    <t>Samper, Josef María Puig de</t>
  </si>
  <si>
    <t>Josef María Puig de Samper</t>
  </si>
  <si>
    <t>…r igual felicita ción á SS. AA. el Sermo. Sr. Infante D. Cárlos y su augusta Esposa. El mismo dia tuvieron la honra de felicitar á SS. MM. y AA. por sus augustos enlaces los Sres. D. Josef María Puig de Samper, ministro del Con sejo Real, y D. Antonio Allue, capellán de honor, y obispo electo de Gero na , en representación de la Real universidad literaria de la ciudad de Hues ca; el primero de los cufies dijo á S. M. entre otras cosas lo siguiente: „ Señor: Como la…</t>
  </si>
  <si>
    <t>Sampons, Francisco</t>
  </si>
  <si>
    <t>Francisco Sampons</t>
  </si>
  <si>
    <t>…n el primer dia de cada mes con el título de Memorias d* agricultura y artes. El desempeño de esta obra está á cargo de los respectivos profesores de estática, química y botáni ca D. Francisco Sampons, D: Francisco Cárbonell y £). Juan Francisco Bahi. El primer número de este periódico salió álúz en Julio pasado ¿ y de su prospecto se ha extractado la presente noricia/ F1 cónsul de S. M. Británica en esta plaza ha recibido de su Gobierno las dos órdenes si…</t>
  </si>
  <si>
    <t>San</t>
  </si>
  <si>
    <t>…aquel rdno. Madrid f&gt; de Setiembre. El dia 2 ^ de Agosto rovo la honra de teiiciiar a S. M. por su contratado enlace con la Senna. Sra. infanta de Portugal el capitán de caballera D. San tiago Hernández, a lumbre y como representante del muy ilustre a\M»iainiento de la villa Ce Puerto-b rincipe, en la isla de Cuba, capital de su pro vincia, en los términos siguientes: ,,Señor: La villa de Puerto-Príncipe, capital de la provincia de este nom b…</t>
  </si>
  <si>
    <t>Sán, Benito de Gracia</t>
  </si>
  <si>
    <t>Benito de Gracia Sán</t>
  </si>
  <si>
    <t>…los circunstantes, en términos, que dudando del mérito respectivo para premiar al sobresaliente con una medalla alegórica preparada por el ayuntamiento, se sorteó , y perteneció á D. Benito de Gracia Sán chez. Pronunció el presider-te un pequeño dúcimo , á que siguió el procu rador síndico ei Dr. D. Pedro Fernandea Barrero, congratulando á los padres de los niños y al preceptor por entregarse á tan singular irotruccion: ofreció este admitir en su academia dos…</t>
  </si>
  <si>
    <t>San, Francisco</t>
  </si>
  <si>
    <t>Francisco San</t>
  </si>
  <si>
    <t>…compañía de la primera brigada del quinto regimiento, que hace 10 años no se sabe de él. Se suplica á la persona qué tenga noticia de dicho sugeto se sirva comunicarlo en Madrid á D. Francisco San tiago Curramolino, calle de Luzon , núm. 3, cuarto tercero; en Valladolid á Don Simón Pino Fernandez, procurador de aquella chancillería; en Pamplona á Doña Mam Ramona Esparza y Dorre, y en el lugar de Asiain de Navarra al presbítero D. Josef J oaqutn Ibañez,…</t>
  </si>
  <si>
    <t>San, Tomas de</t>
  </si>
  <si>
    <t>Tomas de San</t>
  </si>
  <si>
    <t>…le del Peñón, con a^ce^orias á la de las Pulgas, núm. 4, tasada en 1 17.430 rs. vn. La per sona que quisiere hacer postura i ella acuda á dicho juzgado y escribanía del núme ro d¿ D. Tomas de San:hi y Prado, dopde se hulla radicada la testamentaría, que se U admitirán las posturas que hiciere. Asimismo se ha pandado por dicho señor emplazar, cortio por el pre«entc se cita y emplaza, 4 las pérsobas^ué* tengán ^algun derecho contra los bienrs de la cita…</t>
  </si>
  <si>
    <t>San, Tomts de</t>
  </si>
  <si>
    <t>Tomts de San</t>
  </si>
  <si>
    <t>…por los acreedores á la testamentaría de ia Excnn. Sra. Doña Teresa Sdazar y Morales, marquesa que fue de Someruelos, condesa de Montaren, radicada en la escribanía del número de D. Tomts de San cha y Prcdo, se han mandado sacar á pubuta por nuevo término de 20 dias las fin cas que cor e&gt;pnndrn á dicha testamentaría, á saber: las heredades existentes en el valle de Carranza, tacadas en 63t07 rs. y 6 mrs. , á las que se ha hecho postura en 105S) rs. e…</t>
  </si>
  <si>
    <t>Sancha</t>
  </si>
  <si>
    <t>…rtino Ir-1'!!, especiales reliquias de las dos hermanas Sta Sabina y Cristeta de Avila. Item, la mandíbula inferior de S. Juan B-iunsra. Mis un Li^numcrucis don ido por la Iníanta Doña Sancha, y conorobado Con especial mila gro i su vista y de todo el concurso vque fue grande. Hay varias é insignes reliquias de nuestra Señora, lugares sagrada, Sto*;. Apóstoles, mártires , con fesores y vírgenes, con que ennoblecieron esta su Real Casa los piadosos…</t>
  </si>
  <si>
    <t>^99 «arcas, y en especial la Infanta Doña Sancha, esposa qne se intituló de 3an Isidoro. Cuerpos de Sres. Reyes. i.° El Sr. Rey D. Alomo el iv, llamado el Monge. 2.0 El Sr. Rey D. Ramiro el n. 3.0 El Sr. Rey D. Ordoño el ur. 4." El Sr. Rey D. Sancho, el 1 de este nombre. 5.' El Sr. Rev D. Ramiro el ni. 6 o…</t>
  </si>
  <si>
    <t>…, monasterio de Httelgas. Doña Constanza, hija de D. Alonso el vnr, Rey fundador: Dona Cons tanza , hija de D. Alonso ix de León: Doña Constanza, hija del Rey Don Alonso el Sabio: Doña Sancha, hija de D. Alonso él ii: Doña Berenguela, hija del Sto. Rey D. Fernando el iii , de tan extraordinaria virtud que no quiso ser abadesa: Doña Blanca, hija de D. Alonso iii, Rey de Portugal: Doña Blanca, hija del Infante D. Pedro: Doña Dulce, hija de los P^eye…</t>
  </si>
  <si>
    <t>Sánchez, Ana</t>
  </si>
  <si>
    <t>Ana Sánchez</t>
  </si>
  <si>
    <t>…f Beímar 40. Sebastian Moreno 40. Juan Espinosa Tellez 50* Doña Isabel Gerónima Zamorano 100. D. Anto nio Ortiz Calvento 50. D. Pedro Josef Zamorano 160. Pedro Alfonso Clavijo i®. Doña Ana Sánchez 1®. Juan Caballero y su hijo 60. Doña Marina Rita Zamorano 150. D. Benito Molina 100-----La villa de Cañete las Tor res 5366. £1 convento de carmelitas calzados de Castro el Rio 3®. El de dominicos de Baena 1®. Ei convento de religiosas de S. Martin de Cabra…</t>
  </si>
  <si>
    <t>Sánchez, Antonio</t>
  </si>
  <si>
    <t>Antonio Sánchez</t>
  </si>
  <si>
    <t>…te dia. Los otros dos premios se acordó fuesen dados por suertes entre las dos escue las de la villa, y tocó ef segundo á D. Manuel Carrillo, de edad de siete años, y el tercero á D. Antonio Sánchez , de seis; concluyéndose el.acto con otro discurso que hizo el jóven D. Miguel Granados, de dicha estíbela pía, probando la utilidad de estos actos, y dando gracias al ayuntamiento por el interes que se toma en favor de su pueblo. ,:r;</t>
  </si>
  <si>
    <t>Sánchez, Benito Gines</t>
  </si>
  <si>
    <t>Benito Gines Sánchez</t>
  </si>
  <si>
    <t>…o disfrutan." Fn el Real colegio de farmacia de S. Fernando de esta corte se celebra ron egcrcicios literario-» en los dias i, 8, 16 y 19 de Junio último por los alumnos del mismo D. Benito Gines Sánchez, D. JLuis Aquilón, D. Pedro N avas y D. Josef Badajoz, bajo ía dirección del primer catedrático , gefe lo cal del establecimiento, D# Antonio de la Cruz. Recayeron lias .disertaciones sobre la^ diferentes especies de ruibarbo dél comercio, las gomo-resinas, g…</t>
  </si>
  <si>
    <t>Sánchez, Esteban</t>
  </si>
  <si>
    <t>Esteban Sánchez</t>
  </si>
  <si>
    <t>…isco Cornsgo: para la de Fuente de Cantos á D. Roque Naranjo: para la de Jarandilla á D. Josef González: para la de Salas de los Infantes á D. Manuel de! Pozo: para la de Curiel á D. Esteban Sánchez de la Iglesia: para la de Huelma á D. Antonia Josef Ximenez de Vega: para la de Peñaflor á D. Dionisio Rodríguez Gon zález: para la de Cogolludo á D. Francisco María Ortiz: para la de Algari-</t>
  </si>
  <si>
    <t>Sánchez, Gerónimo</t>
  </si>
  <si>
    <t>Gerónimo Sánchez</t>
  </si>
  <si>
    <t>…Fernandez de Cisneros, catedrático en el aula de mayores, é interino de la de menores de los Reales estudios de dicha ciudad, ante los individuos de la junta de educación de ella D. Gerónimo Sánchez, regidor del ilustre ayuntamiento, presidente por enfermedad del corregidor, D. Martin Diez Murga, presbítero, cura de la parroquial de Santiago Apóstol, D. Grego rio Nieto, diputado de abastos mas antiguo, D. Luis de Arrabal, prior síndico general por ambos…</t>
  </si>
  <si>
    <t>Sánchez, Josef</t>
  </si>
  <si>
    <t>Josef Sánchez</t>
  </si>
  <si>
    <t>…TO DE FERRO!, Para la graduación de tenientes de Fragata d los que lo están de alféreces de Navio D. Diego Gil, D. Joaquín Díaz Hurtado, que lo es en propiedad; Don Santiago Novo, D. Josef Sánchez, D. Josef Antonio Suarez, D. Cayetano Inzuela y D. Jacobo Auli. Para la graduación de alféreces de Navio d los que lo son en propiedad de Fragata D. Antonio Torneo y D. Manuel Guin de Torres. Para la misma graduación al que lo estd de alférez de Fragata D. An…</t>
  </si>
  <si>
    <t>Sánchez, Josef Franco</t>
  </si>
  <si>
    <t>Josef Franco Sánchez</t>
  </si>
  <si>
    <t>…z Pantoja. Graduaciones, - De comisarios de Guerra de Marina á los oficiales primeros D. Fernando Tazo y D Francisco Lanza Treiles; graduación de oficiales primeros á los segundos D. Josef Franco Sánchez y D. Francisco Calvo; graduación de se gundos á ios terceros D. Juan María Carranque y D. Angel Torredemer; graduación de terceros á los cuartos D. Manuel Trugillo y D. Jacinto Bota na; graduación de cuartos á los quintos D. Josef Fernandez Nuñez y Don Nicolás Arias Mandia , y gr…</t>
  </si>
  <si>
    <t>Sánchez, Joser Perranaiz y</t>
  </si>
  <si>
    <t>Joser Perranaiz y Sánchez</t>
  </si>
  <si>
    <t>corregimiento político de la ciudad de Valencia: á D. Joaquín de la Esca lera para la vara de alcalde mayor de la ciudad de S. Felipe de Játiva : á D. Joser Perranaiz y Sánchez para la del Villar del Arzobispo: á D. Ra fael Calabuíg para la de la villa de Ay ora: á D. Tomas Oírra y Castelló para la de Jalón: á D. Francisco Antonio Oniza para la de la villa de Ri va roja: á D. Josef Giménez Vinerta para la de Catarro ja : para la de…</t>
  </si>
  <si>
    <t>Sánchez, Manuel</t>
  </si>
  <si>
    <t>Manuel Sánchez</t>
  </si>
  <si>
    <t>…Dr. D. Pió Rafael Sánchez de León: otra de la villa de Camuñas, compuesta de D. Manuel María More no, D. Juan Manuel Díaz , D. Eusebio Romero , D. Juan Antonio López de la Oliva, D. Manuel Sánchez, D. Alonso María Sahagun y Chacón, y D. Lorenzo Romero: otra del ayuntamiento y clero de Villarubia de los ojos de Guadiana , compuesta de su alcalde mayor D. Salvador Gramage , de; su alcalde ordinario D. Juan García Tasamero, de su cura párroco D. Ma tías G…</t>
  </si>
  <si>
    <t>Sánchez, Mariana</t>
  </si>
  <si>
    <t>Mariana Sánchez</t>
  </si>
  <si>
    <t>. 11^3 Doña Mariana Sánchez fo. D. Bernabé Sánchez Jo. Doña Catalina de la Ri ca 50 Doña Mariana Aillon óo. Doña María de Castro 60- Juan de Cam pos Ruiz 40. D. Francisco Bejar 40. Josef Beímar 40. Sebastian Moreno 40. Juan Espinosa Tellez 50* Doña Isabel Gerónima Zamorano 100. D. Anto…</t>
  </si>
  <si>
    <t>Sancho</t>
  </si>
  <si>
    <t>…nso de Aragón. Sres. Infantes é Infantas. Lo? Sres. Infantes D. Alonso, D. Ordoño y D. Ramiro, hijos del Sr. Rey' D. Fruela el 11. Fl Infante D. García, hijo del conde de Castilla D. Sancho. La Sra. Infanta Doña Sancha, hermana dd Emperador D. Alonso, está consagrada á Dio« por cs^iótual esposa de San Isidoro; anduvo siete años en peregrinación visitando los santos lugares; en riqueció esta iglesia con muchas reliquias; fall ció con grande opini…</t>
  </si>
  <si>
    <t>Sancho, Andrés Je Aransai y</t>
  </si>
  <si>
    <t>Andrés Je Aransai y Sancho</t>
  </si>
  <si>
    <t>…eal mano, y felicitar á S. M. por su augusto enlace, como comisionados del ca bildo de la santa iglesia de Piasencia , el Dr. D. Joaquín García Ruiseco, deán de la misma, y el Dr. D. Andrés Je Aransai y Sancho, capellán de honor de S. M., doctoral de su Real capilla, y arcediano de Medellin en aquella; de los cuales el primero dijo: ,,Señor: El cabildo de la santa iglesia catedral de. Piasencia nos ha comi sionado para que felicitemos á V. M; por "su augusto enlace…</t>
  </si>
  <si>
    <t>Sand, Josef de</t>
  </si>
  <si>
    <t>Josef de Sand</t>
  </si>
  <si>
    <t>…de la Real chancillería de Valladolid , teniente de corregi dor de esta villa de Madrid, refrendada del escribano del número-D. Juan Antonio de Urraza , se cita, llama y emplaza á D. Josef de Sand^Juce , D. Pedro Antonio de Olabarría y Sta. Cruz, D. Andrés de Escondrillas , D. Cristóbal de Vicuña, D. Pedro Fermín de lbarra y Doña María Antonia de Amantegui, tenedores de tres vales Reales, tres de ellos de 150 pesos, vales dinero de Ja renovación de i.°…</t>
  </si>
  <si>
    <t>Sandoval, Luis de</t>
  </si>
  <si>
    <t>Luis de Sandoval</t>
  </si>
  <si>
    <t>…á Cádiz, procedente dePortovelo y la Havana , la fra gata particular S. Juan Bautista, su capitán y maestre D. Josef AntonioMurrieta, y en ella algunos intereses pertenecientes á D. Luis de Sandoval ó sus herederos , de la Rioja, sin designación de lugar , que remite D. Bernardo Jo sef de Arce, vecino y del comercio de Panamá, á consignación de D. Joa quín María Ferrer, residente en Madrid, lo avisa este á los interesados para que ocurran á recogerlos á…</t>
  </si>
  <si>
    <t>SanJti</t>
  </si>
  <si>
    <t>…Josef López: para la de Cea á D. Vicente i vz Sánchez: para la de Buendia á D. Felipe Mingojuan: para la de Sal.«s u&gt; I fuves i D. Ped.o Puma rejo y Velarde : para la de Pedraza á D. SanJti; &gt; Orne y Garay ; y para la del Valle de Ay ala á D. Vicente Diaz de O.arte. Por resolución á consulta de! supremo Cornejo de Hacienda , y á so lici tud del teniente coronel de infanteiía D. Francisco Antonio \ aiü lomar y del Lie. I). Gaspar García Aramburu…</t>
  </si>
  <si>
    <t>Sanjuan, Fermín</t>
  </si>
  <si>
    <t>Fermín Sanjuan</t>
  </si>
  <si>
    <t>…a honra de felicitar a! Rey nuestro Señor y al Sermo. Sr. Infante D. Carlos por sus efectuados matrimonios, á nombre del cabildo catedral y ayuntamiento de la ciudad de Calahorra, D. Fermín Sanjuan, dignidad de arcediano de Berberiego; D. Romualdo Mendoza y Viguera, canónigo, y D. Julián Ruiz de Reajal, prebendado de dicha santa iglesia. •</t>
  </si>
  <si>
    <t>Sanmartín, Miguel de Velez y</t>
  </si>
  <si>
    <t>Miguel de Velez y Sanmartín</t>
  </si>
  <si>
    <t>…ntación , situado en su frente principal el retrato de S. M. bajo un rico dosel; y colocados todos los cir cunstantes en sus respectivos asientos; abrió la se-sion el vicedirector D. Miguel de Velez y Sanmartín, presidente de este Real cuerpo por ausencia del Ex celentísimo Sr. director duque de Medinaceli, con un breve y enérgico dis curso, en el que manifestó el amor y respeto que profesa esta corporación ásu amado Soberano, y que de ningún modo seria mas grato ma…</t>
  </si>
  <si>
    <t>Sant</t>
  </si>
  <si>
    <t>…por Doña María Dur&gt;n , su heredera, en la audiencia del Sr. D. León de-la Camara Cano , del Consejo de S M. , primer te niente corregidor de esta villa, y escribanía del número de D. Sant ago E'tepar, se pidieron á los señores directores del Crédito púbíico remitiesen al juzgado ios que constaban de una relación presentada por dicha Doña Juana, y remitidos que fue ron se llamó por edictos de gaceta y diario á los interesados, para que en e. té…</t>
  </si>
  <si>
    <t>Santacruz, Domingo</t>
  </si>
  <si>
    <t>Domingo Santacruz</t>
  </si>
  <si>
    <t>…en su Real casa y corte, por la escribanía de provinl^!?;dc D.'Juan Antonio, Diaz Noriéga á contestar el traslado, que se le ha comuni cado de la demanda instaurada por parte- de D. Domingo Santacruz sobre la perte nencia de uñ y ale( Real de doo^pesqs, creación de i.° de Mayo de 1808, señalado con el númí 387375 , mediante ser uno de los endosantes; apercibido que si no lo hiciese se sustanciará en rebeldía en los estrados de la audiencia sin mas citarle…</t>
  </si>
  <si>
    <t>Santaeiia, Josef Santiago</t>
  </si>
  <si>
    <t>Josef Santiago Santaeiia</t>
  </si>
  <si>
    <t>…ez Albanell y D. Alejandro de la Calle. DEPARTAMENTO DE CARTAGENA. Promovidos d sus inmediatas clases. A oficial segundo el tercero D. Juan Andrisain; á oficial tercero el cuar to D. Josef Santiago Santaeiia; á oficiales cuartos los quintos D. Fulgencio García Saez y D. Martin Rodon y Simón, y á oficiales quintos los meritorios D. Joaquín García y D. Serapio Carreras.</t>
  </si>
  <si>
    <t>Santana, Josef</t>
  </si>
  <si>
    <t>Josef Santana</t>
  </si>
  <si>
    <t>…han mantenido en sus destinos solo por el valor de sus comandantes; pero sin ios auxilios de una maestranza decidida, gobernada por el benemérito anciano ayudante de construcción D. Josef Santana, de quien ya he hablado á V. E., no era posible subsis tiesen sobre el agua; maestranza que en medio de los temporales ha acudido adonde ha señalado la necesidad, trabajando con tanto ardor, que entre po cos han hecho mas de lo que podía esperarse; y pido á V…</t>
  </si>
  <si>
    <t>Santander, Manuel García</t>
  </si>
  <si>
    <t>Manuel García Santander</t>
  </si>
  <si>
    <t>…vera y año, y en el reverso este lema: progressui in litterú) á ios mas sobresalientes, que fueron D. Felipe Neri Carral, D. Antonio Resino, D- Joseí Rodríguez, D. Simón de Sousa, D. Manuel García Santander, D. Mariano Martin, Doa Juan de Baños y D. Josef Portales, con sentimiento de no haber hecho mas para premiar los restantes, que creyó dignos todos de sus benéficas in tenciones, y dió á su sabio director las debidas gracias por su zelo y genero sas fatigas,…</t>
  </si>
  <si>
    <t>Santibañez, Joscf</t>
  </si>
  <si>
    <t>Joscf Santibañez</t>
  </si>
  <si>
    <t>…mo tuvieron el honor de cumplimentar á S. M., y besar su Real mano en nombre del cabildo catedral de Cuenca ,D. Guillermo Hoalde, chantre, D. Ramón de Eyaralar, arcediano de Moya, D. Joscf Santibañez, canónigo, y D. Pablo Lorenzo Carrasco, doctoral de la misma iglesia ; y el primero dijo: „Señor: Él cabildo catedral de Cuenca, constante en los sentimientos de lealtad y amor á vuestra Real Persona, que en varias ocasiones he tenido el honor de manifestaros…</t>
  </si>
  <si>
    <t>Santibañez, Rafael</t>
  </si>
  <si>
    <t>Rafael Santibañez</t>
  </si>
  <si>
    <t>…copiándose para la obra todo lo necesario, que como.asunto complicado no podía fiarlo á persona mas á proposito por par te de marina que á mi mayor de órdenes el teniente de navio D. Rafael Santibañez. „Los enemigos que sufrían ya grandes escaseces, aunque esperaban so corros de víveres y gente, conocieron lo crítico de su situación, y determi naron fugarse, antes de ser encerrados, en it goletas y balandras que tenían preparadas para aprovechar las primer…</t>
  </si>
  <si>
    <t>…l la Católica: al capitán de fragata D. Manuel, Cordero su ascenso á capitán de navio: el de capitanes de fragata á los tenientes de navio D. Josef Laserna , D. Bernardo de Salas, D. Rafael Santibañez y Don Josef María Chacón : el de capitanes de fragata graduados á los tenientes de navio D Jacinto Marcaida y D,.Francisco Topete: el,de tenientes de navio á los tenientes de fragata D. Simón Ponce y D. Ignacio Chacón r el de te nientes de fragata á los alféreces de navio D. Ramón Lo…</t>
  </si>
  <si>
    <t>Santillana, Ramón de</t>
  </si>
  <si>
    <t>Ramón de Santillana</t>
  </si>
  <si>
    <t>…ad á que in clinaba, é hizo precisa la averiguación de la verdad; el corregidor á la hora de las nueve de la noche del propio dia, en compañía del alcalde mayor de Valladolid y de D. Ramón de Santillana, escribano mayor del ayunta miento, pasó á la posada del Angel á cerciorarse del hecho y de la persona que se decía de la familia Real; mas hallándola ya acostada, no creyó por entonces oportuno practicar diligencia alguna de las acordadas con su alcal de may…</t>
  </si>
  <si>
    <t>Santin, Tomas Aparicio</t>
  </si>
  <si>
    <t>Tomas Aparicio Santin</t>
  </si>
  <si>
    <t>…ácia su Real Persona.” Los mismos comisionados felicitaron con igual motivo al Sermo. Sr. In fante D. Carlos. En el dia ii del corriente el colector general de Espolios y Vacantes D. Tomas Aparicio Santin, D. Gabriel de Hevia y Noriega, del supremo Consejo de la Inquisición, y D. Vicente Ruiz de Albillos, juez en el tribunal</t>
  </si>
  <si>
    <t>Santlbañez, Rafael</t>
  </si>
  <si>
    <t>Rafael Santlbañez</t>
  </si>
  <si>
    <t>…de calafates Josef Cancela, que hace pocos dias falleció, y pa ra cuya infeliz familia pido á V. E. se sírva agraciarla con alguna pensión. No hablé á V. E. del teniente de navio D. Rafael Santlbañez, mi mayor de órdenes. Este digno oficial ha sido de todos ramos , y le he reservado como el timón de los negocios: convoy , escuadra, desen.barco de víveres y efectos, cuidado de hospitales, buques del bloqueo, buques de repuestos, en fin todo ha pesado sobre…</t>
  </si>
  <si>
    <t>Santos, Antonio María</t>
  </si>
  <si>
    <t>Antonio María Santos</t>
  </si>
  <si>
    <t>…cosas que les in teresan , se suplica al que sepa su paradero lo avise i D. Francisco Martínez de Aguilar, del comercio de libros de Málaga. La persona que supiere el paradero de D. Antonio María Santos, oficial del re gimiento de infantería de Castilla, que fue hecho prisionero en la rendición de la ciudad de Valencia, y conducido á Pau , ciudad de Francia, se servirá avisarlo en esta corte á Doña María Cavas, calle de la Encomienda, núm. 8. Kerr.prs de la…</t>
  </si>
  <si>
    <t>Santos, Josef</t>
  </si>
  <si>
    <t>Josef Santos</t>
  </si>
  <si>
    <t>…to Perú , al Excmo. Sr. virey. Excmo. Sr.: Nada es capaz de causar escarmiento en los espíritus de los rebeldes, como lo comprueba la adjunta copia del parte que me ha dirigido el coronel D. Josef Santos de la Hera, comandante del batallón del centro, y accidental gobernador político y gefe militar de la Plata , detallando las dos brillantes acciones que sostuvo en los dias 10 y 11 del presente contra un grueso número de insurgentes acaudillados por los infam…</t>
  </si>
  <si>
    <t>Sanz, Alfonso García</t>
  </si>
  <si>
    <t>Alfonso García Sanz</t>
  </si>
  <si>
    <t>…D. huís Noseret, á 8 rs.— Estampa de Sta. Mjría Magdalena, copiada del ori ginal de Guido Reni, y grabada por D. Juan Bvuneti, á 8 r$.~Otra ídem del mismo Guido Rcni, grabada por D. Alfonso García Sanz, í 6 rs.rzEl Apostola do , colección de 28 estampas, con la Sacra Familia, los Evangelistas y los Docto res de la Ictlesia , grabadas todas por D. Juan Antonio Carmonu , á 5 rs. cada es tampa. ~La misma colección en 8.°, grabada por el mismo, á 20 rs. (Se con…</t>
  </si>
  <si>
    <t>Sanz, Claudio</t>
  </si>
  <si>
    <t>Claudio Sanz</t>
  </si>
  <si>
    <t>…ies de está corte sé háh formado autos ante el Sr. D. Leónde la Cámara Cano, del consejo de S. 'M;, teniente primero de corregidor dé esta herbica villa, y escribanía de número de Don Claudio Sanz, ert razbn cíe que se declaren de su pertenencia diferentes vales Rea les retenidos en la oficina de renovación, entre otros tres de á 300 pesos cada uno de i.° de Enero de 1808, números 87858, 107518 y 126837, que aparecen en su último endoso, el i.° á favor…</t>
  </si>
  <si>
    <t>…n. En el juzgado del Sr. D. León de la Cámara Cano, del consejo de S. M., pri mer teniente y corregidor interino de esta hrrnLa vü!a de Madrid , y por la escriba nía del número de D. Claudio Sanz, se han formado autos sobre la pertenencia de un vale Real de 150 pesos de t.° de Setiembre de 1808 , núm. 2 13Ó47, que s:?lió en cabezado en IX Francisco Alvarez Cuervo, y se endosó en 1 2 de Mayo de 1812 á D. Francisco de la Vieja. las personas que se consi…</t>
  </si>
  <si>
    <t>…fuego con el mayor tesón.” . En virtud de providencia del Sr. D. León de la Cámara Cano, del consejo eje S. M., primer teniente y corregidor interino de esta villa, refrendada de D. Claudio Sanz, escribano de S. M., y del número de la misma, se ha señalado para la junta de acreedores á la testamentaría de D. Mauro López el viernes 24 del corriente á las 8 de su mañana, en la posada de S. S., que la tiene en la plazuela del Cordon, casa de Alfaro, cua…</t>
  </si>
  <si>
    <t>…formado autos ante el Sr. D. León de la Cámara Cano, del consejo de S. M., primer teniente y corregidor interino de esta heroica villa de Madrid, y por la escribanía del número de D. Claudio Sanz, en razón de que se declaren de su pertenencia cuatro vales Reales de 600 pesos, tres de Ja creación de i.° de Enero de 1808, y el otro de la de Mayo del mismo año, encabezados á D. Juan A da ñero, señalados con los números 363743» 364806, 369339 y 373375 » y…</t>
  </si>
  <si>
    <t>…les el Antonio de esta misma corte , y la Fran&lt; isca de Valdepeñas de la Sierra, para que acudan en el juzgado del Sr. D. León de la Cámara Cano, y por la escribanía del número de D. Claudio Sanz, dentro del preaho término de 30 días precisos y perentorios á deducirle y exponerle por me dio de procurador con poder bastante; con apercibimiento de que pasado dicho tér mino sin haber comparecido se procederá a lo que haya lugar. Se halla vacante la escue…</t>
  </si>
  <si>
    <t>Sanz, Josef Ortiz y</t>
  </si>
  <si>
    <t>Josef Ortiz y Sanz</t>
  </si>
  <si>
    <t>…u extraña miento. Véndense á real cada una en el despacho de la imprenta Real. Compendio cronológico de la Historia de España desde los tiempos mas antiguos hasta el presente, por D. Josef Ortiz y Sanz, de la biblioteca de S. M. Oesde que el P. Ju n de Mariana escribió su historia generaj.ha deseado constartenicnte el público un compendio de la misma: parece fatalidad nuestra hallarnos inundados de resúmenes , prontuarios y compendios de todas las artes y d…</t>
  </si>
  <si>
    <t>Sanz, Toribio Fernandez</t>
  </si>
  <si>
    <t>Toribio Fernandez Sanz</t>
  </si>
  <si>
    <t>…de dos vales Reales de á 300 pesos, de la cracion de i.° de Mayo de 1808, núms. 475925 y 438200; y habiéndose nombrado defensor de los herederos de D. Francisco García Alvarez, de D. Toribio Fernandez Sanz, ausente, y de D. Bernardo Fernandez, cuyo paradero se ignora; se ha mandado, á instancia de dicho defensor, se les cite, líame y empláce por término de 30 dias precisos y perentorios, que empezarán á correr desde el en que se anuncie al público por los perió…</t>
  </si>
  <si>
    <t>Sarabia, Josef Martínez</t>
  </si>
  <si>
    <t>Josef Martínez Sarabia</t>
  </si>
  <si>
    <t>…ra la de Villadiego á D. Ca simiro de la Piedra y Urrutia.: para la de Morata á D. Antonio Evaristo de Haro: para la de Granadilla á D. Feliciano Centeno: para la de Villagarcía á D. Josef Martínez Sarabia: para la de Arroyo del Puerco á D. Pedro Alzorriz Morgado : para la de Monteagudo á D. Francisco Fernandez Molina: para la de Mombeltran á D. Benito Gabriel de Aguilera: para la de Rioseco á D. Antonio Romero Prieto: para la de Navas del Marques á D. Rafael d…</t>
  </si>
  <si>
    <t>Sarasa, Josef Miguel de</t>
  </si>
  <si>
    <t>Josef Miguel de Sarasa</t>
  </si>
  <si>
    <t>…o que haya de asignár seles. Tendreislo entendido, y dispondréis su cumplimiento. =Señalado de la Real mano de S. M.srPalacio 15 de Febrero de 1816. = A D. Josef Vázquez Figueroa. D. Josef Miguel de Sarasa, capitán del Real cuerpo de ingenieros cosmó grafos de Estado y profesor de astronomía , empezará sus lecciones públicas en el Real gabinete de Historia natural de esta corte por disposición de S. M. á consulta de la junta de Protección del museo de Ciencias…</t>
  </si>
  <si>
    <t>Saravia, Antonia González de</t>
  </si>
  <si>
    <t>Antonia González de Saravia</t>
  </si>
  <si>
    <t>…sus crímenes, y señalado la hora en que este impío pagase sus sacrilegas in famias. EL malvado que insulto á su prelado, que asesinó en Oaxaca al res petable y virtuoso.'.teniente general D. Antonia González de Saravia, que por tanto tiempo ha Follado lo nías sagrado del universo , está ya por 'fin bajo* ei poder de Ja ley 't como irán estando todos sus secuaces. No .escarmentado con él destrozo que'sufrió en Va-iladclid y Puruaran á fines del año de 1813 , intentó ahora de…</t>
  </si>
  <si>
    <t>Saravia, Antonio González de</t>
  </si>
  <si>
    <t>Antonio González de Saravia</t>
  </si>
  <si>
    <t>…ue después de ella siguió la tropa haciendo fuego: en Orizaba á tres individuos, de los cuales fue uno el alférez Santa María: en Oajaca al teniente general de los Redes egércitos D. Antonio González de Saravia, al Sr. comandante de aquella brigada D. Bernardino Bonavia, á los comandantes Regules y Arizti, y ¿ un muchacho guatemalteco criado del primero; y últimamente en Acapulco, Cuacuayutla, Zacatula y Ajochitlan 203 prisioneros, fusilados unos y dego llados otros…</t>
  </si>
  <si>
    <t>Saravia, Pedro</t>
  </si>
  <si>
    <t>Pedro Saravia</t>
  </si>
  <si>
    <t>…s á los Militares empleados ó Justicias que falten á esta soberana disposición. Dios guarde á V. muchos años. Madrid 13 de Julio de 1816. Quien supiese el paradero ó existencia de D. Pedro Saravia, que se ausentó da esta corte el año de 1807; y en caso de haber fallecido, si hubiese atgu* herede ro, acudirá á la calle de los Negros, num. 32 , cuarto principal, donde ha y que comunicarle asuntos interesantes. En la gaceta del sobado 27 de Enero de este…</t>
  </si>
  <si>
    <t>Sarmiento, Miguel</t>
  </si>
  <si>
    <t>Miguel Sarmiento</t>
  </si>
  <si>
    <t>…Juan Ferrer y D. Josef Rodrí guez Flores , y á oficiales quintos los meritorios D. Sixto Tomaseti y D. Jo sef Gómez Roldan. Graduaciones, Graduación de oficial primero al segundo D. Miguel Sarmiento; gra duación de oficiales segundos á los terceros D. Josef Agnete y D. Josef Mi lian; graduación de tercero al cuarto D. Francisco Cerquero; graduación de cuarto al quinto D. Antonio Pascual la Peña, y graduaciones de oficiales quin tos á los meritorios D. Ra…</t>
  </si>
  <si>
    <t>Sarria, Joan</t>
  </si>
  <si>
    <t>Joan Sarria</t>
  </si>
  <si>
    <t>794 D. Josef Mariano Beristain, D. Joan Sarria, D. Juan Gunboa y ÍDres.ic. D. Andrés Fernandez M.drid, deán, chantre, maestreescuelas y tesore ro de la misma santa iglesia, en vista de la causa instruida á este rebe de por la jurisdicción anida, la notoriedad y enormidad de sus crímenes, que lian * mente…</t>
  </si>
  <si>
    <t>SaTazar, Antonio López de</t>
  </si>
  <si>
    <t>Antonio López de SaTazar</t>
  </si>
  <si>
    <t>…dmitirán sien do arregladas. Por providencia del Sr. D. León de la Cámara Cano, del Consejo de S. M., primer teniente corregidor de esta villa, refrendada del escribano del número Don Antonio López de SaTazar, se ha señalado para el remate de la hehesa titulada del Madroño, sita en término de la villa de Cabera del Buey, partido de la Serena, provincia de Extremadura, el dia 1 2 del corriente á las 1 2 y media de su mañana #n la audiencia de dicho señor juez. En v…</t>
  </si>
  <si>
    <t>Satue, Ramón</t>
  </si>
  <si>
    <t>Ramón Satue</t>
  </si>
  <si>
    <t>…t'snea derecho en Suiza á un legado de i(2&gt; florines cada una, y deben acreditar su existencia, pre sentándose en la primera secretaría de Estado del Despacho. Por providencia del Sr. D. Ramón Satue, del consejo de S. M., alcalde en su Real casa y corte, á quien está cometida la egecucion de una Real facultad, se sa ca á publica subasta, por término de go dias, contados desde i.°del corriente, una casa principal, sita en la ciudad de Burgos y su plaza ma…</t>
  </si>
  <si>
    <t>Satúe, Ramón</t>
  </si>
  <si>
    <t>Ramón Satúe</t>
  </si>
  <si>
    <t>…) de la instrucción de sus ni ñas pobres, luego que falleció la maestra del barrio, fijó edictos llaman do á oposición ,que se celebró el 10 de Marzo último presidiendo el acto el Sr. D. Ramón Satúe, del consejo de S. M., alcalde de su Real casa y corte, al que asistió también, como censor de las escuelas del cuartel de Afl igidos, el Sr. D. Ramón Risel; y habiéndose presentado á esta oposición personas de la mayor habilidad, tanto en las labores propias…</t>
  </si>
  <si>
    <t>…1816. Véndese í 4 rs. en el despacho de la imprenta Real. Se subscribe en dicho despacho, y en las provincias en todas las ad ministraciones principales y agregadas de correos. El Sr. D. Ramón Satue , del cornejo de S. M., alcalde en su Real casa y cor te, ha señalado el dia 15 del corriente á las 5 de su tarde en la sala primera de señores alcaldes para el remate de diferentes tierras, un horno de pan cocer, y un feudo del molino harinero, sito todo en…</t>
  </si>
  <si>
    <t>Satué, Ramón</t>
  </si>
  <si>
    <t>Ramón Satué</t>
  </si>
  <si>
    <t>…816. Véndese i 4 ti: efl el despacho 3c U imprenta Real. Se subscribe en dicho despacho, y cu las provincias en todas las ad* ¡ministradores,principales y agregadas de correos. El Sr. D. Ramón Satué, del consejo de S. M., alcalde en su Real casa y corte, á quien está cometida la egecucion de upa Real facultad, por providencia de 27 del pasado ha mandado volver á sacar a pública subasta por tétmino de 20 dias una caca principal sita en.la ciudad de Burgos…</t>
  </si>
  <si>
    <t>…cer mejora lo egecutará ante dicho señor juez y escribanía, donde se admitirán siendo arregladas. A consecuencia de Real facultad cometida al Señor alcalde de la Real casa y corte D. Ramón Satué, se saco á pública subasta por término de 30 días, y publi có en el diario de 10 de Setiembre último, la dehesa titulada de Fuentes, que la atraviesa el rio Duero, inmediata á Valladolid, tasada con sus adyacentes en 2.733í36 rs* con 21% mrs,í á-l* que se ha…</t>
  </si>
  <si>
    <t>…s en 2.733136 rs. y 21 f mrs. de vn. líquidos, á la que está hecha postura en la misma cantidad, de ella un millón de reales en metálico y el resto en vales: se ha señalado por el Sr. D. Ramón Satué, alcalde de la Real casa y corte, el jueves 14 de Noviembre próximo á las tres de su tarde en la sala primera de señores alcaldes. Biblioteca universal de novelas, cuentos é historias instructivas y agradables: tomo 2.0, que contiene la Caravanera, ó colecció…</t>
  </si>
  <si>
    <t>…los estatu to?, dando las órdenes correspondientes á quien convenga. En Palacio á 26 de Octubre de 1816.— Firmado de la Real mano.zrYO LA RElNA.=RefrendadorrPedro Cevallos. Por el Sr. D. Ramón Satué, del Consejo de S. M;, alcalde en su Real casa y corte, en egecucion de una Real facultad que le está cometida , se h.. inundado vol ver á sacar á subasta, por término de 20 dias ia dehesa titulada de Almenara, in mediata á la villa de Palma del Rio, en Andal…</t>
  </si>
  <si>
    <t>Satué, Ranriun</t>
  </si>
  <si>
    <t>Ranriun Satué</t>
  </si>
  <si>
    <t>…que ha de cele brarse en su posada el dia 2 1 del corriente á las nueve de la mañana á todos los acreedores de Miguel Casado, difunto, vecino que fue del lugar de Vallecas. Por el Sr. D. Ranriun Satué, del Consejo de S. M., alcalde en su Real casa y corte, se ha señalado el dia 16 del con ¡ente á las tres en punto de su tarde en la sala primera de señores alcaldes para el remate de la dehesa titulada de Almenara, sita en la villa de Palma del Rio, en Andal…</t>
  </si>
  <si>
    <t>Sauz, Claudio</t>
  </si>
  <si>
    <t>Claudio Sauz</t>
  </si>
  <si>
    <t>…iesen hacer pujafl ó mejoras deberán verificarlo á cada una de las citadas encomiendas el dia señalado, ó antes si lo tienen por conveniente, en la misma dirección, ó por medio de D. Claudio Sauz, escriban# ^el^-numero de esta villa y de la comisión, que se admitirán hasta aquel acto las que se hicieren siendo arregladas.mm*m““——“T*TT——1mmmmmM•—“*“““ Se halla vacante la plaza de maestro de primeras letras de la villa de Fuerte el Saz de Jarama, distan…</t>
  </si>
  <si>
    <t>Savari</t>
  </si>
  <si>
    <t>…gún tiempo en París. Idem ig. El duque de Kent debe salir de París dentro de tres días con dirección á Cambrai, adonde llegará al mismo tiempo su hermano el duque de Cambrigde. El general Savari se ha embarcado en Smirna para los Estados-Unidos de América. No se sabe si le acompaña el general Lallernant, &lt;5 si se ha mar chado á Egipto como se ha asegurado en algunos periódicos. ESPAÑA. Madrid 28 de Octubre. El dia 23 del mes próximo pasado, habiendo…</t>
  </si>
  <si>
    <t>Saxo, Alberto de</t>
  </si>
  <si>
    <t>Alberto de Saxo</t>
  </si>
  <si>
    <t>…egue á esta capital el feld-mariscal Bluchef de vuelta de los baños de Carlsbade , que parece le han producido un efec to admirable. El giro del banco se aumenta de día en día. El duque Alberto de Saxo nia-Felchen y varios individuos de la familia imperial se han interesado en</t>
  </si>
  <si>
    <t>Saxonia-Teschen, Alberto de</t>
  </si>
  <si>
    <t>Alberto de Saxonia-Teschen</t>
  </si>
  <si>
    <t>…sa María Teresa, Princesa de Saxonia, la Archiduquesa Leopoldina. Han concurrido igualmente á solemnizar este acto todos los Archiduques y Archiduquesas que se hallan en Viena, el duque Alberto de Saxonia-Teschen , el Príncipe Leopoldo de las Dos Sicilias, la Princesa de Nassau, madre de la Archidu quesa Carlota, y el Príncipe Federico de Nassau. Se le ha puesto por nom bre María Teresa Isabel.” Antes de ayer salió de aqui para Thermberg el Archiduque Juan. S. A. R. e…</t>
  </si>
  <si>
    <t>Schaeflfer</t>
  </si>
  <si>
    <t>…ancés al gunas vejaciones en el partido de Binfeld , se ha formado una comisión mili tar para examinar los delitos, y un consejo de guerra ha confirmado la sen tencia. El teniente general Schaeflfer acaba de enviar á Carlsruhe al prefecto una suma de 1375 florines , varios reloxes de faltriquera y otros efectos que babian sido robados á aquellos habitantes. Este acto de justicia prueba el de-</t>
  </si>
  <si>
    <t>Schemitz</t>
  </si>
  <si>
    <t>…l Báltico han causado el naufragio de gran número de buques, entre otros de la Julia, capitán Thomfer, que partió de Burdeos para Copenhague el 13 de Noviembre, y el de la Regina, capitán Schemitz ,expedido de la Ro chela para HamburgoV '&gt;' Lá gaceta ministerial contiene la noticia siguiente sobre los Reyes de San to Domingo , extractada del viage ingles de Mr. Woclion, publicado nueva mente: „Petion es de'un carácter suave y de un exterior tino. Fue e…</t>
  </si>
  <si>
    <t>Schneider</t>
  </si>
  <si>
    <t>ICC&gt;3 do los siguientes: el teniente general Semellé, gobernador antiguo de Strasburgo; el general Schneider, gefe que fue del estado mayor general del egército del Rhin, bajo las órdenes del general conde de Rapp, y los generales Amey y Grouvelle. ESPAÑA. Santander 4 de Agosto. El ilustre ayuntamiento de esta dudad, deseando contribuir eficazmente . á que tengan el…</t>
  </si>
  <si>
    <t>Schwartzenberg, Príncipe</t>
  </si>
  <si>
    <t>Príncipe Schwartzenberg</t>
  </si>
  <si>
    <t>…ben de Praga que el Príncipe Blucher vendrá acá después que haya pasado la temporada de los baños en Carhbad. El duque de Feltre, ministro.de Guerra en Francia, ha escrito al feld mariscal Príncipe Schwartzenberg, presidente del consej» de Guerra , la carra siguiente para participarle que el R.ey de Francia le ha nombrado ca ballero de la orden del Espíritu Santo. «Príncipe: El Rey mi amo, queriendo dar á V. A. un te«ti nonio de su estimación y reconocimiento á los se…</t>
  </si>
  <si>
    <t>Schwartzenberg, Príncipe de</t>
  </si>
  <si>
    <t>Príncipe de Schwartzenberg</t>
  </si>
  <si>
    <t>…Príncipe Regente de Inglaterra y el duque de Yoick ; de 25 feld- reuiruisters ó generales de caballería ; de 44 te nientes de feld-mariscales, y de 133 mayores generales. El feld-mariscal Príncipe de Schwartzenberg es el gefé supremo de todo el ejército; el feld-mariscal Pnncipe de Colioredo es gefe de la artillería ; el Archid.ijue Juan es director de ingenieros; el Archiduque Luis director de las fronteras, y el coronel Kothkírch se halla interinamente comandante del…</t>
  </si>
  <si>
    <t>Scio, Felipe</t>
  </si>
  <si>
    <t>Felipe Scio</t>
  </si>
  <si>
    <t>…ste término se pro cederá i la referida provisión con arreglo á la citada Real orden. Los subscriptores á la Biblia vulgata latina y castellana, traducida y anotada por el limo P. D. Felipe Scio, de las Escuelas Pías, acudirán á recoger los dos tomos* último del antiguo Testamento y primero del nuevo, y pagar el importe de los to mos primero y segundo del nuevo Testamento á la portería del colegio de Escue las Pias del Avapies de esta corte. Se halla…</t>
  </si>
  <si>
    <t>…r lé'ftaíá al ayuntamiento de dicha villa has ta el dia 30 del corriente. . i_ *&gt; - i Los suscríptores á la Biblia vulgata latina y castellana, traducida y anotada por el limo. P. D. Felipe Scio, de las Escuelas Pías, acudirán i recoger eí tomo 2.0 del nuevo Testamento, y pagar el importe del 3.0 á la portería del colegio de Escuelas ‘Pías del Avapies de esta corte. Se hallarán también de venta para los que no han SÚscritbá 30 rs. en rústica desde el…</t>
  </si>
  <si>
    <t>Sclma, Fernando</t>
  </si>
  <si>
    <t>Fernando Sclma</t>
  </si>
  <si>
    <t>…io Josef Cavanilles, y grabada por D. Tomas En grúdanos, á 5 rs.tnSeis estampas del poema de la música, dibujadas por D. Greor'10 Ferro, y grabadas por D. Manuel Salvador Carmona, D. Fernando Sclma y ) Joaquín Ballester, á 16 rs. rrrCuatro estampas de devoción, dibujadas por Doaf Mariano Maella, y grabadas por D. Manuel Salvador Carmona y T). Joaquín Ballester, á 8 rs. ( Se continuará Por providencia del Sr. D. León de la Cámara Cano, del Consejo de S.…</t>
  </si>
  <si>
    <t>Scott</t>
  </si>
  <si>
    <t>1015</t>
  </si>
  <si>
    <t>…ro presuntivo de la corona y 1500 personas de su comitiva se hicieron va cunar con pus llevado de Europa, y que en la ciudad de Teherán se iba haciendo general esta práctica. „E1 doctor Scott na logrado vacunar 40© personas en la costa de Coro-</t>
  </si>
  <si>
    <t>Scveroü</t>
  </si>
  <si>
    <t>902</t>
  </si>
  <si>
    <t>…a afabilidad cue la ca racteriza. Se espera por momentos que Llegue de Roma la dispensa que se ha solicitado para este casamknto, porque fue una equivocación ei haber dicho que el cardenal Scveroü la había entregado, según unos al Príncipe de Metternich , y según otros á S. M. I. en la audiencia que tuvo dias pasados. Antes de ayer asintió al teatro de la corte el Príncipe Leopoldo, y con este motivo fue inmenso el concurso que acudió á disfrutar de la…</t>
  </si>
  <si>
    <t>Se, Josef</t>
  </si>
  <si>
    <t>Josef Se</t>
  </si>
  <si>
    <t>…Casa do, vecino que fue de Vallecas, señalada para el ai del corriente mes de Diciembre. En la ciudad de Velez-Málaga se venden, para cumplir las disposiciones testa mentarias de D. Josef Se verhio y Manso, las fincas siguientes; una.heredad de viña, con aii casa de teja, varios olivos y almendros, de cabida como 30 obradas, situada en el partido del Pinar , término y jurisdicción de dicha ciudad, inmediato á ella; un pe dazo de olivar como de 20…</t>
  </si>
  <si>
    <t>Se, Márcelo</t>
  </si>
  <si>
    <t>Márcelo Se</t>
  </si>
  <si>
    <t>…ativo á las utilidades y vemajas de este arte. Concluidos los exámenes, se procedió á la adjudicación de premios en la forma siguiente: el primero á D.- Martin López, el segundo á D. Márcelo Se villano, el extraordinario á D. Josef Trespuentes , y laExcma. Sra. marquesa ‘de Vil la franca; adjudicó una obra elemental al cuarto opositor D. Teiesforo ' . ; / " ''Abascal. ' *' . '; c' La sociedad tuvo la mayor satisfacción en que los asistentes hiciesen…</t>
  </si>
  <si>
    <t>Sebas</t>
  </si>
  <si>
    <t>…rtagena por orden de aquel Gobierno á pasar el Caño del Estero de Pasa-caballos para buscar víveres, y conducir pliegos ai interior, dirigiendo esta acción el capitán de zapadores D. Sebas tian Diaz. Dice no puede menos de manifestar que el infame Sanarusia, que murió en la relacionada acción, fue el tirano que dió muerte á los 14 ino centes é inermes oficiales déla división del mando del mariscal de campo D. Alejandro de Hore, que fueron hecho…</t>
  </si>
  <si>
    <t>Sebastian</t>
  </si>
  <si>
    <t>…s. = Pedro González Villa. = Sr. D. Salvador Moxó, capitán general interino de Venezuela.” Se han recibido también noticias oficiales del comandante general de la quinta división D. Sebastian de la Calzada, fechas en su cuartel de ¡Baigpjona el 28 de Noviembre último. Ellas contienen un diario de sus operación es «des</t>
  </si>
  <si>
    <t>…eralmente este diario; mas sin em bargo será dé la satisfacción de este pueblo la inserción ¿n la presente de la siguiente proclama que dirige Calzada á la provincia de Bariñas. ,,D. Sebastian de la Calzada, coronel de los Reales egúrcitos, y coman dante general de la quinta división del expedicionario y de la provincia de Barí ñas: • f „ Habitantes de la provincia de Barí ñas: Habéis acudido prontísimamente á la miserable reunión de bandidos que p…</t>
  </si>
  <si>
    <t>…rzo. Acaba de publicarse aquí una gaceta extraordinaria con las noticias si guientes: ,, Habiendo partido de Pamplona para lo interior de Santa Fe la quinta división del mando del coronel D. Sebastian de la Calzada, todas las fuerzas de los sediciosos de aquel vireinato se reunieron para atacarlo en el tránsito, haciendo al misino tiempo que una división penetrase por Pamplona, que de jaba por la espalda. Esta división penetró, y aquellas fuerzas lo atacar…</t>
  </si>
  <si>
    <t>esta D. Agustín Araniegui con una orden que me ha entregado del señor comandante de la qtnnra división D. Sebastian de la Calzada, que dice asi* ,,Quedó enterado de todo lo que V. me dice en su oficio del tp del que rige. Inmediatamente marchará V. con teda su fuerza reunida sobre Pamplona, adonde ha penetrado desputs de mi salida una división insurgen te, y pnra donde he…</t>
  </si>
  <si>
    <t>…, con fecha de 27 de Febrero último desde su cuartel general de Mompox dice al Excmo. Sr. Secretario de Estado y del despacho universal de la Guerra lo siguiente: „ Excmo. Sr.: El coronel D. Sebastian de la Calzada me participa con fecha de 23 del corriente lo que sigue: Excmo. Sr.: Los enemigos que habían ocupado esta provincia han sido completamente derrotados ; y mi división ha añadido este triunfo, y un dia mas de gloría á la nación. En las jornadas de…</t>
  </si>
  <si>
    <t>…fecha de 3 i de Mayo último, en los términos siguientes: „Excmo. Sr.: Tengo la satisfacción de parrici -ar á V. E que las tro pas al mando de los coroneles D. Miguel de la Torre y D. Sebastian de la Calzada entraron en esta capital del vireinato el dia 6 del corriente, des pués que el pretendido gobierno y egcrciro la abandonaron, tomando en cLs &gt;rden diferentes direcciones para huir, dando lugar asi rara que este pue blo , en ia mayor parte fcl y…</t>
  </si>
  <si>
    <t>Sebastian, Juan Pablo</t>
  </si>
  <si>
    <t>Juan Pablo Sebastian</t>
  </si>
  <si>
    <t>…dos brigadas, al inundo la primera del coronel D.Quintín Vi lasco, y la segunda fiel teniente coronel D. Josef Giraldo , ambos ct mandantes de batallón. El del tercero el teniente coronel D. Juan Pablo Sebastian hacia de gefe del E. M. de dicha división; y el capitán graduado de teniente coronel D. Antonio Trias egercia iguales funciones en la destinada á la defensa, te niendo ambos á su inmediación el número de oficiales correspondiente á este servicio. Cada brigada…</t>
  </si>
  <si>
    <t>Sebastian-de</t>
  </si>
  <si>
    <t>…tonio González Alameda, D. Mateo de Eezaera y Zúíriga y el conde de Sarrtibañez , el asesor , abogados y promotor D. Vicente Amonio de la Grandara, D. Francisco Alfonso Rodríguez, D. Sebastian-de la*- Peñas y D. Sebastian de Iglesias el alguacil mayar D. Tomas Aibarran , el escribano D~ Pedro J3Iazquez. Tova l, el visitador D. Gerónimo Salgado, el escribana D. Francisco Yangiie j3ecerril&gt; los alcaldes que fueron del Espinar D. Juan</t>
  </si>
  <si>
    <t>Sebastiani, Horacio</t>
  </si>
  <si>
    <t>Horacio Sebastiani</t>
  </si>
  <si>
    <t>…que la describe con exactitud. El siguiente año de 809 fue encargado el exponente del mando en gefe del egército de la Mancha ; tuvo repetidas acciones parciales con el cuerpo del general Horacio Sebastiani, que estaba á su frente, siendo de notar que desde v el 5 hasta el 11 de Agosto del referido año, es decir, que en el espacio de seis dias tuvo cuatro muy serias, que lo fueron la de Arar.juez, en que las divisiones primera , segunda y tercera que mandaban lo…</t>
  </si>
  <si>
    <t>Seco, Pascual</t>
  </si>
  <si>
    <t>Pascual Seco</t>
  </si>
  <si>
    <t>…---------'—r-| i En virtud de providencia del Sr. D. León de la Cámara Cano, del conseja de S. M., teniente primero de corregidor de esta villa, y por la escribanía del núme ro de D. Pascual Seco, se han mandado sacar á pública subasta por i 5 dias mas dos casas sitas en la calle de la Hoz baja, señaladas con los números 5 y 6 de la man zana 7o , tasada la primera, que comprende 4987! pies cuadrados superficiales, en 42656 rs., y la segunda, que tiene…</t>
  </si>
  <si>
    <t>…ta cote. En virtud de providencia del Sr. D. Leen de ia Cántara Cano, del consejo de S. M., teniente primero de corregidor de esta heroica v lia, v por ia tscr’hnr a del número de D. Pascual Seco, se ha mandado sacar á.pública subasta por ícrodi.o de 30 dias un corral, sito extramuros etc 1 ponido de Lmha¡.ib&lt; res de 'jsta moma, villa, á la mano izquierda del camino que se dirige al puente de Toledo , cor: cr.•li tas, oficinas á él corresponden dentro…</t>
  </si>
  <si>
    <t>…dicho dia. En virtud de providencia del Sr. D. Joaquín de Almazan y Himeno, dei Con sejo de S. M., teniente corregidor de esta villa, refrendada del escribano del nú mero de ella D. Pascual Seco, se han vuelto á mandar sacar á pública subasta por término de 15 dias, contados desde 9 del presente, tres tierras extramuros de la puerta de Toledo, tasadas en la cantidad de 16036 rs. 22 mrs.: una á la izquierda de dicha puerta, frente á la casa matadero,…</t>
  </si>
  <si>
    <t>…cabala. Quien quisiere hacer puja acuda ante el Sr. D. Joaquín Almazan y Ximeno, del Consejo de S. AL, teniente corregidor de esta villa, por la escribanía de su número que egerce D. Pascual Seco, dentro de 10 dias, por cuyo término las ha mandado publicar el Real y supremo Consejo de Castilla, que se admitirán las que sé hicieren á todas juntas; y se ha señalado para nuevo remate el dia 29 del corriente á las 1 2 en la audiencia del mismo señor. Quie…</t>
  </si>
  <si>
    <t>Secre</t>
  </si>
  <si>
    <t>…. Total 69 millones de esterlinas, que hacen 1656 millones de francos. ESPAÑA. Madrid 6 de Marzo. ARTICULO DE OFICIO. El capitán general de Andalucía escribe por extraordinario al Sr. Secre tario del Despacho de la Guerra lo que sigue: Excmo. Sr.: Habiéndome remitido el capitán de este puerto el adjunto iarte, dispuse se ampliase lo posible la noticia de la toma de Cartagena de ndias, y en su consecuencia se me ha dado por la casa de los Sres. v…</t>
  </si>
  <si>
    <t>Secretario</t>
  </si>
  <si>
    <t>…parte que les toca sobre uno de los dos puntos, á fin de ponerla en su soberana noticia. Dios guarde á VV. SS. muchos años. Madrid n de Mayo de 1816. jReal orden comunicada por el Sr. Secretario de listado y del Despacho universal de la Guerra al Inspector general de América y~encargado de las expediciones de Ultramar D. Francisco Xavier Abadía , exis tente en Cádiz, y que se da al publico para que pueda servir de cono cimiento á los que se considere…</t>
  </si>
  <si>
    <t>…tan.” El brigadier D. Salvador Moxo, gobernador y capitán general interino de las provincias de Venezuela , con Fechas de 5 y 12 de Abril último desde Caracas dirige igualmente al Sr. Secretario del despacho de la Guerra los oñcios siguientes , dando ctoenta de las gloriosas acciones del Butaque y ll«muras de la Seyba, sanadas en 21 y 27 de Marzo anterior por las tropas del Rey sobre los rebeldes de aquellas provincias. i.° „ Excmo. Sr. *. A S. E. el…</t>
  </si>
  <si>
    <t>…R. logre y disfrute las felicidades y satisfacciones á que sus virtudes le hacen acreedor.” ARTICULO DE OFICIO. Circular del Ministerio de la Guerra a Con esta fecha comunico, al Sr. Secretario interino del Despacho de Gra cia y Justicia lo que sigue: „ En consecuencia de lo. que dije á V. E. con fecha de 16 de Marzo úl timo, ha hecho presente al Rey nuestra Señor la Cámara de Guerra , presi dida por su augusto Hermano el Sermo. Sr. Infante. D. Cárl…</t>
  </si>
  <si>
    <t>…o de entrar en el salón principió la música, y se levan tó el Sr. Infante D. Cárlos. La comitiva marchó de este modo hasta la pri meé gráda dél trono: entonces se acercó el Excmo. Sr. Secretario dé Esta do y del Despacho, que llevaba extendida el acta de entrega de ambas Es posas, la cual leyó en alta voz en los términos siguientes: „Ea el plació Real dé Madrid á 28 de Setiembre de 1816 en presencia</t>
  </si>
  <si>
    <t>Sedeño, Santos Martin</t>
  </si>
  <si>
    <t>Santos Martin Sedeño</t>
  </si>
  <si>
    <t>…lcalde del crimen de la chancillería de Valíadolid á D. Josef Benitez, asesor de la dirección general de la armada; y honores de auditor del tribunal de la Rota de la Nunciatura á D. Santos Martin Sedeño, canó nigo magistral de la Real iglesia colegiata de S. Ildefonso. Para el gobierno militar y político de la plaza del Ferrol ha nombrado S. M. al capitán de navio D. Joaquín Blanco Maldonado: para el corregi miento de Herrera del Rio Pisuerga á D. Eugenio Ma…</t>
  </si>
  <si>
    <t>Segovia, Fernando María</t>
  </si>
  <si>
    <t>Fernando María Segovia</t>
  </si>
  <si>
    <t>…parroquia de San Amador, y por los presbíteros D. Manuel Sánchez y Martos y D. Antonio Vénzala: otra de la villa de Mancha Real, del reino de Jaén, que represen taba su corregidor D. Fernando María Segovia, y los regidores D. Miguel Vico y D. Francisco del Corral; y otra de la villa y cabildo eclesiástico de Vilches en el mismo reino, compuesta de Juan Bautista López Monroy, D. Juan del Campo, D. Manuel del Moral, D. Alonso Molina, D. Fran cisco Martínez Hervas…</t>
  </si>
  <si>
    <t>Segovia, Josef Armesto y</t>
  </si>
  <si>
    <t>Josef Armesto y Segovia</t>
  </si>
  <si>
    <t>…de Guadalajara; D. Pascual Román, contador de Juros, y D. Francisco Mel garejo y D. Antonio Alonso , tesoreros de egército y Real hacienda de Cádiz. Idem de secretarios del Rey A D. Josef Armesto y Segovia, contador de Resultas de la contaduría mayor, y á D. Antonio Carrero, idem de título. Idem de tesorero de Egército A D. Josef Robelo, depositario de Rentas de Sanlúcar. POR LA SECRETARIA DEL DESPACHO DE MARINA. EN EL CUERPO GENERAL DE LA ARMADA. Cruces pensio…</t>
  </si>
  <si>
    <t>Seguí, Joaquín</t>
  </si>
  <si>
    <t>Joaquín Seguí</t>
  </si>
  <si>
    <t>43° halla ausente c!e esta corte, á D. Joaquín Seguí, abogado y residente en esta corte, calle de la Concepción Gerónima, y lo mismo se servirá hacer cualquiera persona que sepa donde para el citado ofiJa'l. Observaciones médico-políticas sobre la estimación, vicios y defectos que han tenido y tienen las profes…</t>
  </si>
  <si>
    <t>Segundo</t>
  </si>
  <si>
    <t>…estados, y D. Pablo Aviles, su secretario, con otros concurrentes distinguidos que asistieron al acto, presentó los discípu los D. Luis Mateos, D. Ildefonso y D. Ramón de Rovina, D. Segundo y D. Manuel Herrero para ser examinados: se dio principio por una elegante oración, que pronunció dicho Mateos, sobre las causas que impiden el ade lantamiento que los maestros desean en la pública educación: en seguida res pondieron todos alternativamente á las preguntas sobre…</t>
  </si>
  <si>
    <t>Seixo, Vicente del</t>
  </si>
  <si>
    <t>Vicente del Seixo</t>
  </si>
  <si>
    <t>…argo de D. Miguel Calvo García. Memorias históricas del ministerio del pulpito: su autor el Excmo. y M. R. P. Fr. Manuel del Cenáculo, obispo de Beja*. traducidas por el bachiller D. Vicente del Seixo &amp;c.: 2 tomos en uno: su .precio en pasta 20 rs. Se hallará en la librería de Castillo, frente S. Felipe el Real. Oficios de virtud que guian á la bienaventuranza*, compuestos en latín por el Dr. de la Iglesia S. Ambrosio, y traducidos al castellano por Diego…</t>
  </si>
  <si>
    <t>Selkirck</t>
  </si>
  <si>
    <t>…on suma destreza los nueve ba tallones de infantería y uno de artillería, con todo el tren de campaña. GRAN BRETAÑA. Londres 24 de Setiembre. Se ha hablado mucho de una empresa de lord Selkirck, quien habiendo comprado un inmenso territorio en el interior de la América septentrional, dio motivo á una especie de guerra entre sus colonos y los traficantes de pe leterías del Canadá. Un periódico de esta mañana dice: „Sabemos con mu cho sentimiento que…</t>
  </si>
  <si>
    <t>Selma, Fernando</t>
  </si>
  <si>
    <t>Fernando Selma</t>
  </si>
  <si>
    <t>…andar S. M. que se hiciese á beneficio de la instrucción púb.La que tanto anhela.__Las Citamos ion la» sumientes: El Pasmo de Si iba, de! original de Rafael de Urbíno, grabada por D. Fernando Selma, á 80 rs. vn-__ La bendición dejacobásus nietos, del original del Oücrchino, grabada por D. Rafael Esten; , á 60 rs---- La Caridad ro mana , del original de Murillo, grabada por D. Temas López Enguídanos, á 60 rs. ( Se cent ¡finará.') A. instancia de varios a…</t>
  </si>
  <si>
    <t>…n la imprenta Real. Diez vistas del Real Sitie de A-.aniuez,. dibujadas po** D. Dr min go de Aguirre, espitan del Real cuerpo ce Irgcnieros, grabadas por I&gt;. utl Salvador Carmena, D. Fernando Selma* y tires buenos profesores: cada rst¿ mpa a *0 rs. Estas estampas y las anunciadas c:¡ la gaceta antericr sets en pliego marca imperial. En pliego de marca mayor. La t; za dei Avestruz, original de Eoucner, primer pintor del Rey de 1* rancia Luís xv , grabada…</t>
  </si>
  <si>
    <t>…s estampas que se venden en la Real Calcografía, sita en Ja imprenta Real. Estampas en medio pliego de marca mayor. Retrato de Carlos v, por el original del Ticiano, y grabado por D. Fernando Selma , á 10 rs. ~F! San tísimo Sacramento con el,Padre Eterno y el Espíritu Santo, y varios atributos, cri bados por el mismo, á 6 rs. = Nuestra Señora de la Soledad de la Victoria, gri bada por, el mismo, á 6,rs. QSe continuará.') j *........* .............. ^ Po…</t>
  </si>
  <si>
    <t>Selonf, Josef Tuero y</t>
  </si>
  <si>
    <t>Josef Tuero y Selonf</t>
  </si>
  <si>
    <t>…acruz, como pensaba hacerlo en el ano de 1800; y en caso de haber fallecido, si dejó ó no hijos. Las personas que pudiesen.comuni car aigum de estas noticias se servirán hacerlo á D. Josef Tuero y Selonf, avecin dado en li ciudad de Murcia, calle de la parroquia de S. Miguel, núm. y. ■ Tratado teórico y práctico de la vacuna, que contiene en compendio el origen y los resultados de las observaciones y experimentos sobre la vacuna, con un exa men imparcial de s…</t>
  </si>
  <si>
    <t>Sema, Josefde la</t>
  </si>
  <si>
    <t>Josefde la Sema</t>
  </si>
  <si>
    <t>…is Pacheco, ayudante del capitán generaí del Nuevo-Réino de Granada, sugeto de valor acreditado, y cuatro mari neros ; distinguiéndose mucho el teniente de navio de la Real armada D. Josefde la Sema , que mandaba nuestras fuerzas sutiles, manifestando sus co nocimientos y bizarría. Las enemigas anochecieron fondeadas en lííiea de circunvalación de ellas. „En vista de la obstinación de los enemigos, y que por lk posición qüé habían tomado nos impedían la…</t>
  </si>
  <si>
    <t>Semellé</t>
  </si>
  <si>
    <t>ICC&gt;3 do los siguientes: el teniente general Semellé, gobernador antiguo de Strasburgo; el general Schneider, gefe que fue del estado mayor general del egército del Rhin, bajo las órdenes del general conde de Rapp, y los generales Amey y Grouvelle. ESPAÑA. Santander 4 de Agosto. El ilustre ayuntamiento de esta…</t>
  </si>
  <si>
    <t>Senosiain, Pedro Antonio</t>
  </si>
  <si>
    <t>Pedro Antonio Senosiain</t>
  </si>
  <si>
    <t>…parará el perjuicio que haya lugar. 1, Quien supiere el destino actual ó paradero del cirujano T&gt;. Jaime de Salp. que ha residido en la ciudad de Córdoba, se servirá comunicarlo á D. Pedro Antonio Senosiain, que vive calle de la Montera, núm 30, cuarto principal, para que este pueda participar á dicho D. Jaime un asunto favorable que debe interesarle. Elogio á la ínclita ciudad de Zaragoza por su heroica resistencia contra la ínjus ta invasión de los franceses,…</t>
  </si>
  <si>
    <t>Ser, Juan</t>
  </si>
  <si>
    <t>Juan Ser</t>
  </si>
  <si>
    <t>…ia 40 El arcediano de Avila 5 . El doctoral 23. El maestrescuela 40. D. Josef Tejero 20. D. Fernando Cerrudo 20. D. Miguel Cantero 70. D Andrés Calvedo 40. D. Victoriano Vacas 46. D. Juan Ser na 40. D. Felipe Raguimido 40. D. Diego Veruega 44^ E! lectoral 23. Don Julián Ga.scueña 46. D Antonio Arguello 48. D. Ramón Orachea 48. Don Fernando Perez 2o. Sr. Corrales, racionero de aquella santa iglesia, 20. El cura de S. Juan 20. El beneficiado de Grac…</t>
  </si>
  <si>
    <t>Seras, Lorenzo de</t>
  </si>
  <si>
    <t>Lorenzo de Seras</t>
  </si>
  <si>
    <t>…Avoin Coronel en efectos y dinero 360. D. Manuel Cisneros 200. D. Anto nio Echenique 140. D. Josef Perez 40. D. Fructuoso Tejedor 30. D. Josef Lozano 30. D. Victorio Valtierra 30. D. Lorenzo de Seras 30. El coman dante de las armas 138. El contador y subalternos 60. El tesorero de ren ta' 23. ES administrador de rentas 23. D. Pedro Azaituno 30. El corregidor interino 24. 1). ‘Ensebio Hernández 70. D. Vicente Crespo 20. D. Gregorio N ieto 20. D. Lorenzo Mu…</t>
  </si>
  <si>
    <t>Serralde, Francisco</t>
  </si>
  <si>
    <t>Francisco Serralde</t>
  </si>
  <si>
    <t>…años. Palacio 30 de Diciem bre de 18 í 4s. Habiendo el Sr. Duque del Infantado informado y recomendado al Rey los buenos servicios y singulares méritos que ha contraído en Londres Don Francisco Serralde á favor de la causa del Rey y de la patria, ya en el des empeño de la comisión que llevó á aquella corte, como en la desgraciada suerte que le acarreó su buen zelo y buenos deseos, sufriendo personalmente un arresto por la causa pública, ha determinado S. M.…</t>
  </si>
  <si>
    <t>Serrano'Sánchez, Josef</t>
  </si>
  <si>
    <t>Josef Serrano'Sánchez</t>
  </si>
  <si>
    <t>…ha servido nombrar para !a djgnidád dé. maestrescuela de ih santa iglesia catedral de Chiapa, ert Goátemala, por promoción dé D. Agus tín Maza y Paz á la de chantre de la misma, á D. Josef Serrano'Sánchez; y para la dignidad de arcediano de la santa iglesia catedral de Valladolid de Mechoacan, por fallecimiento de D. Mariano Escando y Llera , á D, Ma nuel de la Barcena. . ; Igualmente se ha servido S. M. nombrar para una plaza de oidor de la audiencia de Charc…</t>
  </si>
  <si>
    <t>Serrano, Josef</t>
  </si>
  <si>
    <t>Josef Serrano</t>
  </si>
  <si>
    <t>…métrica; después midieron y probaron las cuatro principales especies db versos latinos; ve-rtíeron á este idioma , imitando el escrito de Julio Cesar, al gunos-trozos castellanos. D. Josef Serrano, el mas adelantado de la clase pri mera, por principio del egetcicio de la tarde declamó en latín por espacio de 22 minutos contra los principales abusos introducidas en- la enseñanza a£e la lengua latina. Siguióse otro diálogo sobre la sintaxis elegante, sob…</t>
  </si>
  <si>
    <t>Serrano, Josef Antonio</t>
  </si>
  <si>
    <t>Josef Antonio Serrano</t>
  </si>
  <si>
    <t>…de ía cámara á D. Josef Ruiz Barriopedro: para una plaza de oidor de la audiencia de Ex tremadura á D. Demetrio Ortiz , alcalde del crimen mas antiguo de ella: para esta resulta á D. Josef Antonio Serrano; y para otra de alcalde del crimen de la misma audiencia á D. Josef Olivas y Denia, oidor de la de Canarias, Asimismo se ha dignado nombrar S. M. para el corregimiento de letras de la ciudad de Avila al auditor de guerra D, Mariano Ruiz Lorenzo: para el de To…</t>
  </si>
  <si>
    <t>Serrano, Manuel</t>
  </si>
  <si>
    <t>Manuel Serrano</t>
  </si>
  <si>
    <t>…te Gil de Taboada, gober nador intendente de la provincia de Truxillo en el vireinato del Perú. Por Real resolución á consulta de la Cámara se ha servido nombrar S. M. al teniente coronel D. Manuel Serrano para la vara de alcalde mayor de la villa de Puerto Real, de segunda clase ó ascenso. Ityíercurio de España. Enero de 18 x ó. Véndese á 4 rs. en el despacho de la imprenta Real. Se subscribe en dicho despacho, y e» las provincias en todas las ad ministracione…</t>
  </si>
  <si>
    <t>Serrano, Manuel Martin</t>
  </si>
  <si>
    <t>Manuel Martin Serrano</t>
  </si>
  <si>
    <t>…os niños pudientes contribuyen todos los meses con un real los de leer y dós los de escribir. Los pre tendientes dirigirán sus solicitudes al ayuntamiento por medio desu escribano Don Manuel Martin Serrano hasta fin de Noviembre próximo. ■ _ Consulta que.D. Juan Pablo Forner , como fiscal que era de la audiencia de Se villa, hizo al supremo Consejo de Castilla, sobre que debían representarse come dias en la ciudad del Puerto de Sta. María, sin embargo de habers…</t>
  </si>
  <si>
    <t>Serrano-, Manuel</t>
  </si>
  <si>
    <t>Manuel Serrano-</t>
  </si>
  <si>
    <t>…Olozaga, D. Cosme Giménez de Anti1100,0. Cosme Cordon, O. Cayetano Barosa, D. Angel de las Heras, Don Manuel Vega , D. Roque Alonso, Di Felipe Saiuz Robles, D. Valentín. Alonso y D. Manuel Serrano-</t>
  </si>
  <si>
    <t>Servidori, Domingo</t>
  </si>
  <si>
    <t>Domingo Servidori</t>
  </si>
  <si>
    <t>…Señor tiene determinado. Continuación de las estampas que se venden en la Real Calcografía, sita en la imprenta Real. Estampas en cuartilla demarca mayor. Muestras de escribir por Don Domingo Servidori, grabadas por D. Lorenzo Mansilla, á real cada una.:z:Estampa de la Iglesia triunfante, grabada por D. Juan Antonio Carmena, á g rs. — Es tampa de la alegoría de la misa, grabada por el mismo, á 3 rs.z: ü Madre del di vino Redentor, dibujada por A. Ciraroli,…</t>
  </si>
  <si>
    <t>Severoii</t>
  </si>
  <si>
    <t>…Ju'io. S. M. acaba de hacer comendador de la orden de S. Esteban de Hungría a A. de Lebzeltern , su embajador en la corte de Portugal, y caballero que era ya de la misma orden. El cardenal Severoii, nuncio de S. S. , ha tenido una larga conferencia con el Príncipe Metternich, á quien ha entregado la dispensa para el ma trimonio del Príncipe Leopoldo de las Dos Sicilias con la Archiduquesa</t>
  </si>
  <si>
    <t>Sevilla, Antonio Ramírez de</t>
  </si>
  <si>
    <t>Antonio Ramírez de Sevilla</t>
  </si>
  <si>
    <t>…ivo 397351 rs. y 29 mrs. Madrid 30 de Setiembre. El dia 21 del corriente tuvo la honra de felicitar á S. M., y besar su Real mano con $1 plausible motivo de su matrimonio augusto, D. Antonio Ramírez de Sevilla, alcaide de primer voto de la villa de Lupion, reino de Jaén, expresándose asi: ,, Señor: Si de los casamientos de los Monarcas suele depender la pros peridad de las naciones, el que V. M. acaba de contraer asegura de tal ma nera la de sus vastos dominios por…</t>
  </si>
  <si>
    <t>Sevilla, Josef</t>
  </si>
  <si>
    <t>Josef Sevilla</t>
  </si>
  <si>
    <t>…Gelabert, D. Mateo Albornoz, D. Josef Oiozaga, D. Francisco Gascón, D. Tomas Ciscar, D. Francisco Ristori y D. Santiago Soroa. A alféreces de Navio los de Fragata D. Luis Romero, D. Josef Sevilla, D. Félix Martínez, D. Ildefonso Yoldi, D. Josef del Solar, D. Juan de Lerena, D. Pedro Teruel, D. Ber nardo Roca, D. Luis Roca, D. Manuel de Llanos, D. Juan Cervino y Don Miguel del Solar. jEn el cuerpo de Ingenieros. Para el grado de ingenieros en gefe al e…</t>
  </si>
  <si>
    <t>Sevillano, Marcelo</t>
  </si>
  <si>
    <t>Marcelo Sevillano</t>
  </si>
  <si>
    <t>…nta e! Sr. D. Josef Navarrete, ministro de la Rota , y sub director de la Real sociedad , quien abrió la sesión manifestando el objeto de ella. Fueron examinados D. Martin López , D. Marcelo Sevillano , D. Josef Trespuentes y D. Teiesforo Abascal, los cuales hicieron los egeroicios que prescribe el reglamento de esta escuela , en cuyo intermedio el socio protec tor de la misma D. Ramón Risei leyó un discurso relativo á las utilidades y vemajas de este arte…</t>
  </si>
  <si>
    <t>Sexto, Juan</t>
  </si>
  <si>
    <t>Juan Sexto</t>
  </si>
  <si>
    <t>…y Barcelona; Señor de Vizcaya y de Molina &amp;c. &amp;c. 6cc. Y de la Reina nuestra Señora Doña Isabel Francisca de Braganza, hija de los muy altos y poderosos Señores Reyes de Portugal D. Juan Sexto y Doña Carlota Joaquina de Borbon , Infanta de España: de S. A. el Sermo. Sr. Infante D. Carlos María Isidro, y de la Serma. Sra. Infanta Doña María Francisca de Asís, her mana de la Reina nuestra Señora; D. Pedro Alvarez de Toledo, conde de Miranda , grande de España de primera clase, caball…</t>
  </si>
  <si>
    <t>Si, Ramón</t>
  </si>
  <si>
    <t>Ramón Si</t>
  </si>
  <si>
    <t>…l término señalado ante, el citado señor juez comisionado y escribanía del número del cargo de D. Jacobo Manuel Manrique. H abiéndose cometido la egecucion de una Real facultad al Sr. D. Ramón Si tué, del consejo de S. M., alcalde en su Real casa y corte, se ha mandado por pro* videncia de 2 del corriente sacar á pública subasta por término de 30 dias una casa sita en esta corte, calle angosta de S. Bernardo, núm. 50, manz. 290, que tiene de sitio 221…</t>
  </si>
  <si>
    <t>Sicilia, Josef María</t>
  </si>
  <si>
    <t>Josef María Sicilia</t>
  </si>
  <si>
    <t>…res au tores depura latinidad en prosa y verso, midiendo y calificando toda clase de versos ,y contestando á todas las objeciones que sede propusieron. Al dia si guiente el alumno D. Josef María Sicilia dió principio al acto con. otro dis^curso latino, reducido á probar que no puede ser orador perfecto el que ca rezca de ios preceptos de la retórica. Concluidos los egercicíos de estos dos alumnos, que desempeñaron con gusto: y admiración del inmenso concursa…</t>
  </si>
  <si>
    <t>Sicilia, Simón</t>
  </si>
  <si>
    <t>Simón Sicilia</t>
  </si>
  <si>
    <t>…zapadores D. Sebastian Díaz les estoy muy reconocido, al pri mero porque dirigió la acción en que se derrotó á los enemigos en la isla dei Barú con ei capitán del batallón del Rey D. Simón Sicilia, habiéndose tam bién acreditado en otras operaciones de mar, y al segundo por su constancia y energía en la acción que mandó, apoderándose de toda la flotilla que con ducía víve/es á la plaza y del infame asesino Sanarusia que la mandaba. „E1 brigadier D. Ped…</t>
  </si>
  <si>
    <t>…gimiento infantería de la Victoria, D. Donato Ruiz de Sta. Cruz , idein de granaderos del regimiento del Rey, D. Miguel Andrés Fresno , capitán graduado de húsares de Fernando vn, D. Simón Sicilia, capitán del regimiento del Rey, y D. Sebastian Díaz, ídem de Zapa dores , grado de teniente coronel: á D. Joaquín Cornijo , teniente de cazado res de Barbastro, empleo de capitán efectivo : á D. Gregorio Valiente, tenien te de cazadores de Castilla, D. Manue…</t>
  </si>
  <si>
    <t>Sidinouth</t>
  </si>
  <si>
    <t>…15 de este mes hubo en las inmediaciones de esta capital, en el sitio lla mado Spa-fields , una reunión sediciosa de gentes del populacho, con cuyo mo tivo se juntaron en casa de lord Sidinouth, ministro del Interior, lord Bathursr , lord Liverpool, Mr. Wellesley-Pole y Mr. C. Long, y hubo dife rentes comunicaciones entre aquel ministerio y el Príncipe Regente. Durante</t>
  </si>
  <si>
    <t>Sidmouth</t>
  </si>
  <si>
    <t>47$ • ' piído en 5 de Enero de 1815 , y en el que cumplió en 5 de Enero de 1816 otra caja al firmarse un tratado. Por el vizconde Sidmouth, secretario de Estado en el departamento del Interior, una sortija del Emperador de Rusia en el ano que cumplió en 5 de Enero de 1815 , y en el año que cumplió en 1816 nada. •' ••• Los regalos de la cancillería en el año que cumplió en Enero de 1815 han sido…</t>
  </si>
  <si>
    <t>…nete convocado por lord Castlereagh , y compuesto de este noble lord ,del lord canciller, del canciller del Lehiquier , de los con des de Liverpool, Weitmoreland y Bathurst, y del vizconde Sidmouth. La sesión duró hasta las cinco. £1 Príncipe Regente, que se halla indispuesto hace dos dias, está hoy muy mejorado. _ ESPAÑA. Afiidrid de Setiembre. El miércoles 4 del corriente se dignó S. M., acompañado de los Serenísi mos Sres. Infantes, visitar su Real B…</t>
  </si>
  <si>
    <t>Sierra, Antonio</t>
  </si>
  <si>
    <t>Antonio Sierra</t>
  </si>
  <si>
    <t>ii 32 Graduaciones. De comisarios de Guerra á los oficiales primeros D. Josef Martínez "Pazos, D. Antonio Sierra y D. Narciso Fernandez Matamoros; graduación de ofi cial primero al segundo D. Josef Fernandez Tauste; graduación de segundos á los terceros D. Joaquín María Prieto y D. Mariano Faquineto ; graduación de terceros á los cuartos D. Tomas Subiela y D. Francisco Sanz Andino Lavaggi; graduación d…</t>
  </si>
  <si>
    <t>Sierra, Francisco Fernandez de</t>
  </si>
  <si>
    <t>Francisco Fernandez de Sierra</t>
  </si>
  <si>
    <t>…s, para que contri buyan eficazmente á las paternales miras de tan benéñeo Sebera no. Almagro jo de May o. El ilustre ayuntamiento de esta ciudad , de acuerdo con su presidente el Sr. D. Francisco Fernandez de Sierra, coronel de-lqs Reales egércitos, ca ballero de las órdenes militares.de Calatrava y S. Hermenegildo, y gober nador político y militar, ha celebrado á sus expensas una magnifica y solem ne función religiosa en la iglesia parroquial de S Bartolomé el Reai en f…</t>
  </si>
  <si>
    <t>…sultados.” El día 12 del pasado tuvieron la honra de felicitará S. M. y A. en nom bre del ayuntamiento de la ciudad de Almagro, capital del campo de Cala-^ trava, su gobernador el coronel D. Francisco Fernandez de Sierra, caballe ro de las Reales órdenes de caballería de Calatrava y de la militar de San Hermenegildo; el teniente coronel D. Félix Perez de Guzman, secretario mi litar y político de la capitanía general de Castilla la Nueva, y el de igual clase D. Mariano Perez d…</t>
  </si>
  <si>
    <t>…rid i § de Noviembre. El 23 de Setiembre, á la llegada de S. M. la Reina y S. A. Ja Serma. Sra. Infanta á Sta. Cruz de Múdela, tuvieron á bien recibir á besar siiá Reales ma nos á D. Francisco Fernandez de Sierra, coronel de los Reales egércitos, ca ballero profeso de la orden de Calatrava y de la de S. Hermenegildo, con decorado con las cruces deTalavera, segundo egército y estrella del Norte, y gobernador político y militar de la ciudad de Almagro y su partido, que…</t>
  </si>
  <si>
    <t>Sierra, Ildefonso de</t>
  </si>
  <si>
    <t>Ildefonso de Sierra</t>
  </si>
  <si>
    <t>…il, D. Antonio Casano , sargento mayor de Artillería graduado de teniente coronel , D. Manuel Barreiro", capitán de Artillería ídem , D. Juan Camacho, capitán de Ingenie ros ídem, D. Ildefonso de Sierra, teniente coronel del regimiento infantería de la Victoria , D. Rafael de Zúñiga, teniente coronel de milicias disciplina das de Sta. Marta, al teniente coronel D. Manuel Zequeira, gobernador in terino de Sra. Marta, y al de la misma clase D, Gonzalo de Arame…</t>
  </si>
  <si>
    <t>Sierra, Ramón Antonio</t>
  </si>
  <si>
    <t>Ramón Antonio Sierra</t>
  </si>
  <si>
    <t>…da en 28 del pasado, y refren dada por el escribano de provincia y comisiones de la misma D. Luí» López de Cas tro, por la cual se cita, llama y emplaza á todos los acreedores del Sr. D. Ramón Antonio Sierra, caballero de la Real y distinguida orden de Cirios ni, que hasta el dia no se han mostrado parte, para que en el preciso término de 30 dias, conta dos desde el en que salga en la gaceta de esta corte, que por último y perentorio se les concede, lo egecutrn e…</t>
  </si>
  <si>
    <t>Sigüenza, Mariano</t>
  </si>
  <si>
    <t>Mariano Sigüenza</t>
  </si>
  <si>
    <t>…lla de honor pendiente de un collar se distribuyeron 12 á los niños y 7 á las niñas. En la clase de dibujo fueron premiados D. Juan Elío con una medalla de plata emblemáti-i ca, y D. Mariano Sigüenza con 100 rs., ambos discípulos de la Real aca^ demia de Nobles Artes de S. Cárlos. En el mismo acto de la distribución ce dieron la parte pecuniaria del premio D. Juan Bautista Genoves, D^Bernar do Morera, D. Antonio Cervero, D Gregorio Sech, D. Antonio Iractb…</t>
  </si>
  <si>
    <t>Siiazar, Antonio López de</t>
  </si>
  <si>
    <t>Antonio López de Siiazar</t>
  </si>
  <si>
    <t>…e tiene de sitio 2436 pies cuid ados superficiales, y se halla tas»da en 24512 rs. vn. Quien quisiere bicer postura á ella acuda ante di cho señor juez y escribanía del suaicro de D. Antonio López de Siiazar» que se id ñutirá siendo aneciada. Con intervención del Sr. D. León de la Cámara Cano, del consejo de S M., y corregidor interino de esta heroica villa de Madrid, se venden las fincas siguientes: en el Real sitio de S. Lorenzo una casa sita en la calle del Re…</t>
  </si>
  <si>
    <t>Siinourh</t>
  </si>
  <si>
    <t>…ngeros: añadió también que en esta oticina había un registro de ellos; y habiendo preguntado lord Hoiland si convendría nom brar comisarios para examinar dichos registros, observó lord Siinourh que es to no debía verificarse mientras no hubiese motivos suficientes para ello, y que en el dia no existían. Parece difícil de explicar el furor que h3n manifestado los individuos de la oposición contra esta ley tan conforme á los principios del derecho pub…</t>
  </si>
  <si>
    <t>Silva, Amadeo de</t>
  </si>
  <si>
    <t>Amadeo de Silva</t>
  </si>
  <si>
    <t>…7 de Enero de i8i6.=Josef de Ibarra. * Eí Rey nuestro Señor se ha servido promover á brigadier gefe de escuefa del departamento de artillería de Barcelona al coronel de dicha arma Don Amadeo de Silva. También se ha servido S. M. nombrar coronel del regimiento provincial de Cuenca al sargento mayor del de Salamanca, graduado de teniente coro nel D. Luis María Losada* . ~</t>
  </si>
  <si>
    <t>Simarro, Antonio</t>
  </si>
  <si>
    <t>Antonio Simarro</t>
  </si>
  <si>
    <t>…villa de Ocaña , sedignaron admitir á besar sus Reales manos al ayuntamiento y clero, en cu yo nombre tuvieron la honra de felicitar á S. M. y A. R. D. Ignacio Bravoy Viilasante, D. Antonio Simarro y D. Gregorio Manuel de Huelves. Til dia 6 del corriente tuvieron la honra de besar la mano á S. M. y cum plimentarla, pqr. su augusto-.matrimonio, y. íciiz. llegada*de: la Rejlná nuestra</t>
  </si>
  <si>
    <t>Simeón</t>
  </si>
  <si>
    <t>…es el siguiente, sea presentado en nuestro nombre á la Cámara de los Par $ por nuestro ministro secretario de Estado en el departamento del Interior, y por el consejero de Estado,barón Simeón, á quienes encargamos que expongan los motivos de dicho pfoyecto, y sostengan su discusión. art. i.° ,,Cualquiera establecimiento eclesiástico legalmente autorizado podrá aceptar con beneplácito del Rey todos los bienes muebles, inmuebles 6 rentas que le sean…</t>
  </si>
  <si>
    <t>Simón</t>
  </si>
  <si>
    <t>…° de Se tiembre dé 1809 de 150 pesosnúmerbs 188814 7 166293, á D. Joséf Martí y compañía: ótiro dé idem.idem, núm*! 90966,Jt). Josef Romero Campoi otro dé ídem ídem ,'núm.'195048á D. Simón dtf 'Agreda, ot?6 ídem de ídem, número 1561 29, á D. Juan Caraballo y Verá; y otro ídem de idem, núni. 191620, á Don Ramón Maresch. ; - : Se ha la va:ante la plaza de uno de los dos médicos de-la villa de Caudete, rei no de Murcia ,..;que ,vale 6© rs. al añcf…</t>
  </si>
  <si>
    <t>Simouth</t>
  </si>
  <si>
    <t>…ado por entero para hacer ver que reina entre las dos cortes la mejor inteligencia. Se repite la noticia de una mudanza en el ministerio. Dícese que se reti rarán lord Liverpool y lord Simouth ; que el primero será reemplazado por lord Castlereahg, quien ascenderá á la dignidad de par, y que el segundo será substituido por el marques de Wellesley, debiendo suceder Mr. Canning á lord Castlereagh. Idem 22. El fcónde de Donoughmore hizo ayer en la cám…</t>
  </si>
  <si>
    <t>Sinner</t>
  </si>
  <si>
    <t>…ilitado la fuga de Mr. de Lavalette. Los señores Wilson, Bruce y Hutchinson pasan al mismo tribunal por igual motivo. El general Becker, que condujo á Bonaparre á la Rochela, y el general Sinner han recibido orden de salir de Clermont. El primero debe ir a Poitiers y el segundo á Marsella. Se dice que el cardenal Mauri, á quien el Papa ha di jado la libertad de imponerse la pena en que ha incurrido por su desobediencia á las órdenes de S. S., ha soli…</t>
  </si>
  <si>
    <t>Sisternes, Vicente</t>
  </si>
  <si>
    <t>Vicente Sisternes</t>
  </si>
  <si>
    <t>…como V. A. R. merece, y la hermandad desea." El dia 19 del actual se presentaron á felicitar al Rey nuestro Señor por su futuro enlace, á n mbre de la ciudad de Matará , los Sres. D. Vicente Sisternes , caballero d la Real distinguida orden española de Carlos 111, D. Joa quín Si ^ernes, d.l Cornejo de S. \1. en el supremo del Almirantazgo, y Don Pedro Sisternev, gemilhombr;’ de cámara de S. M.; y el primero dijo: ,, Sv ñor : La acendrada lealtad de vuestra…</t>
  </si>
  <si>
    <t>Sisternev, Pedro</t>
  </si>
  <si>
    <t>Pedro Sisternev</t>
  </si>
  <si>
    <t>…ará , los Sres. D. Vicente Sisternes , caballero d la Real distinguida orden española de Carlos 111, D. Joa quín Si ^ernes, d.l Cornejo de S. \1. en el supremo del Almirantazgo, y Don Pedro Sisternev, gemilhombr;’ de cámara de S. M.; y el primero dijo: ,, Sv ñor : La acendrada lealtad de vuestra ciudad de Mataró quedó sellada con la sangre de sus hijos, vertida tantas veces en defensa de los derechos de V. M : el comíame amor á la augusta Persona de V. M.…</t>
  </si>
  <si>
    <t>Smith</t>
  </si>
  <si>
    <t>…estinado á hacer descubrimientos en el inte rior de Africa, subiendo el rio Zaire ó Congo, está prontói. dar la vela. En tre los sabios que deben ir en esta expedición se halla el profesor Smith, de Cristiania en Noruega, geólogo y botánico distinguido. FRANCIA. París 2 8 de Febrero. Parece que se abrirá suscripción á una obra intitulada: Tesoro de la her¿ mesa lengua toscana , que'va á publicar Mr. G. Biagioü, con notas gra maticales ^analíticas y l…</t>
  </si>
  <si>
    <t>Soasaga, Ventura Tagle</t>
  </si>
  <si>
    <t>Ventura Tagle Soasaga</t>
  </si>
  <si>
    <t>…o Martínez , contador de la tesorería gen. ral ;;D. Pedro Vázquez Balles teros, ministro de la Audiencia de Aragón ; D. Josef Ruiz de Copegni, vocal que fue de la junta de Burgos; D. Ventura Tagle Soasaga, racionero de la catedral de Lima; D. Francisco Florencio de Olazabal, vecino de Sevilla; D. JosefPerez de Rosas, corregidor de Logroño; D. Juan Jabat, ministró plenipotencia io en Constantinopla; D. Josef Iznardi, ministro residente en Hamburgo; D. Josef Ant…</t>
  </si>
  <si>
    <t>Sobrado, Felipe de</t>
  </si>
  <si>
    <t>Felipe de Sobrado</t>
  </si>
  <si>
    <t>…de Ayestarán, Secretario del Rey nuestro Señor, lo hice escri bir por su mandado. = D. Gonzalo Josef de Vilchcs. = D. Manuel de Tor res. =:D. Tadeo Gómez. ssD. Josef Montemtyor. = D. Felipe de Sobrado. 2 Registrada., Aquilino Escudero.2Teniente de Canciller mayor» Aquilino Escudero. S. M. ha tenido á bien, conformándose con la consulta de la cámara de Indij«, aprobar la permuta que de sus respectivos destinos propusieron Don Pas ual Castaño, electo alcalde…</t>
  </si>
  <si>
    <t>Sobrado, Pedro Antonio de</t>
  </si>
  <si>
    <t>Pedro Antonio de Sobrado</t>
  </si>
  <si>
    <t>…la juventud , basta mirar el cuadro que en el dia presenta el Real sitio de S. Fernando. Sumergidos los niños en la ignorancia por falta de buenos maestros, hizo presente á S. M. D. Pedro Antonio de Sobrado, teniente gobernador, admi nistrador y guarda mayor de dicho sitio, cuan necesario era proveer de un maestro de primeras letras que los educase, no soto en los rudimentos de la lengua, sino también en los principios de la religión; y penetrado su Real corazón…</t>
  </si>
  <si>
    <t>Sobrino, Pedro Orduña y</t>
  </si>
  <si>
    <t>Pedro Orduña y Sobrino</t>
  </si>
  <si>
    <t>….° de Setiem bre de 1809, señalados con los números 9771 , 133657, 138689 y 141058: i r&gt;. J uan Vilartinío, que lo es de otro vale de la misma creaci. n y valor número 138824; y á D. Pedro Orduña y Sobrino, de otro de 150 pesos de la propia crea ción número 197748, para que en el término de 30 dias, contados desde 26 del corríante, comparezcan á su juzgado y escribanía del número de D. Antonio Ló pez de Salazar á deducir las acciones y derechos que les competa…</t>
  </si>
  <si>
    <t>Solanich, Francisca</t>
  </si>
  <si>
    <t>Francisca Solanich</t>
  </si>
  <si>
    <t>…de Francia se fugó para restituirse á España, hijo de D. Narciso Solanich, catedrático del colegio de Burgos de medicina, de edad de 16 á 27 años, se servirá avisarlo á su hermana Doña Francisca Solanich, que reside en Zaragoza, calle del Coso, casa de los Gigantes. Si existen D. Silverio Guerra, cura que era de la Hínojosa del Valle en Mayo de 1800, y Juan de Alava Fernandez, vecino que era en dicho año de Ortigosa, provincia de Soria, ó en su defecto sus he…</t>
  </si>
  <si>
    <t>Solanich, Narciso</t>
  </si>
  <si>
    <t>Narciso Solanich</t>
  </si>
  <si>
    <t>…50841. Si alguno supiere el paradero de D. Francisco Xavier Solanich y Boada, que quedó prisionero en la toma de Gerona, y desde Francia se fugó para restituirse á España, hijo de D. Narciso Solanich, catedrático del colegio de Burgos de medicina, de edad de 16 á 27 años, se servirá avisarlo á su hermana Doña Francisca Solanich, que reside en Zaragoza, calle del Coso, casa de los Gigantes. Si existen D. Silverio Guerra, cura que era de la Hínojosa del Val…</t>
  </si>
  <si>
    <t>Solano, Alanuel de</t>
  </si>
  <si>
    <t>Alanuel de Solano</t>
  </si>
  <si>
    <t>…de Doña Isabel María Casatnayor, se cita, llama y emplaza á los herederos ausentes de Don Juan Francisco Solano, que parece son los hijos de D. Bartolomé Solano, los here deros de D. Alanuel de Solano y Doña Paula Solano, que se halla casada con Don Martin Antonio Guizi, para que en el preciso término de 20 días, contados desde esta publicación, se presenten en el juzgado de dicho señor y escribanía citada por medio de procuradores y con poder bastante y la debida direccu*.n…</t>
  </si>
  <si>
    <t>Solano, Bartolomé</t>
  </si>
  <si>
    <t>Bartolomé Solano</t>
  </si>
  <si>
    <t>…e provincia y comisiones, á instancia, de Doña Isabel María Casatnayor, se cita, llama y emplaza á los herederos ausentes de Don Juan Francisco Solano, que parece son los hijos de D. Bartolomé Solano, los here deros de D. Alanuel de Solano y Doña Paula Solano, que se halla casada con Don Martin Antonio Guizi, para que en el preciso término de 20 días, contados desde esta publicación, se presenten en el juzgado de dicho señor y escribanía citada por medio…</t>
  </si>
  <si>
    <t>Solano, Juan Francisco</t>
  </si>
  <si>
    <t>Juan Francisco Solano</t>
  </si>
  <si>
    <t>…o , refrendada de Don Luis López de Castro, escribano de provincia y comisiones, á instancia, de Doña Isabel María Casatnayor, se cita, llama y emplaza á los herederos ausentes de Don Juan Francisco Solano, que parece son los hijos de D. Bartolomé Solano, los here deros de D. Alanuel de Solano y Doña Paula Solano, que se halla casada con Don Martin Antonio Guizi, para que en el preciso término de 20 días, contados desde esta publicación, se presenten en el juzg…</t>
  </si>
  <si>
    <t>Solar</t>
  </si>
  <si>
    <t>…un público é imponente castigo de tan execrable y pernicioso traidor en el lugar mismo en que empezó á urdir y tejer la funes ta tela de sus crímenes, le despaché desde Ayoayo al capitán Solar, coman dante de una compañía de la guarnición de dicha ciudad, que el mismo go bernador me había remitido hasta Caracollo para escoltarme en 'mi tránsito por su provincia, con un piquete de la misma ; previniéndole se lo entregara bien asegurado con prisiones…</t>
  </si>
  <si>
    <t>Solar, Josef del</t>
  </si>
  <si>
    <t>Josef del Solar</t>
  </si>
  <si>
    <t>…sco Gascón, D. Tomas Ciscar, D. Francisco Ristori y D. Santiago Soroa. A alféreces de Navio los de Fragata D. Luis Romero, D. Josef Sevilla, D. Félix Martínez, D. Ildefonso Yoldi, D. Josef del Solar, D. Juan de Lerena, D. Pedro Teruel, D. Ber nardo Roca, D. Luis Roca, D. Manuel de Llanos, D. Juan Cervino y Don Miguel del Solar. jEn el cuerpo de Ingenieros. Para el grado de ingenieros en gefe al en segundo D, Vicente Manterola y D. Joaquín María Perl., A…</t>
  </si>
  <si>
    <t>Soler, Tadeo</t>
  </si>
  <si>
    <t>Tadeo Soler</t>
  </si>
  <si>
    <t>…los de los castillos, sin que puedan socorrerse con tropas ó víveres sino con gran riesgo; con tai felicidad por nuestra parte, que no hubo mas desgracias que Jas ya referidas. Eí Sr. D. Tadeo Soler, del consejo de S. M., alcalde decano de la Real casa y corte, juez de la quiebra de Lloret y Sobrino,de Zaragoza, refundida en la de Cal vo y Manota, de Madrid, radicada en la escribanía de provincia de D. Juan Garri do, se ha servido convocar á junta genera…</t>
  </si>
  <si>
    <t>…de su buena vida y costumbres, y de los grados de revalida y doctor en farmacia, sin cuyos requisitos, y pasado dicho tér mino, no serán admitidos. Madrid i.° de Mayo de 1816. El Sr. D. Tadeo Soler, del consejo de S. M., alcalde decano de la Real casa y corte, á instancia de los señores síndicos nombrados por los acreedores á la testa mentaría del difunto Sr. D. Luis Fernandez Gonzalo del Rio, se ha servido señalar para nueva junta general el martes 4 d…</t>
  </si>
  <si>
    <t>…e las Tullerías á cum plimentar á S. M. ESPAÑA. 0 Madrid 77 de Mayo. El día 6 del corriente tuvieron la honra de presentarse á cumplimentar á S. M. á nombre de la ciudad de Lérida D. Tadeo Soler, alcalde decano de su Real casa y corte; D. Francisco Xavier Fulgosio, segundo teniente de Reales Guardias Walonas, y D. Ignacio de Búfala, guardia de la Real Per sona; el primero de los cuales dijo: ,,Señor: Vuestra ciudad de Lérida, que á ningún pueblo de l…</t>
  </si>
  <si>
    <t>…otro* jo di s y hecho se vuelva á dar cuenta. La persona que qu'sie e hacer mejora á JiJn vara acuda antedicho señor teniente y escribanía del número de D. A’ej.inbo Gu ierrez. £1 Sr. D. Tadeo Soler, del Concejo de Si M. r alcalde decano de la Real casa y corte, se fii servido convocar á’junía general á Jos acreedores á la extinguida casi de D. Esteban Droizlhet y compañía para el domingo 29 de Setiembre'próximo á lis hueve de su mañana én la posada de S…</t>
  </si>
  <si>
    <t>…del Conse-jo de S. M., su alcalde de casa y corte, y escribanía de provincia de D. Luis López de Castro, donde se admitirán las que hicieren siendo arregladas. Por providencia del Sr. D. Tadeo Soler, del Consejo de S. M. , alcalde decano de la Real casa y corte, se ha mandado sacar á pú Mica «ubasta por término de 30 dias, contados desde esta publicación, para pago de acreedores, tres casas contigua* pertenecientes á la testamentaría y ocurrencia de acre…</t>
  </si>
  <si>
    <t>Solis, Antonio</t>
  </si>
  <si>
    <t>Antonio Solis</t>
  </si>
  <si>
    <t>…a suelta i 80. Los cuadernos y retratos que contienen son los siguien tes : cuaderno i.°: D. Antonio Leiva, Ambrosio Morales, el P. Juan de Mariana, Fr. Lope Félix de Vega Carpió, D. Antonio Solis, y D. Nicolás Antonío.zrCuaderno 2.0: el cardenal Gil Albornoz, Gonzalo Fernandez de Córdoba , el gran du que de Alba, Arias Montano, D. Francisco Quevedo y Villegas, y D. Juan de Ferreras. —Cuaderno 3.0: Hernán Cortés, Garcilaso de la Vega, D. Alonso de Erci…</t>
  </si>
  <si>
    <t>Solis, Ramón María de</t>
  </si>
  <si>
    <t>Ramón María de Solis</t>
  </si>
  <si>
    <t>…putaciones de los ayuntamientos y cleros de los pue blos en donde hicieron alto, al paso por la villa de Valdepeñas, una diputación del ayuntamiento y clero, en cuyo nombre el Br. D. Ramón María de Solis, cura párroca de ella, tuvo la honra de felicitar á S. M. y A, R. por su feliz arribo y venturosos enlaces. Al paso por Madridejos otra de su ayuntamiento y clero; y en seguida la del ayuntamiento de la viila de Alcázar de S. Juan , compuesta de D. Juan Josef…</t>
  </si>
  <si>
    <t>Somocurcio, Martin de</t>
  </si>
  <si>
    <t>Martin de Somocurcio</t>
  </si>
  <si>
    <t>…dental del se gundo escuadrón teniente coronel de egército D. Domingo Reboredo; el del teniente coronel de egército D. Manuel de Manzanéelo, y el del teniente co ronel de Milicias D. Martin de Somocurcio; el de los capitanes de cazadores D. Josef Mariano Perez del Portillo, D. Josef María Pereira y D. Juan Pose,</t>
  </si>
  <si>
    <t>Somonte, Francisco de Teredo</t>
  </si>
  <si>
    <t>Francisco de Teredo Somonte</t>
  </si>
  <si>
    <t>…idos, y hacer lo mismo con el ver nerabie cabildo, catedral y comunidades religiosas. Los pretendientes á esta plaza .remitirán sus memoriales al secretario del mismo ayuntamiento D. Francisco de Teredo Somonte, que los pasará á una comisión para tomar en tiempo los debidos informes. La religiosa mortificada: explicación del cuadro que la presenta con sus inscrip ciones tomadas de la sagrada Escritura, á que se añade el manual del alma religiosa, que es un compendio…</t>
  </si>
  <si>
    <t>Sorando, Pedro Josef</t>
  </si>
  <si>
    <t>Pedro Josef Sorando</t>
  </si>
  <si>
    <t>…rección de su maestro el P. Pedro Crespo de S. Joaquín , é introducidos por D. Josef Puerto y Valdemorp con! una cancioncira en que suplicaba la atención del auditorio..En seguida Don Pedro Josef Sorando pronunció un discurso sobre la utilidad del estudio de la. lengua latina, que agradó sobremanera por la materia y pureza del lengpage , y por la acción y serenidad del recitante. D. Francisco Aula pregunto en seguida las reglas de la sintaxis, después de lo q…</t>
  </si>
  <si>
    <t>SoravÜla, Joaquín</t>
  </si>
  <si>
    <t>Joaquín SoravÜla</t>
  </si>
  <si>
    <t>…1816. = A D. Pedro Cevallos. En el Real cuerpo de guardias de la Persona del Rey nuestro Señor se ha servido S. M. conferir el empleo de comandante de escuadrón supernu merario á D. Joaquín SoravÜla, exento del mencionado Real cuerpo, pro moviéndole al misino tiempo á brigadier de caballería de los Reales egércitos. Aviso ¿í los navegantes* Por noticias recibidas en la Dirección de trabajos hidrográficos estableci da en esta corte, se sabe que navegando…</t>
  </si>
  <si>
    <t>Soret, Víctor</t>
  </si>
  <si>
    <t>Víctor Soret</t>
  </si>
  <si>
    <t>…pués las Reales órdenes de 28 de Abril y 3 de Julio siguientes ; y enterado S. M. de él, y de los informes que ha tenido á bien tomar sobre el particular, se ha servido declarar á D. Víctor Soret acreedor á la consideración que mere ce por estar .acreditada su irreprensible conducta y buenos servicios , y pof el zelo y desinterés con que se lia conducido siempre en los negocios de sq cargo. De Real orden lo traslado á V. S. para su inteligencia y sati…</t>
  </si>
  <si>
    <t>Sorét, Víctor</t>
  </si>
  <si>
    <t>Víctor Sorét</t>
  </si>
  <si>
    <t>…fecho del mérito y .servicios deD. Josef Posadillo yPeñaredonda, Tesorero general en cesación, siendo justo desvanecer cualquiera no ta que haya podido padecer la buena opinión de D. Víctor Sorét por la exoneración de su destino de Tesorero general en 9 de Marzo de 1815 , he venido en nombrar nuevamente al expresado Soret para el mismo empleo con egercicio desde i.°de Enero próximo. Tendreisio entendido, y lo comu nicareis á quienes corresponda.” Lo t…</t>
  </si>
  <si>
    <t>Soria, Pedro Antonio de</t>
  </si>
  <si>
    <t>Pedro Antonio de Soria</t>
  </si>
  <si>
    <t>…s de trigo que le producirán las barbas que haga fuera de su casa, de lo cual parte cobrará la justicia y parte el mismo facultativo. Los pretendien tes remitirán sus memoriales á D. Pedro Antonio de Soria, secretario del número y de aquel ayuntamiento; en la inteligencia de que el día i.° de Junio debe quedar elegido el del mayor mérito, y empezará á asistir el día 24 del mismo mes. En el valle de Gordejuela, distante tres leguas de la villa de Bilbao, se hall…</t>
  </si>
  <si>
    <t>…s por el mismo facultativo, y se lo dan de buena calidad: tiene el pueblo 60 vecinos. Los interesados que quieran solicitarla dirigirán sus memoriales á la justicia por mano de su secretario D. Pedro Antonio de Soria en todo el presente mes de Junio. Teniendo que comunicar un asunto de intereses á D. Carlos Lagomarsino y Don J:iaa Bautista Montaldi, que en el año de 1787 vivían en esta corte, calle de la Montera, é ignorándose su existencia, ó si han fallecido y dejado he…</t>
  </si>
  <si>
    <t>Soria, Remigio González</t>
  </si>
  <si>
    <t>Remigio González Soria</t>
  </si>
  <si>
    <t>…M., teniente corregidor de esta villa, á quien está cometido un asunto intere sante al mismo Narciso. En el año de 1808 á la entrada de los franceses en esta capital faltó de ella Don Remigio González Soria, empleado en la contaduría de Propios y Arbitrios, casa do con Doña María Rafaela Carpintero y Eraso. Sus señas son las siguientes: esta tura de unas dos varas, cerrado de barba, ojos negros, color moreno, pelo negro, mucha patilla y el cuerpo bien formado. Q…</t>
  </si>
  <si>
    <t>Soriano, Ambrosio</t>
  </si>
  <si>
    <t>Ambrosio Soriano</t>
  </si>
  <si>
    <t>…seis en navegación, manifestando todos en sus respectivas clases mucha apli cación y mas que regular aprovechamiento, debido al interes y cuidado con que los instruye su director D. Ambrosio Soriano, segundo piloto de la Real Armada, según parte que ha dado el mayor general de aquel apostadero el capitán de fragata D. Josef Fernandez de las Peñas, que presidió los exáme nes á nombre del comandante general por no permitírselo á este sus muchas ocupaciones…</t>
  </si>
  <si>
    <t>Soro, Gaspar Alvarcz de</t>
  </si>
  <si>
    <t>Gaspar Alvarcz de Soro</t>
  </si>
  <si>
    <t>…Señor, en? nombre del ayun tamiento de lá ciudad de Lucena por su augusto enlace y el Excmo. Sr. conde de Colomera , capitán genial-de los Reales-egércitos; él marisca [ de campo D. Gaspar Alvarcz de Soro mayor , y D. Pedro Nicolás5 del.Válle,, del,Conse-* jo de S. M. en el de Hacienda ; el primero arengó á S. Midioiendoieqrrebtrasi cosas lo siguiente: . &lt; . 5 • • • -;!*• ’ írSeñor: La ciudad de Lucena, siempre constantc en lealtad, respeto y</t>
  </si>
  <si>
    <t>Sosa, María</t>
  </si>
  <si>
    <t>María Sosa</t>
  </si>
  <si>
    <t>…a Real, que presentó mayor nú mero de niños premiados, recibió una medalla de oro de cuatro duros, y un egemplar ia colección de muestras de D. Torcuato Torio, y otro premio igual Doña María Sosa por la misma razón. A la maestra Doña María Calzadilla se le dió una medalla de plata para empeñar su aplicación. Habiendo adjudicado el premio í los dibujos de cuerpo entero de Nico lás Romero y de Josef Cabrera ,y no siendo mas que una la medalla de ora de…</t>
  </si>
  <si>
    <t>Sotelo, Antonio</t>
  </si>
  <si>
    <t>Antonio Sotelo</t>
  </si>
  <si>
    <t>…su gallardía y actividad, son los alféreces de na vio D. Manuel Mieres y D. Ramón Londoño, los de fragata D. Estéban Croquer, D. Antonio Tiscar, D. Joaquín Mozo, D. Juan de Arcos, Don Antonio Sotelo, D. Manuel Zaragoza y D. Felipe Roldan, y los guardias marinas D. Antonio Urzais y D. Juan Mesías. No me detendré en explicar la clase de méritos que han contraído , ni la recompensa que merecen sino me tomaré la libertad de recordar á V. E. que tal vez en lo…</t>
  </si>
  <si>
    <t>…e de la promoción de 29 de Mayo del año pasado de 1815 , D.-E legarlo, de los Cuetos, D. Josef Quesada , D. Esteban Croquer, D. Antonio Tiscar, D. Joaquín Mozo, D. Juan de Arcos , D. Antonio Sotelo , D. Manuel Zaragoza , D. Felipe Roldan , Don Antonio Urzais y D. Juan Mesías: el de alféreces de fragata á los guardias marinas D. Juan Mozo, D. Segundo Díaz Herrera, D. Victoriano López Llanos, D. Josef Salcedo, D. Francisco Osorio , D. Manuel Ibarra, D. Ma…</t>
  </si>
  <si>
    <t>Sotelo, Rafael González</t>
  </si>
  <si>
    <t>Rafael González Sotelo</t>
  </si>
  <si>
    <t>…omo mas acomode, y por separado las asistencias á partos, heridas violentas y consultas. Los que lo soliciten dirigirán sus memoriales á la justicia y ayuntamiento de dicha vi’la. D. Rafael González Sotelo, teniente retirado del regimiento de infantería de España, cabo de rentas Reales que fue en Barcelona, Remolinos, y últimamente en hrescano, provincia de Zaragoza, fue incorporado en los tercios de los volunta rios de Aragón en el año de 180 i con grado efect…</t>
  </si>
  <si>
    <t>Soto, Fernando María</t>
  </si>
  <si>
    <t>Fernando María Soto</t>
  </si>
  <si>
    <t>…D. Pedro Montojo ; á oficial tercero el cuarto D Alejandro XJrquiza; á oficiales cuartos los quintos D. Carlos Suances y D. Fernando Bermudez, y á oficiales quintos los meritorios D. Fernando María Soto y D. Fermín López Pantoja. Graduaciones, - De comisarios de Guerra de Marina á los oficiales primeros D. Fernando Tazo y D Francisco Lanza Treiles; graduación de oficiales primeros á los segundos D. Josef Franco Sánchez y D. Francisco Calvo; graduación de se gundos á ios terce…</t>
  </si>
  <si>
    <t>Soto, Gaspar</t>
  </si>
  <si>
    <t>Gaspar Soto</t>
  </si>
  <si>
    <t>…ionisio Villaverde y D. Lucas Dueñas, después de haber traducido perfectamente los puntos de las selectas que se les asig naron. En el segundo dia por apertura D. Valentín Metola, D. Gaspar Soto y D. Saturio Kegio recitaron una égloga de Virgilio con tanta viveza y pro piedad de afectos que merecieron los aplausos mas singulares del concurso. Concluida esta salieron en certamen los medianistas D. Lorenzo Gil y Don Angel la Cuesta; y después de haber traducido los pasag…</t>
  </si>
  <si>
    <t>Sotomayor, Andrés</t>
  </si>
  <si>
    <t>Andrés Sotomayor</t>
  </si>
  <si>
    <t>…pasar al “).% los que dieron pruebas de su suficiencia en cuanto fiieron preguntados , con especialidad P. Andrés Valderrama , P. Josef Co bos , P Pedro Ariza, P. Andrés Olaigui, D. Andrés Sotomayor, P. Franciccode Salas y P. Juan Antonio García: posteriormente se presentaron 15 de la clase de menores, los que respondieron con propiedad i varias oraciones, géneros y pretéritos, en los que quedaron aprobados ; distinguiéndose de los demas por su particula…</t>
  </si>
  <si>
    <t>Sotomayor, Antonio Correa y</t>
  </si>
  <si>
    <t>Antonio Correa y Sotomayor</t>
  </si>
  <si>
    <t>…. Todo lo que de Real orden, comunico á V. para su noticia. Madrid 2 de Diciembre de 1816». El Rey nuestro Señor se ha servido conceder al teniente general de sus Reales egércitos D. Antonio Correa y Sotomayor su Real permiso para que pu da admitir y usar de la insignia de la gran cruz de S. Genaro dé NápoJes con que le ha condecorado S. M. Siciliana , en prueba de la estimación que hace de su persona , y en atención á los servicios que ha hecho á la fa milia de lo…</t>
  </si>
  <si>
    <t>Souit</t>
  </si>
  <si>
    <t>…i habia sido su ánimo matar al general Bonaparte; y ha biendo respondido el soldado aíirmativamente, fue honrosamente absuelto de todo cargo. „ Escriben de Hamburgo que estando el mariscal Souit paseando las calles de la ciudad, se le acercó un comerciante hamburgués, y le preguntó si ha bia ido á llevar el dinero robado por Davoust ai banco de Hamburgo; y ha biendo respondido Souit negativamente , el negociante le maltrató con mu cha aspereza.” Idem…</t>
  </si>
  <si>
    <t>Sóult</t>
  </si>
  <si>
    <t>…ión, co misario del directorio egecutivo en Corfú y subprefecto enNeufchatel, y Mr. Roubaud, médico, diputado del Var en la convención. Los dos votaron la muerte de Luis xvi.__ El mariscal Sóult pasó por esta ciudad ayer á medio dia, en donde solo se detuvo el tiempo necesario para mudar caballos, yen seguida se dirigió á Hamburgo. Se estima el caudal de este mariscal en .11 mi llones de francos, y el de Massena en 1 Soult era conocido en la Bélgica…</t>
  </si>
  <si>
    <t>Soult</t>
  </si>
  <si>
    <t>Num. 54. [ 5 cuartos. ] 423 wa GACETA DE MADRID DEL SABADO 27 DE ABRIL DE 1816. ALEMANIA. Francfort y de Abril. Escriben de Dusseldorff que ha ido allí el mariscal Soult, quien ha vivi do hasta ahora en Barmen con la familia de su esposa. No se sabe si se de tendrá en Dusseldorff; pero es indudable que no ha estado en Hamburgo, y por consiguiente es falso cuanto se ha dicho de él en los papeles ingleses. Maguncia 8 de Abril.…</t>
  </si>
  <si>
    <t>…ante su permanencia aqui ha visitado el hos pital militar, en donde vio algunos soldados que combatieron á sus órdenes en la baralla de Warerloo. ■ , Escriben de Dusseldorf que el mariscal Soult vive muy retirado en dicha ciudad, donde ocupa una habitación de siete piezas, y no visita á nadie.. GRAN BRETAÑA. • Londres 21 de Abril. En el periódico intitulado Anti- Gallican- Monitor se ha publicado una exposición de su editor Mr. Goidsmith dirigida á S…</t>
  </si>
  <si>
    <t>Sousa, Andrés Ramírez</t>
  </si>
  <si>
    <t>Andrés Ramírez Sousa</t>
  </si>
  <si>
    <t>…de Murez iod. Doña María Josefa Zamorano 200. Doña Luisa Espinosa 200. D. Pedro Juan de Molina 200. Doña Catalina Zamorano 370. D. Juan Blas Zamorano 60. D. Rafael de Blancas 60. D. Andrés Ramírez Sousa .60. D, Antonio Melero 60. D. Pablo del Valle 40 Juan Pastor 80. Antonio Féiíx Ortiz 80. D. Lorenzo Gavi lán 50. Miguel Romero 50. D. Josef Carlos Oxtiz 50. Antopio Nieto 50.</t>
  </si>
  <si>
    <t>Sousa, Simón de</t>
  </si>
  <si>
    <t>Simón de Sousa</t>
  </si>
  <si>
    <t>…s las armas de Talavera y año, y en el reverso este lema: progressui in litterú) á ios mas sobresalientes, que fueron D. Felipe Neri Carral, D. Antonio Resino, D- Joseí Rodríguez, D. Simón de Sousa, D. Manuel García Santander, D. Mariano Martin, Doa Juan de Baños y D. Josef Portales, con sentimiento de no haber hecho mas para premiar los restantes, que creyó dignos todos de sus benéficas in tenciones, y dió á su sabio director las debidas gracias por su…</t>
  </si>
  <si>
    <t>Souza, Josef Luis de</t>
  </si>
  <si>
    <t>Josef Luis de Souza</t>
  </si>
  <si>
    <t>…me merece mi augusto Hermano el Príncipe Regente de Portugal, y en su representación, agrega da á sus distinguidas circunstancias, su Ministro plenipotenciario cerca de mi Persona D. Josef Luis de Souza; he venido en hacerle gracia de la Gran Cruz de la Real Orden Española de Carlos i'i. Tendrcislo entendido, y dis pondréis lo necesario á su cumplimiento. =r Rubricado de la Real mano. =: En Palacio á 20 de Febrero de 1816. = A D. Tomas Lobo. 2.0 Deseando acr…</t>
  </si>
  <si>
    <t>…por parte de S. M ¿1 Exctno. Sr. D. Pedro Cévallos Guerra, consejero de Estado, pri mer secretario de Estado del Despacho, y por la de S. A. R. el Príncipe Regente de Portugal el Sr. D. Josef Luis de Souza, mi nistro plenipotenciario cerca de S. M., lo comunicó S. M. á los con cejos por medio de un decreto, con fecha de 14 del corriente, y se publicó en ellos, habiéndose circulado según costumbre. . Con este motivo mandó S. M. se celebrase tan plausible y fe li…</t>
  </si>
  <si>
    <t>…estaba destinada para vestirse el man to , é hicieron su profesión , y recibieron el collar de mano de S. M. en Ja forma establecida los -Excmos. Sres. marques de Campo-Sagrado , D. Josef Luis de Souza , marques de Vilíafranca , D. Gaspar de Vigodet, D. Francis co de Copons y Navia , D. Manuel López Aran jo y D. Josef Vázquez de Figueraa , caballeros, novicios grandes cruces de la orden. Sucesivamente se cantó una: misa solemne de Concepción , en que celebr…</t>
  </si>
  <si>
    <t>Spencer</t>
  </si>
  <si>
    <t>…les. Continúan llegando á esta capital muchos extrangeros, entre los cuales se notan los siguientes: el teniente general Makensie, el teniente general Albercombrie, lord Brownlon, lord Spencer , sir Jorge Staveii, y otras varias personas de distinción de Inglaterra. S. M. ha nombrado mariscales de Francia á los tenientes generales duque de Coigni, conde de Beurnonville, duque de Feltre y conde de Viomenii. ESPAÑA. Vite hes (reino de Jaén) 20 de Jun…</t>
  </si>
  <si>
    <t>Spina</t>
  </si>
  <si>
    <t>440</t>
  </si>
  <si>
    <t>…se ha distin guido siempre por sus sentimientos religiosos. La nación genovesa, queriendo dar al Padre Santo una muestra de su respetuosa adhesión, le ha presentado por medio del cardenal Spina un sillón de una labor primorosa , del que se ha servido S. S. en las últimas funciones. Milán £ de Abril. Acabamos de recibir la triste aunque esperada noticia de la muerte de S. M. la Emperatriz de Austria. Esta princesa, hija del archiduque Fernando de Mód…</t>
  </si>
  <si>
    <t>Sra, Jmto Antonio</t>
  </si>
  <si>
    <t>Jmto Antonio Sra</t>
  </si>
  <si>
    <t>…Junio á las cinco de lav tarde tuvo et honor de felicitar pú blicamente a S. M. por su proximó Real enlace el abad y cura párroco de Sta. Eugenia de Fao , en Santiago dé Galicia j D. Jmto Antonio Sra. Ma rina, á nombre de los pueblos agrícolas déi Giro de arriba de la Rocha en aquella provincia , en los términos siguientes : „ Señor: El abad y cura párroco de Si a.1 Eugenia de Fao, en el arzobis pado de Santiago de Galicia, por Kgjanda vez tiene el honor…</t>
  </si>
  <si>
    <t>Sres, María Isabel Francisca los</t>
  </si>
  <si>
    <t>María Isabel Francisca los Sres</t>
  </si>
  <si>
    <t>…debe ceder.” Madrid 8 de Mayo. Comisionados por la ciudad de Lorca para felicitar al Rey nuestro Se ñor ■ con motivo de su ajustad© enlace con la Serma. Sra. Infanta de Portu gal Doña María Isabel Francisca los Sres. D. Francisco López de Alcaraz, ministro del supremo consejo de Hacienda, D. Juan Poutoux, mariscal de campo de ios Reales egércitos, y D. Ginés Ruiz de Moya, capellán de ho nor de S. M., obtuvieron audiencia particular el dia i.° de este mes; en la cual pron…</t>
  </si>
  <si>
    <t>St</t>
  </si>
  <si>
    <t>…tos de caballería disiparon á los amotinados. pl coronel Mickham y unos ocho soldados de caballería fueron heridos á pedtadas. El navio de guerra ingles el Reynard, mandado por el capitán St. Clair, que cruza en las costas de la Moren y el Archipiélago, ha apresado tres bar cos de piratas que infestaban aquellas aguas, y lo* ha enviado á \4orea. S. A. R. la Princesa de Gales ha íiegado de Milra A Atenas para diri girse desde alli á ‘Constaminopla…</t>
  </si>
  <si>
    <t>Sta, Donato Ruiz de</t>
  </si>
  <si>
    <t>Donato Ruiz de Sta</t>
  </si>
  <si>
    <t>…la misma clase D, Gonzalo de Aramendi , co mandante militar interino del Valle Dupar, el grado de coronel: á D. Ma nuel Carmona, capitán del regimiento infantería de la Victoria, D. Donato Ruiz de Sta. Cruz , idein de granaderos del regimiento del Rey, D. Miguel Andrés Fresno , capitán graduado de húsares de Fernando vn, D. Simón Sicilia, capitán del regimiento del Rey, y D. Sebastian Díaz, ídem de Zapa dores , grado de teniente coronel: á D. Joaquín Corni…</t>
  </si>
  <si>
    <t>Sta, Pedro Antonio de Olabarría y</t>
  </si>
  <si>
    <t>Pedro Antonio de Olabarría y Sta</t>
  </si>
  <si>
    <t>…de Valladolid , teniente de corregi dor de esta villa de Madrid, refrendada del escribano del número-D. Juan Antonio de Urraza , se cita, llama y emplaza á D. Josef de Sand^Juce , D. Pedro Antonio de Olabarría y Sta. Cruz, D. Andrés de Escondrillas , D. Cristóbal de Vicuña, D. Pedro Fermín de lbarra y Doña María Antonia de Amantegui, tenedores de tres vales Reales, tres de ellos de 150 pesos, vales dinero de Ja renovación de i.° de Enero de 1809, números 312838, 311427 y…</t>
  </si>
  <si>
    <t>Stadion</t>
  </si>
  <si>
    <t>…des potencias manteniendo aqui una guarnición numerosa. ITALIA. Ve roña 29 de Marzo. Son muy frecuentes las conferencias entre los ministros: el plan de ha cienda propuesto por el conde Stadion no se ha adoptado todavía por ente ro. En el dia se trata también de una cuestión importante, á saber, si es útil ó no al Austria formar una marina para proteger á fuerza armada su pabe llón y su comercio en el mar Adriático. Las personas que opinan por la af…</t>
  </si>
  <si>
    <t>…r mando un dique en medio del rio Nird. Ocho o diez familias han sido se pultadas en sus alquerías. r AUSTRIA. Vierta &lt;T de Abril. Se dice en el día que no es Mr. Baldacci sino el conde Stadion quien despachará interinamente el ministerio de Negocios extrangeros. El mal de ojos del Príncipe Metter.nich se aumenta de dia en día, y se recela que sean cataratas. El grande arenal de Ketskemet, en la Hungría, presenta actualmente un fenómeno muy singular…</t>
  </si>
  <si>
    <t>Stalberg, Federico de</t>
  </si>
  <si>
    <t>Federico de Stalberg</t>
  </si>
  <si>
    <t>…los, que parece abandona la secta lu terana para abrazar la religión católica. Ha llegado aquiMr. Perthes, librero de Hamburgo, para dirigir una em presa literaria muy notable. El conde Federico de Stalberg, descendiente de una de las casas soberanas mas antiguas de Alemania, y emparentado con las familias mas distinguidas de Prusia y Dinamarca , se acreditó mucho en su juventud como poeta y excelente traductor de la Iliada, de las tragedias de Sófocles y de las…</t>
  </si>
  <si>
    <t>Steigentesch</t>
  </si>
  <si>
    <t>28</t>
  </si>
  <si>
    <t>…uente del Rhin, debe haber tomado disposiciones para resta blecer la parte destruida de él, que comprende tres arcos. Paris 25 de Diciembre. El Emperador de Austria ha nombrado al general Steigentesch enviado extraordinario cerca de la corte de Rusia. Se ha notado como una cosa sin gular que las dos cortes solo nombran recíprocamente enviados extraordina rios y no embajadores. Las cartas de Alemania anuncian que la corte de Austria ha tomado la resolución…</t>
  </si>
  <si>
    <t>…Príncipe de Staremberg ha renunciado la embajada de Rusia á causa de su quebrantada salud. El Em perador en consecuencia de esto acaba de nombrar para esta importante comisión al general Steigentesch, su actual ministro en la corte de Copenhague. Se espera aqui al Archiduque Carlos y á su augusta esposa, que se cree llegarán el 18 para pasar el invierno. Los Archiduques que se hallan aqui deben salir para Burkerdorff á recibir al Archiduque Cirios, á quie…</t>
  </si>
  <si>
    <t>Stewart</t>
  </si>
  <si>
    <t>416</t>
  </si>
  <si>
    <t>…conde de Bubna, acaban de llegar á Verona, adonde también llegaron SS. MM. II. el día 20 del corriente: se dice que permanecerán allí hasta fines de este mes. El embajador ingles lord Stewart ha partido de Milán con dirección á Florencia. El Príncipe de Schwartzemberg se halla actualmente en Venecia, desde donde marchará directamente á Viena. Venecia jo de Marzo. El Gobierno ha hecho prender algunos sugetos que reclutaban gente en los estados vene…</t>
  </si>
  <si>
    <t>…n instruir en la religión á las doncellas. Los donativos se dirigirán ácasa de Mr. Denis, calle de G rene He St. Germain , núm. be, en París. Parts 27 de Mayo. El embajador ingles lord Stewart compró no há mucho tiempo vn cua dro en Venecia atribuido á Ticiano, que representa i Alfonso 1 de E^te con una figura de mnger. Habiendo declarado la academia de las Artes de Milán y la de S. Lucas de Roma que el cuadro no es de Ticiano sino á lo mas de Gior…</t>
  </si>
  <si>
    <t>…O DE 1816. AUSTRIA. Vicna 6 de Junio. Ayer regresó aquí de París el conde d~ Srackelberg» ministro plenipo tenciario de Rusia cerca de nuestra corte. El misino día volvió de Piess lord Stewart, ministro plenipotenciario de Inglaterra. BOHEMIA. Prag a / de Junio. Anteayer llegó aquí el feld-mariscal Príncipe Blucher, y parece se de tendrá algunos dias. El féld-mariscal conde de Kolowrath ha gozado muy poco tiempo de! retiro que le concedió el Empera…</t>
  </si>
  <si>
    <t>…de Junio. El Emperador ha llegado hoy por la mañana de Schoenbrunn, y ha dado audiencia á varios ministros extrangeros, habiéndose notado que S. M. tuvo una larga conferencia con lord Stewart. El Príncipe de Ruífo, embajador del Rey de Ñapóles, pedirá&gt; n\anana con las formalidades de estilo á S. A. I. la Archiduquesa Mana GUmentina para el Príncipe Leopoldo de las Dos Sicilias, hijo segundo del Rey de Ña póles , quien debe llegar á esta capital en…</t>
  </si>
  <si>
    <t>Sto, Manuel de</t>
  </si>
  <si>
    <t>Manuel de Sto</t>
  </si>
  <si>
    <t>…villa de Benamejí , compuesta de su alcalde mayor D. Cristó bal María Antón y de D. Francisco de Paula Bernay : otra de la villa de Rute, compuesta igualmente de su alcalde mayor D. Manuel de Sto. Do mingo y Herrera y de D. Agustín Gómez de Aranaa y Carrillo: otra de la villa de Baena, que se componía también de ?u alcalde mayor D. Loren zo Casaux , dé D. Alfonso Josef de Vida, regidor de La misma villa , y de D. Josef Jurado Caballero, síndico procur…</t>
  </si>
  <si>
    <t>Strasbnrgo, L. D'Alionadle</t>
  </si>
  <si>
    <t>L. D'Alionadle Strasbnrgo</t>
  </si>
  <si>
    <t>…echos verí dicos, á fin de que pueda desmentir cualquiera impostura, y destruir desde el principio el efecto que podría causar si se extendiese en esa ciudad. Queda vuestro &amp;c.=£/ conde L. D'Alionadle Strasbnrgo 2j de Diciembre. El cuartel general del barón de Frimont, general de la caballería austría ca, llegará el i.° de Enero á Colmar. Todo se halla preparado en el bajo Rhin para recibir á las tropas, que según los convenios deben acantonarse allí. El cuerpo wurte…</t>
  </si>
  <si>
    <t>Strasoldo, Julián de</t>
  </si>
  <si>
    <t>Julián de Strasoldo</t>
  </si>
  <si>
    <t>…vigesiinoquinto. = Francisco." S. M . el Emperador acaba de nombrar para el gobierno establecido en Laihach , que es el correspondiente á los ducados de Carintia y de Carniola, al conde Julián de Strasoldo, consejero áulico y director general de policía en Milán. ALEMANIA. Francfort 1$ de Agosto. Todavía no se sabe cuándo se verificará la abertura de la Diera de la Con federación Germánica ,y fo único que está averiguado es que no será en todo e&lt;te mes , ni pro…</t>
  </si>
  <si>
    <t>Sturmer</t>
  </si>
  <si>
    <t>…u esposa : van en el Ñenvcasile, á cuyo bor do se embarcaron también el conde Balmin y el marques de Montehenu , co misarios de Rusia y de Francia. El Orestes , á cuyo bordo va el barón Sturmer, comisario del Austria, debe acompañar al Ne'wcast/e. Por un correo que llegó anteayer de Lisboa hemos sabido que la fragata el Granicus llegó al Tajo, y que debe conducir á Inglaterra á Mr. Canning, á quien ha reemplazado en las funciones de ministro plenipo…</t>
  </si>
  <si>
    <t>Su, Josef</t>
  </si>
  <si>
    <t>Josef Su</t>
  </si>
  <si>
    <t>…ntos. como asi mismo dei coronel de dragones de Nu manda , su lucida oficia i Jad y oVnias convidados, se dió principio á la misa solemne con Sacramento, que celebro el prior Frey D. Josef Su la u ce, del habito de Ca!arrava, en ci a.iar de San Fernando, predicando con mucha oportunidad el M. R. P. P. t r. \ ícente Romero, dei orden de Sío. Domingo; concluyendo su discuiso , y pijhndo ai Todopoderoso por la importante vida , salud y prosperidad oe…</t>
  </si>
  <si>
    <t>Suances, Carlos</t>
  </si>
  <si>
    <t>Carlos Suances</t>
  </si>
  <si>
    <t>…l primero el segundo D. Domingo Antonio Pereira; á oficial se gundo el tercero D. Pedro Montojo ; á oficial tercero el cuarto D Alejandro XJrquiza; á oficiales cuartos los quintos D. Carlos Suances y D. Fernando Bermudez, y á oficiales quintos los meritorios D. Fernando María Soto y D. Fermín López Pantoja. Graduaciones, - De comisarios de Guerra de Marina á los oficiales primeros D. Fernando Tazo y D Francisco Lanza Treiles; graduación de oficiales primeros á los segundos D.…</t>
  </si>
  <si>
    <t>Suarcz, Nicolás</t>
  </si>
  <si>
    <t>Nicolás Suarcz</t>
  </si>
  <si>
    <t>…. Manuel García ur.o: D. Juan Ocon uno: D. Manuel Cono uno: D. Fernando Carrillo uno: D. Josef Cantalapiedr» uno: D. Tomas Medina uno: D. Josef Salinas uno: D. Fernando Acuña uno: D. Nicolás Suarcz dos: D. Josef Robles uno: D. Blas López cuatro: el mar ques de Villadangos dos : e! marques de Castrojanillos dos: D. Josef Quiño nes dos: D. Claudio Quijada dos: D. Bernardo Escovar dos: D. Manuel Lorenzana uno : el provisor dos : los señores Jclís y compañí…</t>
  </si>
  <si>
    <t>Suarez, Joaquín</t>
  </si>
  <si>
    <t>Joaquín Suarez</t>
  </si>
  <si>
    <t>…o dos pares de zapatos: D. Ignacio Lorenzana dos. D. Manuel Mercadillo uno: D. Ma nuel Rodríguez uno: D. Manuel Yolis dos: D. Bernardino 1 erremos uno: D. Valentín Bustamante dos: D. Joaquín Suarez uno: D Juan de Dios dos: D. Bernardo Bustamante uno: D. Donato Cañas dos: la viuda de Chicarro uno. Total 305 pares de zapatos y 30 rs. En el primer corteo de la lotería de vales Reales, celebrado el dra i.° de Agosto dJ año p.rado de 1S15 , salieron premiado…</t>
  </si>
  <si>
    <t>Suarez, Josef Antonio</t>
  </si>
  <si>
    <t>Josef Antonio Suarez</t>
  </si>
  <si>
    <t>…la graduación de tenientes de Fragata d los que lo están de alféreces de Navio D. Diego Gil, D. Joaquín Díaz Hurtado, que lo es en propiedad; Don Santiago Novo, D. Josef Sánchez, D. Josef Antonio Suarez, D. Cayetano Inzuela y D. Jacobo Auli. Para la graduación de alféreces de Navio d los que lo son en propiedad de Fragata D. Antonio Torneo y D. Manuel Guin de Torres. Para la misma graduación al que lo estd de alférez de Fragata D. Andrés Freire. DEPARTAMENTO…</t>
  </si>
  <si>
    <t>Suarez, Josef Lorenzo</t>
  </si>
  <si>
    <t>Josef Lorenzo Suarez</t>
  </si>
  <si>
    <t>…cada uno se han adjudica do á los candidatos D. Juan Saez, D. Benito Rodríguez de Bel vis y D Josef Atanasio Torres ; y los tres segundos de 35 pesos á D. Rafael Josef de Guardia, D. Josef Lorenzo Suarez y D. Vicente Garda; y deseosa la Real junta de condecorar el mérito de D. Ruperto Sacristán, D. Josef Zoilo Ro mán, D. Manuel Godos y Mendoza, D. Vicente de la Fuente y D. Fran cisco Sola, que han manifestado particular instrucción y aprovechamiento en los referidos exámenes, h…</t>
  </si>
  <si>
    <t>Suarez, Pascual</t>
  </si>
  <si>
    <t>Pascual Suarez</t>
  </si>
  <si>
    <t>…18 y 126837, que aparecen en su último endoso, el i.° á favor de D. Pedro Martínez de Ron por D.'GabrieJ Leonely en Madrid i 10 de Agbsto.de 1810»; el 2.0 á D. Juan de Arribas por Don Pascual Suarez, íambieái en Madrid, á 2,0 de Enero del propio año, y el, 3.0 al te* piertte de caballería D., Cipriano de Velasco por D. Saturio Angel de Velasco, asi mismo en Madrid,á 7 de jyiarzo de 1814. Y no habiendo sido habidos dichos sugetos para notificarles el tras…</t>
  </si>
  <si>
    <t>…D. Tomas Ríos uno: D. Francisco Val le jo dos : el cura de San Salvador Pala del Rey uno: el de S. Marcelo uno: el de Renueva uno: el de Sta. Ana uno: el tesorero del cabildo dos: D. Pascual Suarez uno: D. Lidro Benitoa uno: D. Ramón Arquello dos : D. Pedro Gastaniaga uno: D. Juan Bros dos: D. Manuel Chicarro ocho reales: D. Benito Hermosino dos pares de zapatos: D. Ignacio Lorenzana dos. D. Manuel Mercadillo uno: D. Ma nuel Rodríguez uno: D. Manuel Yol…</t>
  </si>
  <si>
    <t>Subiela, Tomas</t>
  </si>
  <si>
    <t>Tomas Subiela</t>
  </si>
  <si>
    <t>…ofi cial primero al segundo D. Josef Fernandez Tauste; graduación de segundos á los terceros D. Joaquín María Prieto y D. Mariano Faquineto ; graduación de terceros á los cuartos D. Tomas Subiela y D. Francisco Sanz Andino Lavaggi; graduación de cuartos á los quintos D. Isidoro Carreras y D. Josef Pajares, y graduación de quintos á los meritorios D. Aquilino Ibérnon y Don Josef María Martinez. POR LA SECRETARIA DE MAYORDOMIA MAYOR. Llaves de Gentileshombre s de camara con ejerc…</t>
  </si>
  <si>
    <t>Subviaga, Pedro</t>
  </si>
  <si>
    <t>Pedro Subviaga</t>
  </si>
  <si>
    <t>…oles el perjuicio que haya lugar. El marques de Real Proclamación, vecino de la Havana, hace saber que Dona Mariana Saens, D. Josef Retortillo, D. Felipe Esmilch, D. Josef Gomara, Don Pedro Subviaga, D. Domingo de la Torre, D. Manuel García Tejada, D. Santiago Merino y D. Ignacio Yanci pueden ocurrir por sí ó sus poderes á cobrar de los bie nes de D. Gonzalo Recio Oquendo, marques de Real Proclamación, sus capitales y premios á que está comprometido en l…</t>
  </si>
  <si>
    <t>Suchet</t>
  </si>
  <si>
    <t>…ría, artillería y un destacamento de caballería de la divi sión mallorquína de su mando en la gloriosa acción de Castalia, en donde fue batido completamente parte del egército del mariscal Suchet, y le obli-^ garon á retirarse hasta la línea de Xúcar, dejando de consiguiente libre una extenrion considerable de país. El valor y disciplina con que se distinguieron todos los cuerpos de mi mando en contener las divisiones enemigas sin per der un palmo de…</t>
  </si>
  <si>
    <t>…tan susceptible de oorrupcion, le luya caucado la ote* oor dolencia ni incomodidad Pa^ts 28 de Junto, El Príncipe Talleirand ha vuelto ¿ su* es-t idos de Vilenzay. Se dice que el mariscal Suchet ha teñid &gt; una conferencia particular con S. M., y que está ya repuesto en servicio activo.</t>
  </si>
  <si>
    <t>Suchtelen</t>
  </si>
  <si>
    <t>…nd será declarado puerto franco. El corto destacamento de todas armas que S. M. el Emperador de Ru sia ha enviado á Suecia, fue presentado ayer al Rey en el palacio de Haga por el general Suchtelen. PRUSIA. Berlín /y de Setiembre. Se esperan aquí para el dia 22 del corriente al gran duque y á la gran duquesa heredera de Saxonia Weimar, que debieron llegar el 10 á Memel. Se cree que SS. AA. no se detendrán aqui mas que dos ó tres dias. Idem 21. El Gobier…</t>
  </si>
  <si>
    <t>Suelro, Manuel</t>
  </si>
  <si>
    <t>Manuel Suelro</t>
  </si>
  <si>
    <t>…lona en la de Longas; en Bilbao en la de la viuda de Ibarguengoitia, y en Granada en casa de D. Francisco Dalmau, profesor de matemáticas. Salustio, traducido al castellano por el caballero Manuel Suelro. Van añadidas las cuatro elegantísimas oraciones que pronunció Cicerón contra Catilina, traduci das por el célebre segoviano Andrés Laguna. Esta obra ha merecido siempre la es timación de los sabios por la exactitud de la traducción, y por el lenguage puro y…</t>
  </si>
  <si>
    <t>Suelves, Juan Antonio de Prat y</t>
  </si>
  <si>
    <t>Juan Antonio de Prat y Suelves</t>
  </si>
  <si>
    <t>…r de besar su Real mano. En el dia 17 del pasado tuvieron la honra de felicitar á S. M. por su augus to matrimonio el Excmo. Sr. marques de Villel, conde de Darnius, y el co ronel D. Juan Antonio de Prat y Suelves, capitán de Reales Guardias Espa ñolas, á nombre de la ciudad de Vich; el pómero de los cuales dijo: „Señor: La ciudad de Vich, en Cataluña, siempre fiel, siempre leal y digna de aquella provincia á que pertenece, me ha comisionado con el co ronel D Juan Anto…</t>
  </si>
  <si>
    <t>Sunijer, Joaquin</t>
  </si>
  <si>
    <t>Joaquin Sunijer</t>
  </si>
  <si>
    <t>…lo de Zaragoza , sin comunicación, ó á otro parage seguro. D. Manuel Albiac, Vicente Cortés, D. Josef Viilanova, Joaquin Castillon , D. Lorenzo Viilanova, Antonio Pellicer, mayor, D. Joaquin Sunijer, Joaquin Dolader , Antonio Costa, Josef Bel lo, Pedro Calvo, Valero Guiu, Francisco Bielsa , Lorenzo Ralfas, D. Mariano Turlan, írancisco Royo, mayor, Fr. Francisco Miguel, prior curado, Miguel Burgued, Mariano Ser rano, D. Joaquin de la Figuera, Miguel Albia…</t>
  </si>
  <si>
    <t>Surgí, Briere de</t>
  </si>
  <si>
    <t>Briere de Surgí</t>
  </si>
  <si>
    <t>…s de las potencias cxtrangeras son: el barón de Pasquier, ministro de Estado; el barón de Balain Villiers, vice-presidente dei Consejo de Estado; el consejero de Estado Blaire; el barón Briere de Surgí, presi dente de la contaduría mayor, y Mr. Fournier de St. Larri, individuo de la ultima cámara de los diputados. Se está siguiendo causa á dos sugetos acusados de autores 6 cómplices de la conspiración que tenia por objeto el apoderarse de la fortaleza y del…</t>
  </si>
  <si>
    <t>Suria, Francisco</t>
  </si>
  <si>
    <t>Francisco Suria</t>
  </si>
  <si>
    <t>…casa del conde de Oñate, se vendeja estampa nueva de la impresión,de las llagas de,S. Francisco de.Asís, dibujada por D Antonio Guerrero, y grabada en cuartilla de marca mayor por Don Francisco Suria, juntamente con otras muchas de igual tamaño que forman colec ción, á 3 rs. cada una de ellas. 1 &gt; ■ ■ .... t, , . ------------- -------------—--------------------- 1------------- --- wiii 111 EN LA IMPRENTA REAL. J ¿ -k. L</t>
  </si>
  <si>
    <t>Suriano, Rafael</t>
  </si>
  <si>
    <t>Rafael Suriano</t>
  </si>
  <si>
    <t>…hombres que no reciben otro pre mio de sus sj-_ri:i;i s que la dulce satisfacción de obrar el bien, y manifes tarse sensibles a U s c! m.ores del género humano. A continuación el secretario D. Rafael Suriano leyó la historia de la aca demia desde su instalación hasta aquel momento , trabajada por una comi sión de tres individuos; en ella se hizo relación de una colección asombrosa de producciones literarias de los académicos con que está enriquecida la bi bliotec…</t>
  </si>
  <si>
    <t>Swarow</t>
  </si>
  <si>
    <t>…Dieta como diputado de la Lituania. En 1794, cuando fue hecho prisionero Kosciusko, quedó encargado del mando en gefe del egército: en fin después de la toma de Praga por el feld- mariscal Swarow y la disolución del egérciro polaco, fue llevado á Petersburgo, donde estuvo pri sionero algún tiempo con el general Kosciusko.* S. M. el Emperador nuestro Rey pasará dentro de poco tiempo revista á las tropas rusas acantonadas en la Volhypia cerca de.Constan…</t>
  </si>
  <si>
    <t>Sw’erts, Juan Agustín</t>
  </si>
  <si>
    <t>Juan Agustín Sw’erts</t>
  </si>
  <si>
    <t>…ilegio llamado de Barcaza para transportar precisamente en barcas de su propiedad todos los efectos comerciales que se conducen desde los buques al puerto , 6 al con trario; y que D. Juan Agustín Sw’erts tiene otro privilegio titulado de Pa lanca ah a y baja para sacar las mercaderías ó efectos de los barcos por me dio de los trabajadores que tiene á su disposición , y llevarlos con carros y cabillerí is de su propiedad á la aduana o á los almacenes de los co…</t>
  </si>
  <si>
    <t>T, Manuel Salvador Carmona y</t>
  </si>
  <si>
    <t>Manuel Salvador Carmona y T</t>
  </si>
  <si>
    <t>…rro, y grabadas por D. Manuel Salvador Carmona, D. Fernando Sclma y ) Joaquín Ballester, á 16 rs. rrrCuatro estampas de devoción, dibujadas por Doaf Mariano Maella, y grabadas por D. Manuel Salvador Carmona y T). Joaquín Ballester, á 8 rs. ( Se continuará Por providencia del Sr. D. León de la Cámara Cano, del Consejo de S. M., teniente corregidor de esta villa, se ha mandado volver á sacar á subasta, y señala do parí su remate el dia 11 del próximo mes de Octubre de…</t>
  </si>
  <si>
    <t>Ta, Augusto de</t>
  </si>
  <si>
    <t>Augusto de Ta</t>
  </si>
  <si>
    <t>…es de Bonnay, enviado extraor dinario y ministro plenipotenciario. Rusia, el conde de Noailles, embajador. Cerdeña« el duque Dalberg, idem. Suecia y Noruega, Mr..........Suiza, el conde Augusto de Ta 1 leyrand, ministro plenipotenciario cerca de la Confede ración. Toscana, el caballero de Vernejues, ministro residente. Turquía, el marques de la Riviere, embajador. Wurtetnberg, el conde de Trog tf, en viado extraordinario y ministro plenipotenciario. Franc…</t>
  </si>
  <si>
    <t>Ta, Ramón</t>
  </si>
  <si>
    <t>Ramón Ta</t>
  </si>
  <si>
    <t>…egércitos con la antigüedad de 24 de Abril de ib 10. El teniente de fragata de la Real armada D. Ramón Tamayo, como hijo y único heredero de Doña María Teresa Calvillo , viuda de D. Ramón Ta mayo, oficial que fue de la contaduría principal de la renta del tabaco, ha hecho á S. M. el donativo de 9459 rs. 24 mrs. vn., procedentes de la pen sión que tenía dicha viuda de 3500 rs. en el monte pió de oficinas, cuya cantidad alcanzaba hasta el dia de su…</t>
  </si>
  <si>
    <t>Tabeada, Felipe Gil de</t>
  </si>
  <si>
    <t>Felipe Gil de Tabeada</t>
  </si>
  <si>
    <t>960 za, y D. Alfonso de Cartagena. = Cuaderno 18: D. Pedro Fernandez de Velasco, Juan Sebastian de Elcano, Fr. Mek h ¿r Canoc, el P. Alfonso Salmerón, D Ber nardo de Valbuena, y D. Felipe Gil de Tabeada. Se vende cada cuaderno con un epítome de la vida de los sujetos retratados á 50 ra., y cada estampa suelta á 8, (i&gt; continuará.) Hn virtud de providencia del Sr. D. Josef Manuel de Arjona, del Consejo de S. Al-« si^.alcalde de casa y corte, refrendada del es…</t>
  </si>
  <si>
    <t>Taboa, Francisco Gil de</t>
  </si>
  <si>
    <t>Francisco Gil de Taboa</t>
  </si>
  <si>
    <t>…do conceder el ascenso á brigadieres de infantería á los coroneles D. Pió Tristan, mayor general que fue del egéreito, del Altp.Perú con la antigüedad de 27 de Setiembre de 812, y D. Francisco Gil de Taboa^a , teniente coronel ael regimiento de iafantería el Real</t>
  </si>
  <si>
    <t>Taboada, Luis de Lemos Gil de</t>
  </si>
  <si>
    <t>Luis de Lemos Gil de Taboada</t>
  </si>
  <si>
    <t>nejo á D. Dionisio González; y para la de Lorca, de nueva creación, á Don Luis de Lemos Gil de Taboada. Por providencia del Sr. D. Joaquin Almazan del dia 23 de Diciembre anterior se ha mandado sacar á pública subasta por término de 30 dias , contados desde la publicación de este anuncio, una casa principal perteneciente á D. Frutos de Alva ro Benito, ausente,…</t>
  </si>
  <si>
    <t>Taboada, Vicente Gil de</t>
  </si>
  <si>
    <t>Vicente Gil de Taboada</t>
  </si>
  <si>
    <t>…A., que contestó á dicha diputación con la benignidad que le es propia. Por Real decreto de 2 del corriente se ha dignado S. M. conceder ho nores del supremo Consejo 'd¡? Indias á D. Vicente Gil de Taboada, gober nador intendente de la provincia de Truxillo en el vireinato del Perú. Por Real resolución á consulta de la Cámara se ha servido nombrar S. M. al teniente coronel D. Manuel Serrano para la vara de alcalde mayor de la villa de Puerto Real, de segunda cl…</t>
  </si>
  <si>
    <t>Tacón, Miguel</t>
  </si>
  <si>
    <t>Miguel Tacón</t>
  </si>
  <si>
    <t>…allaban las tropas de mi mando en los primeros momentos de su descanso, tuvieron la feliz suerte de que V. E. se viese con los señores gefes mariscal de campo D. Juan Ramírez y el brigadier D. Miguel Tacón para presenciar los frutos de su ardiente fidelidad al Sobe rano: esta inesperada circunstancia ha inflamado extraordinariamente el entusiasmo de los que tenemos la dicha de servir bajo las sabias órdenes de V. E.; y tanto por ella, cuanto por la gratiíicacio…</t>
  </si>
  <si>
    <t>Tagle, Josef Sánchez</t>
  </si>
  <si>
    <t>Josef Sánchez Tagle</t>
  </si>
  <si>
    <t>…omingo 1 2 de Enero del próximo 817 á las 9 de su mañana en !a posada de S. S.; lo que se anuncia para que llegue á noticia de todos los interesados. Se desea saber el paradero de D. Josef Sánchez Tagle, oficial que fue en el año de 1809 del Real cuerpo de Ingenieros, hijo de D. Matías y de Doña Antonia Vi centa Velasco, vecinos que fueron de la villa de Santillana, provincia de Santan der, que se halló en la batalla deMedellin. Cualquiera que tenga noticia…</t>
  </si>
  <si>
    <t>Taiens, Vicente</t>
  </si>
  <si>
    <t>Vicente Taiens</t>
  </si>
  <si>
    <t>…o. Se desea saber el paradero de Doña María Dorotea Villalobos, natural de la villa de Aiconchel, en, Extremadura baja, obispado de Bidajoz, de donde salió á Madrid en compañía de D. Vicente Taiens, oficial de contaduría de-egército: de alli pasaron á Valencia del Cid, de donde se dice que salió cuando la última retírada del egército francés de aquella ciudad en compañía de un español que iba de cQmisario de guerra con los franceses: no se sabe si seria…</t>
  </si>
  <si>
    <t>Talasac, Pedro</t>
  </si>
  <si>
    <t>Pedro Talasac</t>
  </si>
  <si>
    <t>…Portillo y 14mrs. : D. Juan Antonio Pitaluga ofrece, y tiene aceptado S. M., 2 5 50 rs. •que alcanza por valor de 200 encerados entregados para la artillería, 2 5 5c eti créditos: D. Pedro Talasac 66: D. Antonio Sánchez Peñuela ico : D. Fabio Muiñoz 320: D. Pedro García 244. Partido de Vega y Sierra---- Pueblos. Albolote 166 rs.: Alhendin , el administrador de tabacos 588 en créditos: Beas 199: Churriana 748: idem débito que alcanza á su favor de un ha…</t>
  </si>
  <si>
    <t>Talón, Fascual Quilez</t>
  </si>
  <si>
    <t>Fascual Quilez Talón</t>
  </si>
  <si>
    <t>…embargo de que lo actuado hasta hoy presenta bastante mérito para proceder contra los culpados, queriendo Yo no privar A estos de los recurcos d - la leyes, he venido en nombrar a D. Fascual Quilez Talón para que pasando sin pérdida de tiempo con el escribano que sea de su confianza á la vi’Ia de Caspe, ó donde mas convenga , autorizado con las mas amplias facultades que para el efecto le confiero , substancie y determine la causa con arreglo A las mismas ley…</t>
  </si>
  <si>
    <t>Talou</t>
  </si>
  <si>
    <t>. - . , *&gt;3? paíagerós; pero de 150 hombres que intentaron salvarse en una balsa pere cieron 155. Cette 7 de Setiembre. La polacra francesa la Desireé, capitán Talou ,procedente de la Martini ca, fue visitada el 7 del mes pasado á los36grados y 2 minutosN. de latitud y' 14 grados lo minutos de longitud--O. por la corbeta de los insurgentes cfel Rio de la Plata armada en guíerra ¿ al mando de Diego Chaiston, quien preguntó…</t>
  </si>
  <si>
    <t>Tamayo, Ramón</t>
  </si>
  <si>
    <t>Ramón Tamayo</t>
  </si>
  <si>
    <t>…ión á su Real Per sona , se ha disnado S. M. nombrarle brigadier de caballería de sus egércitos con la antigüedad de 24 de Abril de ib 10. El teniente de fragata de la Real armada D. Ramón Tamayo, como hijo y único heredero de Doña María Teresa Calvillo , viuda de D. Ramón Ta mayo, oficial que fue de la contaduría principal de la renta del tabaco, ha hecho á S. M. el donativo de 9459 rs. 24 mrs. vn., procedentes de la pen sión que tenía dicha viuda de…</t>
  </si>
  <si>
    <t>…rrii y gusto. Se venden á 40 rs. en pasta en la imprenta Real. Elogio postumo del Excmo. Sr. D. Josef de Espinosa, director del depósito de hidrografía, po; el teniente de fragata D. Ramón Tamayo. El autor de este opús culo historial, haciendo un paralelo de las empres:s literarias y marítimas del ge neral Espinosa con las de otros ilustres aewiiur.es, presenta este digno modelo 4 los jóvenes que se dedican á la carrera de la Marina. Véndese en la lib…</t>
  </si>
  <si>
    <t>Tarancon, Braulio</t>
  </si>
  <si>
    <t>Braulio Tarancon</t>
  </si>
  <si>
    <t>…mismo tuvieron la honra de feliéitar áí S.'M. y A. R. por sus felices enlaces , en nombre tde la.&gt;M. N. .y Mí. L. cipdádi de Huete, Dón Anselmo de Cuenca , regidor.Idsda mismas y D. Braulio Tarancon; los cua les manifestaron los sentimientos «k; amor y lealtad de aquellos leales vecinos.,1 En 31 de! mismo felicita ron al Rey nuestro Señor, en? nombre del ayun tamiento de lá ciudad de Lucena por su augusto enlace y el Excmo. Sr. conde de Colomera , capitá…</t>
  </si>
  <si>
    <t>Tarrago, Jaime Alemán de</t>
  </si>
  <si>
    <t>Jaime Alemán de Tarrago</t>
  </si>
  <si>
    <t>…en á too rs. en las librerías de Ranz y de Novillo, calle de la Concepción. Nota. En la gaceta del martes 21 del corriente, núm. 64, pág. 532 , don de dice D. Jaime Alesnau, léase D. Jaime Alemán de Tarrago, EN LA IMPRENTA REAL.</t>
  </si>
  <si>
    <t>Tarrio, Andrés María Fariña</t>
  </si>
  <si>
    <t>Andrés María Fariña Tarrio</t>
  </si>
  <si>
    <t>…o de la parroquial de dicha villa en el término de 40 dias, contados desde esta publicación. El Jueves 8 de Febrero próximo pasado, á las 10 de la mañana, se ausentó de la casa de D. Andrés María Fariña Tarrio, vecino y del comercio de la ciudad de Santiago, reyno de Galicia , un chico de edad de 13 años, llamado Josef Varela, hija de D. Nicolás, ya difunto, vecino que fue de la villa de Puente de Ume, en don de reside su viuda Doña Josefa Martínez Perez, madre del…</t>
  </si>
  <si>
    <t>Tarrio, Sinforiano Pizarro</t>
  </si>
  <si>
    <t>Sinforiano Pizarro Tarrio</t>
  </si>
  <si>
    <t>…ación es la de 9460 rs., pagados puntual mente por tercios del fondo de propios. Los pretendientes dirigirán sus memoriales al ayuntamiento de dicha villa por mano de su escribano D. Sinforiano Pizarro Tarrio, que se admitirán hasta fin de Noviembre próximo. Se desea saber el paradero de Pedro Sánchez, natural de la villa de Parla, que en 1806 sentó plaza de soldado en el regimiento de caballería de Calatrava, del cual posteriormente p t^ó á otro de la misma arma.…</t>
  </si>
  <si>
    <t>Tasamero, Juan García</t>
  </si>
  <si>
    <t>Juan García Tasamero</t>
  </si>
  <si>
    <t>…n y Chacón, y D. Lorenzo Romero: otra del ayuntamiento y clero de Villarubia de los ojos de Guadiana , compuesta de su alcalde mayor D. Salvador Gramage , de; su alcalde ordinario D. Juan García Tasamero, de su cura párroco D. Ma tías González Soler y de D. Francisco López; y otra de la villa de Dos Bar rios, representada por D. Jorge Ferrer, D. Josef Crespo de la Serna y Don Francisco Ruiz; todos los cuales en nombre de los vecinos de los pueblos que represe…</t>
  </si>
  <si>
    <t>Tauste, Josef Fernandez</t>
  </si>
  <si>
    <t>Josef Fernandez Tauste</t>
  </si>
  <si>
    <t>…duaciones. De comisarios de Guerra á los oficiales primeros D. Josef Martínez "Pazos, D. Antonio Sierra y D. Narciso Fernandez Matamoros; graduación de ofi cial primero al segundo D. Josef Fernandez Tauste; graduación de segundos á los terceros D. Joaquín María Prieto y D. Mariano Faquineto ; graduación de terceros á los cuartos D. Tomas Subiela y D. Francisco Sanz Andino Lavaggi; graduación de cuartos á los quintos D. Isidoro Carreras y D. Josef Pajares, y gra…</t>
  </si>
  <si>
    <t>Te</t>
  </si>
  <si>
    <t>…n de abolir la esclavitud de ios blancos. Dias pasados hubo en Brighton un consejo de gabinete muy importante, al cual asistieron entre otros personages el marques de Hertford, el lord Te sorero y lord Ellemborough. Dícese que se ha tratado en él de un casamien to entre la Princesa Carlota de Gáles y uno de los ilustres extrangeros que se hallan actualmente en Inglaterra. Según el presupuesto de Hacienda publicado en Francia, el gasto total de…</t>
  </si>
  <si>
    <t>Te, Manuel Martínez de</t>
  </si>
  <si>
    <t>Manuel Martínez de Te</t>
  </si>
  <si>
    <t>…á consecuencia de la Real orden de 2 de Julio de 1815,circulada por el señor Intendente de esta provincia en 12 del mismo mes, á saber: Córdoba. D. Francisco Josef Benitez 160 rs. D. Manuel Martínez de Te jada 160. D. Josef de Luque 100. D. Rafael de Medina y Luque 60. Don Antonio de Luque 20. D. Bartolomé Repiso 60. Josef Lucena 4. D. Juan de Fio res 60. El gremio de especieros 760 rs. y 10 inrs. El mariscal de camoo D. To mas Zerain i^oo rs. D. Francisco Bel…</t>
  </si>
  <si>
    <t>Te, Vicente</t>
  </si>
  <si>
    <t>Vicente Te</t>
  </si>
  <si>
    <t>io8i Tercera clase. D. Antonio Saenz , D. Fernando Herrero , D. Vicente Te jada, D. Miguel de Goicochea, D. Andrés Ubago y D. Lucio Roldan. Torca 20 de Setiembre. El ilustre ayuntamiento de esta ciudad, no pudiendo desentenderse de la dolorosa decadencia á que se veian reducidos por las pasadas circunstancias sus establecimientos de…</t>
  </si>
  <si>
    <t>Teiesforo</t>
  </si>
  <si>
    <t>…in López, el segundo á D. Márcelo Se villano, el extraordinario á D. Josef Trespuentes , y laExcma. Sra. marquesa ‘de Vil la franca; adjudicó una obra elemental al cuarto opositor D. Teiesforo ' . ; / " ''Abascal. ' *' . '; c' La sociedad tuvo la mayor satisfacción en que los asistentes hiciesen á los mencionados discípulos varias preguntas, y que estos escribiesen en el ence rrado,, y (contestasen á cuantas cuestiones tuvieron ¿i.bien proponerles.…</t>
  </si>
  <si>
    <t>Tejada, Félix de</t>
  </si>
  <si>
    <t>Félix de Tejada</t>
  </si>
  <si>
    <t>163</t>
  </si>
  <si>
    <t>…ra que lo haga saber y cumplir en la Armada, contestando al mismo tiempo al expresado oficio de V. E., cuya vida ruego á Dios guarde muchos años. Pa lacio 12 de Febrero de 1816. = Sr. D. Félix de Tejada. Nota de los donativos hechos al Rey nuestro Señor, que se ha servido acep~ tary mandando se publiquen en la gaceta. La villa de Bilbao y pueblos del señorío de Vizcaya 42744 rs. vn., ios</t>
  </si>
  <si>
    <t>…Fernando; du que de Rivas; marques de Cerralvo ; señor de Rubianes; duque de Osuna.; duqne de Frías; marques de Ayerbe. Y ios Capitanes ge nerales del egército y de la Real armada D. Félix de Tejada, de cano del consejo del Almirantazgo, caballero gran cruz de la Real y distinguida orden de Cárlos m , y de la de S. Hermenegildo ; mar ques de Santa Cruz de Marcenado, caballero gran cruz de la Real</t>
  </si>
  <si>
    <t>…20 de Setiembre. El dia 7 del corriente tuvieron la honra de felicitar á S. M. por su concer tado enlace, en nombre de la villa de Arévalo y pueblos de su jurisdicción, los Sres. D. Félix de Tejada, capitán general de la Real armada , y decano del supremo Consejo de Almirantazgo, y el conde de Villariezo, teniente general de los Reales egércitos, é inspector de milicias provinciales; y el primero habló á S. M. en la forma siguiente: „Señor: La villa de…</t>
  </si>
  <si>
    <t>Tejada, Francisco Crespo de</t>
  </si>
  <si>
    <t>Francisco Crespo de Tejada</t>
  </si>
  <si>
    <t>…ira á orden de Jacobo Boto sobre Hope y compañía, de Amsterdan : seis de 65o, 670, 680, 690,700 y 110 doblones dadas en Lisboa á 16 de Abril de 1808 por Mr. Chegaray á la orden de D. Francisco Crespo de Tejada so bre Justo Bastiat, de Santander , á pagar en Madrid: ocho de 400, 600,6to, 620, 630, 640, 660 y 740 id. en todo como las anteriores: otra de 733 du-</t>
  </si>
  <si>
    <t>Tejada, Gregorio de</t>
  </si>
  <si>
    <t>Gregorio de Tejada</t>
  </si>
  <si>
    <t>…e ha mandado se cite, llame y emplace á D. Josef Julián Díaz, á los herederos de D. Francisco del Valle, á los de D. Guillermo Norigat, á los del sastre Manuel Suarez , y á los de D. Gregorio de Tejada, que no concurrieron á dicha junta por no habérseles podido citar, á causa de no tener noticia de sus habitaciones, para que en el término de 15 dias, que por tercero se les señala, y el último perentorio, se presenten ante dicho señor juez y escribanía del n…</t>
  </si>
  <si>
    <t>Tejada, Manuel García</t>
  </si>
  <si>
    <t>Manuel García Tejada</t>
  </si>
  <si>
    <t>…de Real Proclamación, vecino de la Havana, hace saber que Dona Mariana Saens, D. Josef Retortillo, D. Felipe Esmilch, D. Josef Gomara, Don Pedro Subviaga, D. Domingo de la Torre, D. Manuel García Tejada, D. Santiago Merino y D. Ignacio Yanci pueden ocurrir por sí ó sus poderes á cobrar de los bie nes de D. Gonzalo Recio Oquendo, marques de Real Proclamación, sus capitales y premios á que está comprometido en los autos que sobre el asunto le siguieron sus apo…</t>
  </si>
  <si>
    <t>Tejadas, Mariano</t>
  </si>
  <si>
    <t>Mariano Tejadas</t>
  </si>
  <si>
    <t>…cción y soltura, que no pudieron menos de admirar á todos los que sabían.que solo contaban 1-4 n?eces de enseñanza. En seguida se presentaron ios alumnos de la clase. de me diados D. Mariano Tejadas, D. Mariano Navarro y D.'.Joaquín Suria , qüies ■ ; ■ 1-: p .■ ' ..f; ■ •*.&gt; ' A’ • * - : j - * ■ i' ‘ .'.i í **•••’ ‘ ' ‘* : ' (1) Véase la gaceta del sábado 30 cíe Noviembre, artículo de París.</t>
  </si>
  <si>
    <t>Tejedor, Fructuoso</t>
  </si>
  <si>
    <t>Fructuoso Tejedor</t>
  </si>
  <si>
    <t>…Calderón 8. D. Fernando Gómez 10. Doña Margarita Martin 20. D. Santos Avoin Coronel en efectos y dinero 360. D. Manuel Cisneros 200. D. Anto nio Echenique 140. D. Josef Perez 40. D. Fructuoso Tejedor 30. D. Josef Lozano 30. D. Victorio Valtierra 30. D. Lorenzo de Seras 30. El coman dante de las armas 138. El contador y subalternos 60. El tesorero de ren ta' 23. ES administrador de rentas 23. D. Pedro Azaituno 30. El corregidor interino 24. 1). ‘Ensebio He…</t>
  </si>
  <si>
    <t>Tejeiro, Antonio Arias</t>
  </si>
  <si>
    <t>Antonio Arias Tejeiro</t>
  </si>
  <si>
    <t>…facer los gastos ocasionados en su extravío, y que entretanto llosa, en el obispado de Tuy, de quien se dijo después procedente la reteni da; mas la contestación bien contraria de D. Antonio Arias Tejeiro, herma no del D. Jósef, y sobrino del limo. Sr. arzobispo de Valencia, hizo paten te el error natural 6 voluntario de la suposición. , Durante la permanencia de la Doña María en el encierro se ha explicado en términos tan fáciles como inconsecuentes, que mani…</t>
  </si>
  <si>
    <t>Tejero, Josef</t>
  </si>
  <si>
    <t>Josef Tejero</t>
  </si>
  <si>
    <t>…D. Gregorio N ieto 20. D. Lorenzo Mu-te 2 3. El contador del crédito público 48. El deán de aquella santa iglesia 40 El arcediano de Avila 5 . El doctoral 23. El maestrescuela 40. D. Josef Tejero 20. D. Fernando Cerrudo 20. D. Miguel Cantero 70. D Andrés Calvedo 40. D. Victoriano Vacas 46. D. Juan Ser na 40. D. Felipe Raguimido 40. D. Diego Veruega 44^ E! lectoral 23. Don Julián Ga.scueña 46. D Antonio Arguello 48. D. Ramón Orachea 48. Don Fernando Pe…</t>
  </si>
  <si>
    <t>Teles</t>
  </si>
  <si>
    <t>…egía Girón. También se ha servido el Rey nombrar para la vara de alcalde mayor de la ciudad de Berlanga á D. Josef Fernandez Viliami!: para la de k Guardia, en el Reino de Jaén, á D. Teles foro Contreras: para la de Montemayor á D. Andrés Gómez Plata: para la de Higares á D. Manuel Gre gorio Velasco: para la de Salvatierra á D. Josef Antonio Ramo: para la de Fuensalida á D. Manuel Fernandez Azcona; para la de Doña Mencía á Don Alfonso Josef de…</t>
  </si>
  <si>
    <t>Telio, Vicente</t>
  </si>
  <si>
    <t>Vicente Telio</t>
  </si>
  <si>
    <t>…D. Félix Arguello 40. D. Sebastian Hernández 70. D Jo sef Broche ro 8. D. Josef Uaabal 69. D. Francisco Crespo 20. Agustín Bar tolomé 13. D. Eustbio Arrabal 20. Fernando Gómez 20. D. Vicente Telio 4. D. Manuel Cisneros 23. D. Valentín.Ximenez 20. D. Carlos Milre40. D. Esteban Gómez 20. D» Felipe Eneri y Seda 40. D. Gregorio Fernan dez 46. D. Fernando Larrondo 92. D. Martin Ocaf.a 20. D. Blas María 20. D. Pedro Pacheco 20. D. Fernando Prieto 24. D. Juan…</t>
  </si>
  <si>
    <t>Teran, Francisco Alonso de</t>
  </si>
  <si>
    <t>Francisco Alonso de Teran</t>
  </si>
  <si>
    <t>…ad correspondía á la Real audiencia de México, como procedente del espolio del limo. Sr. Don Juan Ignacio Castoreña, obispo que fue de Yucaran, y había percibido dicho tribunal de D. Francisco Alonso de Teran, de aquel comercio; y no habien do hecho después otra gestión alguna al efecto, ha acordado el Consejo su premo de Indias se le cite por medio de este periódico para que en el pre ciso término de 40 dias comparezca por sí ó por apoderado en dicha secre taría…</t>
  </si>
  <si>
    <t>Teran, Tomas Gutiérrez de</t>
  </si>
  <si>
    <t>Tomas Gutiérrez de Teran</t>
  </si>
  <si>
    <t>…elo la que se apresuró á hacer de su arcedianato el de la iglesia colegial de Calatayud , aunque com prendida por lo respectivo á los expresados ramos en la diócesis de Ta razona. D. Tomas Gutiérrez de Teran, guardia de Corps que era de la Real compañía Americana en el año pasado de 1807, se presentó entonces en la secretaría del Consejo y Cámara de Indias, por lo perteneciente á NuevaEspaña, á fin de que se le entregase un libramiento de 199 pesos, 6 rs. y medio…</t>
  </si>
  <si>
    <t>Tercilla, Vicente María de</t>
  </si>
  <si>
    <t>Vicente María de Tercilla</t>
  </si>
  <si>
    <t>…bre erudito Luís Antonio Muratori, bibliotecario del Sermo. Sr. duque de Módcna: traducido al castellano é ilustrado con notas, según el derecho Real de España, por el licen ciado D. Vicente María de Tercilla, abogado de los Reales consejos, del ilustre co legio de esta corte 6c:.: un tomo en 4.0 pasta. Véndese á 11 rs. en la librería de Castillo, frente á las gradas de S. Felipe. SUPLEMENTO</t>
  </si>
  <si>
    <t>…us apoderados, en todo este mes de Octubre, á presentar la fe de viudas, y ias huérfanas la de permanecer solteras, á la secretaría de dicho monte pio,: que corre á cargo del Lie. D. Vicente María de Tercilla, que vive ca lle dé la Concepción Gerónimá , manzana 160, numero 3 , cuarto principal; previniéndose que pasado dicho término no serán participantes de este socorro. El Sr. D. León de la Cámara Cano., del Consejo de S. M., teniente primero de corregidor de es…</t>
  </si>
  <si>
    <t>Teresa</t>
  </si>
  <si>
    <t>…canzadas de los mo ros el conde Henrique de Borgoña á aquel magnánimo Rey le remuneró es te con los estados que tenia en Portugal , y se los dio con la mano de su hi ja la Infanta Doña Teresa, ¿qué elección mejor podría hacer V. M. que la de una Infanta , descendiente por ambas líneas del tronco Real de Castilla, después de ocho siglos que há se coronó la rama de nuestra Infanta Doña Teresa, yen época tai, Señor, en que vuestra augusta Hermana su…</t>
  </si>
  <si>
    <t>Teresa, Pedro García</t>
  </si>
  <si>
    <t>Pedro García Teresa</t>
  </si>
  <si>
    <t>…z, ntím. 7, frerte á la de la Victoria. Se desea saber el paradero de! coronel retirado D. Antonio Vázquez de AMana , quien caso de hallarse en esta corte se servirá avistarse con D. Pedro García Teresa, que vive calle de Alcalá, núm. 2, cuarto bajo, pues se halla encargado de comunicarle ciertas noticias que le pu d-n ser convenientes. Memorias sobre la cuerra de hs franceses en España , escritas en francés por Mr. R occa, oficia! de húsares, y caba lero de…</t>
  </si>
  <si>
    <t>Ternando, D</t>
  </si>
  <si>
    <t>D Ternando</t>
  </si>
  <si>
    <t>…español su gratitud al cielo por ios dichosos sucesos con que ha señalado su protección a la heroica nación española, especialmente restituyéndole á su adorado y suspirado Rey el Sr. D Ternando vii , que libre de cautiverio volvió á pisar su territorio el afortunado dia 24 de Marzo de 1814, se puso de acuerdo este ayuntamiento por medio de comisionados con el cura párroco , y en la mañana del mismo dia 24 se celebró una solemne función de iglesia y…</t>
  </si>
  <si>
    <t>Terri</t>
  </si>
  <si>
    <t>…v.-iq ol r j A eso de las; cinco y media de la tarde el populacho se dirigió por la calle de Leadenhall á la de Aldg3te, donde había una! partida de guardias de Corps al mando del teniente Terri, á cuya vista se pararon los revoltosos*' muchos de los cuales estaban armados, y los que se hallaban en primera filsi hicieron fuego á la tropa; sin embargo, no hubo mas desgracia que ün caba llo herido. Entonces el teniente Terri embistió á los amotinados,…</t>
  </si>
  <si>
    <t>Tersando</t>
  </si>
  <si>
    <t>…oria la de un dia tan cékbre. cuno recuerdo ocuparla tter; emente un lugar eminente en la historia de la fidelidad caro pecharía , que caca dia re esmeraba en dar á su Soberano el Sr. D. Tersando mi nuevos testimonios</t>
  </si>
  <si>
    <t>Teruel, Pedro</t>
  </si>
  <si>
    <t>Pedro Teruel</t>
  </si>
  <si>
    <t>…co Ristori y D. Santiago Soroa. A alféreces de Navio los de Fragata D. Luis Romero, D. Josef Sevilla, D. Félix Martínez, D. Ildefonso Yoldi, D. Josef del Solar, D. Juan de Lerena, D. Pedro Teruel, D. Ber nardo Roca, D. Luis Roca, D. Manuel de Llanos, D. Juan Cervino y Don Miguel del Solar. jEn el cuerpo de Ingenieros. Para el grado de ingenieros en gefe al en segundo D, Vicente Manterola y D. Joaquín María Perl., A ingeniero en segundo al ordinario D,…</t>
  </si>
  <si>
    <t>Thomfer</t>
  </si>
  <si>
    <t>…ague $ de Diciembre. Las tempestades que ha habido en el mes pasado en el mar del Norte y en el Báltico han causado el naufragio de gran número de buques, entre otros de la Julia, capitán Thomfer, que partió de Burdeos para Copenhague el 13 de Noviembre, y el de la Regina, capitán Schemitz ,expedido de la Ro chela para HamburgoV '&gt;' Lá gaceta ministerial contiene la noticia siguiente sobre los Reyes de San to Domingo , extractada del viage ingles de M…</t>
  </si>
  <si>
    <t>Thornton, Samuel</t>
  </si>
  <si>
    <t>Samuel Thornton</t>
  </si>
  <si>
    <t>…auenzien. GRAN BRETAÑA. Londres ij de Junio. La semana pasada se ha recibido aquí la carta siguiente del cónsul ingles en Petersburgola cual ha producido la mas viva sensación* Ai caballero Samuel Thornton , director de la compañía de Rusia. Petersburgo 10 de Mayo. Con fecha de 3 del corriente escribí á V., y dos dias después le envié por un expreso el nuevo arancel. Hoy participo á V. con mucho sentimiento que acaban de pasarse órdenes á esta aduana para que s…</t>
  </si>
  <si>
    <t>Ti, Gerónimo</t>
  </si>
  <si>
    <t>Gerónimo Ti</t>
  </si>
  <si>
    <t>…je: para la Je Ayamot te á D. Juan de Padilla y Ortiz: para la vara segunda de teniente de asúrente de la ciudad de Sevilla á D Francisco Belloc y Navarro: para la de Yillamañan á D. Gerónimo Ti jerina: par¿ la del Real sitio y villa del Fscoral, juez privativo de aquellos Reales bosques, de los de la abadía de Parrace*, Que jigar y S. Saturnino, á D. Juan Orduña y Argel: para la de Zafra a D JosefPonce de León y Navarrete: para la de la Mora en Cast…</t>
  </si>
  <si>
    <t>Tibur</t>
  </si>
  <si>
    <t>…esia de Orihuela , el Dr. D. Antonio Ce rudo Sanz, inquisidor honorario del tribunal de corte, el Lie. D. Inocen cio Angel de la Rosa, relator del consejo de Inquisición, y el Dr. D. Tibur, ció Saez, capellán de honor de S. M., canónigos de la expresada iglesia ¿ y el primero pronunció el discurso siguiente: j ,,Señor: Si la mano benéfica de una Providencia extraordinaria ha con ducido á V. M. hasta este momento, cubriéndole de gloria para hace…</t>
  </si>
  <si>
    <t>TIenrían</t>
  </si>
  <si>
    <t>122 Jixtracto de una carta del Sr. TIenrían al Sr. conde de Tangir and, es crita del Enríale, en la rada de la Guaira, el jo de Julio de 1816. „E1 21 por la tarde anclé en la rada de la Guaira * á cuyo tiempo había dos corsarios de los independientes al frente de este puerto , que se alejaron á nuestra…</t>
  </si>
  <si>
    <t>Tirado, Josef María</t>
  </si>
  <si>
    <t>Josef María Tirado</t>
  </si>
  <si>
    <t>…nteligencia y cumplimiento. Dios guarde á V. muchos años. Madrid 11 de Noviembre de 1816. El Rey se ha dignado conceder honores de alcalde del crimen de la au diencia de Sevilla a D. Josef María Tirado, corregidor de la ciudad de Carmona., Asimismo ha nombrado S. M. para la asistencia de Sevilla al intenden te del egército y de la misma ciudad D. Francisco La Borda: oara el cor regimiento de Boñar á D. Pedro Font y Grau; y para el de Moya á Don</t>
  </si>
  <si>
    <t>Tiscar, Antonio</t>
  </si>
  <si>
    <t>Antonio Tiscar</t>
  </si>
  <si>
    <t>…mandado las barcas, y que mas se han distinguido por su gallardía y actividad, son los alféreces de na vio D. Manuel Mieres y D. Ramón Londoño, los de fragata D. Estéban Croquer, D. Antonio Tiscar, D. Joaquín Mozo, D. Juan de Arcos, Don Antonio Sotelo, D. Manuel Zaragoza y D. Felipe Roldan, y los guardias marinas D. Antonio Urzais y D. Juan Mesías. No me detendré en explicar la clase de méritos que han contraído , ni la recompensa que merecen sino me t…</t>
  </si>
  <si>
    <t>…los de fragata D. Juan Montano, con la antigüedad á este de la promoción de 29 de Mayo del año pasado de 1815 , D.-E legarlo, de los Cuetos, D. Josef Quesada , D. Esteban Croquer, D. Antonio Tiscar, D. Joaquín Mozo, D. Juan de Arcos , D. Antonio Sotelo , D. Manuel Zaragoza , D. Felipe Roldan , Don Antonio Urzais y D. Juan Mesías: el de alféreces de fragata á los guardias marinas D. Juan Mozo, D. Segundo Díaz Herrera, D. Victoriano López Llanos, D. Josef…</t>
  </si>
  <si>
    <t>Tittman</t>
  </si>
  <si>
    <t>…odía considerarse como una obra maestra en varias de sus partes. El profesor Frederici, su discípulo, acaba de imprimir este proyecto con notas muy instructivas. Por otra parte el profesor Tittman, de Leipsick, ha concluido también su proyecto de código penal que le habia encargado el Gobierno. Estos dos-proyectos se han pasado á una comisión especial es tablecida en Dresde, y compuesta de varios estadistas y jurisconsultos. ALEMANIA. Francfort 8 de No…</t>
  </si>
  <si>
    <t>To</t>
  </si>
  <si>
    <t>…ona quisiere hacer me jora acuda ante el Sr. D. L eon de la Cámara Cano, del Consejo de S. M., teniente primero, y corregMor inte ino de esta villa, por ia escribanía numeraria de D. To rnas de Sancha y Pr,do, hasta el dia 29 de este mes , en que se celebrará el remate en la audiencia de S. S. de 12 á una de su mañana. En virtud de providencia del Sr. D. León de la Cámara Cano, teniente corre gidor, y corregidor interino de Madrid, dada á in…</t>
  </si>
  <si>
    <t>…afael de Medina y Luque 60. Don Antonio de Luque 20. D. Bartolomé Repiso 60. Josef Lucena 4. D. Juan de Fio res 60. El gremio de especieros 760 rs. y 10 inrs. El mariscal de camoo D. To mas Zerain i^oo rs. D. Francisco Beltran de Guevara 160. D. Rafael Crespo ico. D. josef Herrera 120. D. Juan Carrillo y Aguayo 70. D. Miguel Mu ñoz 320. D. Rafael Juanicotena 1$. D. Andrés de León 100. D. Antonio Ru iz 60. D. Angel del Riego 100. Geraido de l…</t>
  </si>
  <si>
    <t>Toaar, Gregorio de</t>
  </si>
  <si>
    <t>Gregorio de Toaar</t>
  </si>
  <si>
    <t>…s á una diputación de la villa de‘Linares, del reino de Jaén , compuesta de su corregidor el Dr. D. Josef Julián de Ortega &gt; y de’los regidores perpetuos D. Josef Ranz de Yanguas, D. Gregorio de Toaar y D. Manuel García de los Ríos , que en nombre de los vecinos de aquella villa que representaban prestaron á S. M. y A. R. los debidos homenages de respeto y fidelidad; y poco después admitieron igualmente á su presencia al limo. Sr. D. Cristóbal Penez y Vía la, obispo de Jaca…</t>
  </si>
  <si>
    <t>Tofiño, Vicente</t>
  </si>
  <si>
    <t>Vicente Tofiño</t>
  </si>
  <si>
    <t>…ocorro y D. Luis de Córdoba. Hecha la paz en 1783» y habiéndose egercitado algún tiempo en la práctica de la astronomía en el observatorio de Cádiz, fue destinado á las órdenes de D. Vicente Tofiño para ayudarle en la comisión de levantar y trazar las cartas hidrográfi cas de la costa de España é islas adyacentes, contribuyendo con sus obser vaciones y trabajos, particularmente en toda la costa que corre desde Fuenterabía al Ferrol, á la perfecta conclu…</t>
  </si>
  <si>
    <t>Toledo, Armi'd.z de</t>
  </si>
  <si>
    <t>Armi'd.z de Toledo</t>
  </si>
  <si>
    <t>…uien tuvo igualmente el honor de felicitar con tan plausible motivo. En el mismo dia 6 la diputación nombrada por la santa Real hermandad vieja de Toledo, compuesta del Excmo. Sr. conde Armi'd.z de Toledo, ma riscal de campo de los Reales eeércitos ; el Dr. D. Alejandro Merino , regi dor perpetuo de la misma; D. Apolinar de Uruñuela , caballerizo de cam po ; D. Isidoro de Lara, y D. Patricio Ortiz de Pareja, hermanos y secrctirio de ella, tuvo el honor de besa…</t>
  </si>
  <si>
    <t>Toledo, Arzobispo de</t>
  </si>
  <si>
    <t>Arzobispo de Toledo</t>
  </si>
  <si>
    <t>…to que había concebido desde el principio, y asi á fuerza de diligencias.y esmero, y con las limosnas de algunas personas piadosas, entre las cuales se distinguió el Emo. y Excmo. Sr. Arzobispo de Toledo, pudo dispensar una sala capaz en donde se instruyesen ios niños. Hecho esto el mencionado dia 29 de Febrero último , precedido convite á las primeras autoridades, á los padres de los niños pobres que debían ser educados y á otras varias personas, el religios…</t>
  </si>
  <si>
    <t>Toledo, Cardenal Arzobispo de</t>
  </si>
  <si>
    <t>Cardenal Arzobispo de Toledo</t>
  </si>
  <si>
    <t>…convite los embajadores, ministros extrangeros y secretarios del Despacho, los conse jos, el capitán general con los generales y plana mayor, la viila de Madrid, el Hmo. y Excmo. Sr. Cardenal Arzobispo de Toledo y el de Zaragoza, los limos. Sres. obispos auxiliar de Madrid, de Albarracin, de Puerto-Rico, de Cádiz, de Ceuta, electo de Jaén, y el obispo inquisidor general, los capellanes de honor, y todos los individuos de la Real capilla; las gran des y señoras de toc…</t>
  </si>
  <si>
    <t>Toledo, Francisco</t>
  </si>
  <si>
    <t>Francisco Toledo</t>
  </si>
  <si>
    <t>TT°4 Ei Sr. D. Joaquín Almazan y Xímeno, del Consejo de S. M., teniente corre* gidor de esta villa, ha tenido á bien señalar para junta general de acreedores á lo* bienes de D. Francisco Toledo, ausente* del comercio de esta c.orte* ei domingo ay de! actual á las nueve de Ja mañana en la posada de S. S.; con prevención de que se -haga saber á los ignorados por medio de este aviso, á fin de que puedan concur rir y presentaras respectivos créditos en…</t>
  </si>
  <si>
    <t>Toledo, Josef María</t>
  </si>
  <si>
    <t>Josef María Toledo</t>
  </si>
  <si>
    <t>…re ^8 personas casi moribundas que encontró en dicha Americana, y volvió á la costa á procurar la prisión de los insurgentes bastante conocidos que estaban en tierra, y son el Dr. D. Josef María Toledo, Dr. D. Miguel Díaz Granados, D. Domingo Granados, Dr. D. Basilio Toro, D. Esteban de Pumbo, y familia, D. María Amador , é id., D. Santiago Launa, é id., D. Manuel Verve id., D. Fran cisco Fierro é hijo. Quedaron apresados los individuos siguientes: á saber…</t>
  </si>
  <si>
    <t>Toledo, Pedro Alvarez de</t>
  </si>
  <si>
    <t>Pedro Alvarez de Toledo</t>
  </si>
  <si>
    <t>…e Borbon , Infanta de España: de S. A. el Sermo. Sr. Infante D. Carlos María Isidro, y de la Serma. Sra. Infanta Doña María Francisca de Asís, her mana de la Reina nuestra Señora; D. Pedro Alvarez de Toledo, conde de Miranda , grande de España de primera clase, caballero gran cruz de la Real y distinguida orden española de Carlos m, y de la militar de Santiago, teniente general de los Reales egércitos, gentilhombre de Cámara del Rey nuestro Señor, y so mayordomo…</t>
  </si>
  <si>
    <t>Toledo, Ramón Octavio de</t>
  </si>
  <si>
    <t>Ramón Octavio de Toledo</t>
  </si>
  <si>
    <t>…que pretendan tener derecho á 29 va les Reales de 60o pesos y 14 dé góo, todos de lá creaciorrde Mayó de 1808 , que se hallan detenidos en la oficina de renovación i instancia de D. Ramón Octavio de Toledo, vecino de la ciudad de Corella, que los reclamó como de su pertenencia, por haberlos remitido á Peire para su renovación, por quien suenan endosados á fa vor de Ascorbeta, para que en el término de go cjias que se les señalan, contados desde 4 del corriente…</t>
  </si>
  <si>
    <t>Toll</t>
  </si>
  <si>
    <t>…; el barón Meller-Sakomeslky, gene ral é inspector de artillería; el teniente general de ingenieros Oppermann , que egerce las funciones de inspector del mismo cuerpo; el teniente general Toll, cuartel-maestre general, y el ayudante general Sakreuski.” El embajador de Persia ha tenido una audiencia particular de S. M. To davía no ha hecho su entrada solemne á causa del rigor del frió, que no po drían tolerar los elefantes destinados á la pompa y ma…</t>
  </si>
  <si>
    <t>Tolly, Príncipe Barclay de</t>
  </si>
  <si>
    <t>Príncipe Barclay de Tolly</t>
  </si>
  <si>
    <t>…consideraciones, que en otro tiempo hubieran sido desatendidas.” RUSIA. Petersburgo 23 de Diciembre. Ayer de mañana llegó i esta capital S. A. R. el Príncipe de Orange. _ El feld-mariscal Príncipe Barclay de Tolly se halla de vuelta en esta corte, como también el conde de Winzingerode, ministro plenipotenciario de Wurtemberg. Se asegura que el 27 de este mes hará su entrada solemne en esta ciudad el embajador de Persia, que hace seis meses que está aquí. El conde de La…</t>
  </si>
  <si>
    <t>Tolra, Carlos</t>
  </si>
  <si>
    <t>Carlos Tolra</t>
  </si>
  <si>
    <t>…eda su fuerza reunida sobre Pamplona, adonde ha penetrado desputs de mi salida una división insurgen te, y pnra donde he enviado ya un fuerte cuerpo al mando del teniente co ronel D. Carlos Tolra. Obre V. con actividad y de acuerdo para que nin guno escape. Haga V. venir los vestuarios, municiones y cuanto pertenez ca á la división sin el menor recelo. ,, lie dado una batalla-á todas las fuerzas de los rebeldes, que ha durado dos dias. lian sido tan c…</t>
  </si>
  <si>
    <t>Tomas</t>
  </si>
  <si>
    <t>…n la Real Calcografía, sita en fa imprenta Real. Estampas en cuartilla de marca mayor. Vista del puerto y grao de Valencia, dibujada por D. Antonio Josef Cavanilles, y grabada por D. Tomas En grúdanos, á 5 rs.tnSeis estampas del poema de la música, dibujadas por D. Greor'10 Ferro, y grabadas por D. Manuel Salvador Carmona, D. Fernando Sclma y ) Joaquín Ballester, á 16 rs. rrrCuatro estampas de devoción, dibujadas por Doaf Mariano Maella, y grabada…</t>
  </si>
  <si>
    <t>…la, y por la escribanía del número de D. Martin Santin y Vázquez, donde se halla radicada dicha testamentaría; prevenidos que de no hacerlo les parará el perjuicio que haya lugar. D. Tomas, Doña Columba y Doña Antonia de CHeverri y Tenllado, hermanos, vecinos que fueron de la villa de Posadas, en la provincia de Córdoba, en su tes tamento nombraron por uno de sus herederos á D. Miguel de Cheverri y Pineda, su sobrino, y por su fallecimiento sin…</t>
  </si>
  <si>
    <t>Tomas, Manuel</t>
  </si>
  <si>
    <t>Manuel Tomas</t>
  </si>
  <si>
    <t>…nsionista de las Escuelas Pías, presentó en una canción á los niños de la cla se de escribir, bajo la dirección ael P. Fermín García de Jesús y María maes tro de caligrafía. Luego D. Manuel Tomas pronunció un discurso castellano sobre la necesidad de una buena educación. En seguida fueron preguntadas todas las partes del catecismo que se enseña en estas escuelas. Después los ni ños mas tiernos recitaron algunas fábulas de Samaniego é Iriarte: presenta…</t>
  </si>
  <si>
    <t>Tomas, Pedro</t>
  </si>
  <si>
    <t>Pedro Tomas</t>
  </si>
  <si>
    <t>…a correspondiente Real provisión con fecha de 14 del presente mes. Por el juzgado de Marina de primera ímtancia sigue autos D.. Antonio Costilla, alférez de fragata 'retirado, con D. Pedro Tomas, natura! de'la ciudad de Mallor ca, que ha residido muchos años en esta corte, st brc peí tendnria de unas acciones del Real empréstito dé 160 millones, y otras de la compañía de libreros de e¿tá corte; y habiendo resultado el fallecimiento de! D. Ped o Torna…</t>
  </si>
  <si>
    <t>Tomaseti, Sixto</t>
  </si>
  <si>
    <t>Sixto Tomaseti</t>
  </si>
  <si>
    <t>…s de Mendoza; á oficial tercero el cuarto D. JosefPerez Navarro; á oficiales cuartos los quintos D. Juan Ferrer y D. Josef Rodrí guez Flores , y á oficiales quintos los meritorios D. Sixto Tomaseti y D. Jo sef Gómez Roldan. Graduaciones, Graduación de oficial primero al segundo D. Miguel Sarmiento; gra duación de oficiales segundos á los terceros D. Josef Agnete y D. Josef Mi lian; graduación de tercero al cuarto D. Francisco Cerquero; graduación de cuarto al q…</t>
  </si>
  <si>
    <t>Tomé, Julián</t>
  </si>
  <si>
    <t>Julián Tomé</t>
  </si>
  <si>
    <t>…bcimo enlace, á nombre de la ciudad de Segovia, los regidores de ella el marques de Quintanar, brigadier de los Reales egéreitos, coronel del regimiento provincial de la misma , y D. Julián Tomé de la Infanta ; habiendo dicho el primero como decano de aquel ayun tamiento: ,, Señor: La ciudad de Segovia nos ha condecorado con la mas distinguida comisión para que felicitemos á V. M. con el mas respetuoso y sincero amor por su concertado matrimonio y el…</t>
  </si>
  <si>
    <t>Ton</t>
  </si>
  <si>
    <t>…óle trages de España, del original del Ticiano, copiados y grabados por D. Josef Camarón, iluminadas á 20 r$. izrldem sin iluminar á 6. rz Retrato de D. Juan Palomino, grabado por D. Ton»s Engrúdanos, á 2 rs. zf Retrato de D. Rafael Mengs, a 2 rs zr:Trece estampas de varios'pensamientos, inventados y grabados al 3§ua fuerte por D. Ramón Fayeu, á 12 rs, conthiuará.') ,</t>
  </si>
  <si>
    <t>Topete, Francisco</t>
  </si>
  <si>
    <t>Francisco Topete</t>
  </si>
  <si>
    <t>…omingo, batiéndolos desde estas, y abordan-, dolos: entre ellos un bergantín de 10 cañones y 50 hombres de tripulación completamente armado. ,, También apresó el teniente de navio D. Francisco Topete un místico de los 11 buques que salieron de la plaza , y se cogió preso al rebelde Stuart, natural de Buenos-Aires, uno de los principales cabezas, que estuvo preso en España, y se fugó, el que se dirigíala! rio Atrato para internarse en el rei no de Sta. Fe.…</t>
  </si>
  <si>
    <t>…r á cualquier buque que se presentase. También recomiendo á V. E. al alférez de fragata Don Olegario de los Cuetos, que mandó una balandra en el último mes. ,,El teniente de navio D. Francisco Topete ha tenido una parte muy di recta en el buen éxito del bloqueo, pues decidió con su manejo á los habi tantes de la isla Baru á que abrazasen el partido del Rey, y que estrecha sen el sitio por aquella parte, entorpeciendo los recursos que podían entrar por Pas…</t>
  </si>
  <si>
    <t>Topete, Francisco de Paula</t>
  </si>
  <si>
    <t>Francisco de Paula Topete</t>
  </si>
  <si>
    <t>…regimiento infantería de la Victoria D. Alfon so de Sierra, que llego á Cádiz el 12 del actual en el bergantín de guerra Vengador al mando del teniente de navio de la Real Armada D. Francisco de Paula Topete, procedente de la plaza de Cartagena de Indias ,ha recibido el Rey nuestro Señor en la noche de ayer pliegos de oficio del teniente ge neral D. Pablo Morillo, general en gefe del egército expedicionario de la Coíta-firme, de su segundo, y comandante general d…</t>
  </si>
  <si>
    <t>Topete, Francisco Paula</t>
  </si>
  <si>
    <t>Francisco Paula Topete</t>
  </si>
  <si>
    <t>…nte el sitio ha mandado la columna de cazadores á toda mi satisfacción, y este mismo podra informar a V. E. verbálmente de todo lo ocurrido. * ' ' , , , , ■ , El teniente de navio D. Francisco Paula Topete va mandando el ber gantín Vengador, duyo buque es una de las 12 presas que se han hecho car eadas de hanna y otros efectos comestibles: este oficial, encargado de la cor respondencia , es muy conocido en estos países, donde lo aman mucho por sus bellas cualid…</t>
  </si>
  <si>
    <t>Topete, Juan Bautista</t>
  </si>
  <si>
    <t>Juan Bautista Topete</t>
  </si>
  <si>
    <t>…visión de D. Calixto solo sufrió la desgra cia de dos hombres heridos. Sigue un oficio del gobernador de Veracruz, con un parte que recibió del comandante del cantón de Thcotalpan D. Juan Bautista Topete, avi sándole de haber mandado una división de 114 hombres al mando del te niente D. Ildefonso Gutiérrez, para perseguir al cabecilla Francisco de Pau la , que con su gavilla ocupaba el punto de Boca de Costal, entre Alv.irado y Veracruz , única reunión de reb…</t>
  </si>
  <si>
    <t>Topete, Juan de Dios</t>
  </si>
  <si>
    <t>Juan de Dios Topete</t>
  </si>
  <si>
    <t>…uel Moreno, oficial segundo primero de la secretaría de Estado y del Despacho universal de Marina ; á D. Joaquín Cisternes, ministro toga do del Consejo supremo de Almirantazgo; á D. Juan de Dios Topete , gefe de Escuadra de la Real Armada; á D*. Josef Mulier, gefe de Escuadra , é in geniero director de Marina, y á D. Francisco de Cantos, intendente del de partamento de Cartagena. A brigadier el capitán de Navio D. Antonio Vacaro. A capitanes de Navio los de…</t>
  </si>
  <si>
    <t>Tor, Bartolomé Muñoz de</t>
  </si>
  <si>
    <t>Bartolomé Muñoz de Tor</t>
  </si>
  <si>
    <t>…haber fallecido, para que en el término de ig dias, contados desde hoy, comparezcan á exponer y pedir lo que les convenga en dicho asunto por la escribanía de cámara del cargo de D. Bartolomé Muñoz de Tor res, por medio de procurador con poder bastante; con apercibimiento de que pa sado el mencionado término se substanciarán los autos en los estrados del Consejo en su ausencia y rebeldía, y les parará el mismo perjuicio que si en sus propias per sonas se hicie…</t>
  </si>
  <si>
    <t>Tor, Manuel de</t>
  </si>
  <si>
    <t>Manuel de Tor</t>
  </si>
  <si>
    <t>…alacio á 21 de Junio de 1816. = YO El REY. = Yo Don Juan Ignacio de Ayestarán, Secretario del Rey nuestro Señor, lo hice escri bir por su mandado. = D. Gonzalo Josef de Vilchcs. = D. Manuel de Tor res. =:D. Tadeo Gómez. ssD. Josef Montemtyor. = D. Felipe de Sobrado. 2 Registrada., Aquilino Escudero.2Teniente de Canciller mayor» Aquilino Escudero. S. M. ha tenido á bien, conformándose con la consulta de la cámara de Indij«, aprobar la permuta que de sus…</t>
  </si>
  <si>
    <t>Torio, Torcuato</t>
  </si>
  <si>
    <t>Torcuato Torio</t>
  </si>
  <si>
    <t>…D. Nicolás Abreu , maestro de la escuela Real, que presentó mayor nú mero de niños premiados, recibió una medalla de oro de cuatro duros, y un egemplar ia colección de muestras de D. Torcuato Torio, y otro premio igual Doña María Sosa por la misma razón. A la maestra Doña María Calzadilla se le dió una medalla de plata para empeñar su aplicación. Habiendo adjudicado el premio í los dibujos de cuerpo entero de Nico lás Romero y de Josef Cabrera ,y no sie…</t>
  </si>
  <si>
    <t>…tos de caligrafía, que contienen los preceptos y reglas necesarias para ad quirir un pleno conocimiento del arte de escribir letra española, con arreglo al sistema de enseñanza de D. Torcuato Torio de la Riva, adaptables á las escuelas de las aldeas, por D. J. A. S. M : su precio 5 rs.: puede ir en carta----Catecismo de historia sagrada para servir de suplemento á los de los Padres Ripalda y Astete: contiene desde la creación del mundo basta la venida d…</t>
  </si>
  <si>
    <t>…odas clases. * Este acto comenzó por presentar planas de algunos niños, en las cuales todos admiraron la gallardía y limpieza de las letras y perfecta imitación de las muestras de D. Torcuato Torio. Se siguió el examen de leer en impreso y manuscrito, en que no tuvieron menos que admirar al ver la expedición y el sentido conque leyeron, dando toda la fuerza á interrogantes, admira ciones &amp;c.: especialmente llevó la atención un niño de cuatro años y cuat…</t>
  </si>
  <si>
    <t>Tórmasoíf</t>
  </si>
  <si>
    <t>…ti cipado para construir los,edificios incendiados cuando la invasión del enemigo. El 31 visitó el Emperador el hospital y las cárceles. S. M. comió el 2 de Sétibínbre'ebseasa dél general Tórmasoíf, comandante en ’gefé, y por laínoteHe’ asistió á la comedia , en donde se dio el baile nacional de la Fiesta de Mayo- Al dia siguiente por la mañana asistió á la pesquería en los lagos de Kolomenskoje y Zarizino, y-en seguida fue á comer á Suchanowo en casa d…</t>
  </si>
  <si>
    <t>Tormasow</t>
  </si>
  <si>
    <t>…ndo de entre sus cenizas, será mas hermosa que nunca, aunque no tan grande. Increíble parece la mudanza que en tan poco tiempo se lia hecho allí: su gobernador actual el general y almirante Tormasow, emplea ia mas cons tante actividad en hacerla reedificar. Forma un espectáculo asombroso y nue vo: la llanura inmensa, en donde-distingue ia vista una miscelánea confusa y varia de ruinas, de magníficos palacios de piedra y de madera , de casas gran des y ch…</t>
  </si>
  <si>
    <t>Torneo, Antonio</t>
  </si>
  <si>
    <t>Antonio Torneo</t>
  </si>
  <si>
    <t>…n Santiago Novo, D. Josef Sánchez, D. Josef Antonio Suarez, D. Cayetano Inzuela y D. Jacobo Auli. Para la graduación de alféreces de Navio d los que lo son en propiedad de Fragata D. Antonio Torneo y D. Manuel Guin de Torres. Para la misma graduación al que lo estd de alférez de Fragata D. Andrés Freire. DEPARTAMENTO DE CARTAGENA. Para teniente de Navio al primer piloto graduado de teniente de Fragata D. Juan Navarrete. A la graduación de tenientes de Fragata d los que lo están d…</t>
  </si>
  <si>
    <t>Toro, Basilio</t>
  </si>
  <si>
    <t>Basilio Toro</t>
  </si>
  <si>
    <t>…costa á procurar la prisión de los insurgentes bastante conocidos que estaban en tierra, y son el Dr. D. Josef María Toledo, Dr. D. Miguel Díaz Granados, D. Domingo Granados, Dr. D. Basilio Toro, D. Esteban de Pumbo, y familia, D. María Amador , é id., D. Santiago Launa, é id., D. Manuel Verve id., D. Fran cisco Fierro é hijo. Quedaron apresados los individuos siguientes: á saber , Manuel Antonio, Manuel y Leandro Salgado, nueve esclavos de la famili…</t>
  </si>
  <si>
    <t>Torquemada, Gerónimo Gascón de</t>
  </si>
  <si>
    <t>Gerónimo Gascón de Torquemada</t>
  </si>
  <si>
    <t>…las gradas de S. Felipe, y de Rodríguez, calle de las Carretas. Nicimíento, vida, prisión, y muerte de D. Rodrigo Calderón, marques de Sie te Iglesias, conde de la Oliva &amp;c., por D. Gerónimo Gascón de Torquemada, apo sentador de S. M. y de la cámara del Sermo. Sr. Infante D. Carlos, su amigo y tes tigo de vi ta á todo lo que refiere: un tomito en 8.° á 6 rs. en pasta y 4 en rústi ca. r= Lícito recreo casero, o colección de juegos conocidos con el nombre de jue gos de…</t>
  </si>
  <si>
    <t>Torrado, Bartolomé</t>
  </si>
  <si>
    <t>Bartolomé Torrado</t>
  </si>
  <si>
    <t>…que se consideren coa legítimo derecho á disfrutar de esta gracia presenten los documentos que cali fiquen sus respectivos créditos en la secretaría de la misma junta,al car^o de D. Bartolomé Torrado, que vive Puerta del Sol, casa de la Inclusa, á fin de que reunidos todos pueda acordar lo mas conveniente acerca de su pago. Se halla vacante la plaza de cirujano de la villa de los Santos de la Humosa, dis tante de la corte siete leguas y una de Alcalá; y d…</t>
  </si>
  <si>
    <t>Torre</t>
  </si>
  <si>
    <t>…la goleta María Arnou, procedente de Cartagena de Indias, y por su conducto se ha confirmado la noticia de la toma de Santa Fe por una división del egército Real á las órdenes del coronel Torre. Con este motivo publicó el gobernador de Cartagena en 20 de Mayo la proclama siguiente: „Se anuncia al público que el Excmo. Sr. capitán general de este reino ha recibido del coronel D. Miguel de la Tprre, comandante del egército oriental del Magdalena, la g…</t>
  </si>
  <si>
    <t>Torrecilla, Antonio Dámaso</t>
  </si>
  <si>
    <t>Antonio Dámaso Torrecilla</t>
  </si>
  <si>
    <t>…Enero del presente año, se dio principio al curso anatómico por la explicación de los- tratados de osteolo gía y mioLogia bajo la dirección de los beneméritos y zelosos profesores Don Antonio Dámaso Torrecilla, catedrático de anatomía, y D. Juan de Aza.or la, maestro disector en los Reales hospitales, á cuya vigilancia y esmero pueden atribuirse en gran parte los grandes adelantamientos, de que aca ban de dar el testimonio mas autentico los alumnos practicantes en…</t>
  </si>
  <si>
    <t>Torres, Bartolomé Muñoz de</t>
  </si>
  <si>
    <t>Bartolomé Muñoz de Torres</t>
  </si>
  <si>
    <t>…acordasen por la referida Junta, sin contravenirlas, ni permitir su contravención en manera alguna: que asi es mi voluntad; y que al traslado impreso de esta mi cédula* firmado de Don Bartolomé Muñoz de Torres* mi Secretario* Escribano de Cámara mas anti guo y de Gobierno del mi Consejo, se le dé la misma fe y crédito que á su original. Dada en Palacio á 21 de Junio de 1816. = YO El REY. = Yo Don Juan Ignacio de Ayestarán, Secretario del Rey nuestro Señor, lo hice…</t>
  </si>
  <si>
    <t>Torres, Gabriel de</t>
  </si>
  <si>
    <t>Gabriel de Torres</t>
  </si>
  <si>
    <t>…nel de la Victoria D. Miguel de la Torre y el sargento mayor D. Matías Escuré han llenado completamente mis deseos en cuantas ocasio nes los he empleado. „E1 coronel de artillería D. Gabriel de Torres, comandante general in terino de su arma, ha trabajado con un zelo decidido en su instituto, y en la actualidad está empleado de gobernador interino de esta plaza con el apre cio general de todo ei egército y pueblo que lo aman por sus bellas cualida des , en…</t>
  </si>
  <si>
    <t>…S. Josef y el An gel se rindieron el 7. El gene-ral Morillo, que se anticipó á mi arribo á Ja plaza, nombró hasta mi llegada gobernador interino de ella al coronel de ar tillería D. Gabriel de Torres, elección que mereció todo mi agrado,, y con firmé inmediatamente. Las apreciables circunstancias que concurren en el co ronel Torres de entereza, moderación, delicado discernimiento y carácter atractivo le van concííiando ei afecto público,y como siempre he…</t>
  </si>
  <si>
    <t>…el de la Torre, idein del de la Victoria, y D, Francisco Tomas Morales, Ídem del del Rey de línea, y comandante general de la vanguardia del egército, su ascenso á brigadieres: al coronel D. Gabriel de Torres, te niente coronel de Artillería y mayor general de la del egército, el ascenso á brigadier, y el gobierno de la plaza de Cartagena de Indias: á D. Francisco VVarleta, teñieerte coronel del regimiento infantería de León, y mayor ge neral interino de la del eg…</t>
  </si>
  <si>
    <t>Torres, Jorge</t>
  </si>
  <si>
    <t>Jorge Torres</t>
  </si>
  <si>
    <t>…jaquesas, pagadas de los caudales, y ademas casa buena para su habitación , y algunos gages de las madres de las niñas mas pudientes. Las pretendientes dirigirán sus memoria les á D. Jorge Torres, secretario del ayuntamiento, hasta el dia 1 a de Octubre del corriente ano. Lecciones elementales de química para uso de los principiantes. En este tratado elemental se comprenden los adelantamientos mas moderno» de esta ciencia, indis pensable para el conoc…</t>
  </si>
  <si>
    <t>Torres, Juan Esteban Lozano de</t>
  </si>
  <si>
    <t>Juan Esteban Lozano de Torres</t>
  </si>
  <si>
    <t>…á su cumplimiento. ^Rubrica-, do de la Real mano de S. M. = En Palacio á 20 de Enero de 1816. = A Don Pedro Cevaüos. El Rey se ha servido conceder honores.del consejo de Estado á D. Juan Esteban Lozano de Torres, intendente de egército y ministro honorario del consejo supremo de Guerra. ; , mmmm» ' ' — ’ ... - --------------------------■ ————— 1 1 — En las últimas elecciones de oficios que ha hecho la Real sociedad eco nómica de Amigos del País de esta corte para el…</t>
  </si>
  <si>
    <t>…á S. M. la Reina nuestra Señora en su Real Cámara , y cumplimentarla por su celebrado enlace con nuestro augusto Soberano en nombre de la ciudad de Guadix y su partido, el Excrno. Sr. D. Juan Esteban Lozano de Torres, ministro honorario del Consejo supremo de Estado, con el discurso siguiente: „Señora: La ciudad de Guadix, en cuyo nombre tuve el honor de feli citar á nuestro muy amado Soberano por el venturoso enlace que con V. M. ha contraído, repite hoy el debido homena…</t>
  </si>
  <si>
    <t>Torres, Matías Pareja y</t>
  </si>
  <si>
    <t>Matías Pareja y Torres</t>
  </si>
  <si>
    <t>…por su au— gusto,enlace, ánombre del ilustre ayuntamiento de la ci dad de Murcia, los Sres. D. Diego María BadiUos, del Consejo de S. M. en el supremo de Al mirantazgo, y el Lie. D. Matías Pareja y Torres, regidor perpetuo de dicha ciudad , quien como individuo de aquella corporación habló á S. M en estos términos: ,,Señor: El ilustre ayuntamiento de la vuestra M. N. y L. ciudad de Murcia tiene hoy el honor, por medio de sus representantes, de postrarse á L. R…</t>
  </si>
  <si>
    <t>Torres, Santiago Máékrfiau y</t>
  </si>
  <si>
    <t>Santiago Máékrfiau y Torres</t>
  </si>
  <si>
    <t>…os tocantes á mi Real Casa y Patrimonio, ni que haya variación substancial en su despacho, he resuelto que durante vuestra ausencia se encargue interinamente del despacho de ellos D. Santiago Máékrfiau y Torres f del mi Consejo en el Supremo de Hacienda, mi Secretario con egereicio de decretos, y Secretario de la Mayordomía ma yor dé vuestro**cargo. Tendreislo entendido, y Jo comunicareis á quien cor responda paral sH cumplimiento. = Señalado de la Real mano.” ' • D…</t>
  </si>
  <si>
    <t>Torres, Santiago Masarnau y</t>
  </si>
  <si>
    <t>Santiago Masarnau y Torres</t>
  </si>
  <si>
    <t>…ega, de este consejo y cámara ; el conde de Torremuzquiz , del consejo y cámara de Indias ; D. Juan Paez de la Cadena, del de Guerra; D. Diego María Badiilos, del de Almirantazgo; D. Santiago Masarnau y Torres , secretario de la mayordomía mayor; D. Francisco Escariad, contador general de la Real casa y patrimonio; D. Pedro de Vargas , teso rero general de la misma Real casa y patrimonio; D^ Francisco Alonso de Ojeda, asesor general, y D. Ramón Calvo de Rozas , fis…</t>
  </si>
  <si>
    <t>Tostado, Alonso</t>
  </si>
  <si>
    <t>Alonso Tostado</t>
  </si>
  <si>
    <t>…Pedro Menendez Avilés.zzCuaderno 5 °: D. Juan de Austria, Fr. Luis de Granada, Martin de Alpizcueta, Pedro Chacón, D. Bernardino de Rebolledo, y D. Luis de Góngora.= Cuaderno 6.°: D. Alonso Tostado, Luis Vives, D. Diego Hurtado de Mendoza, D. Gerónimo de Zurita, D. Diego de Saavedra Fajardo, y D. Alvaro Navia Osorio.—Cuaderno 7.0: D. Luis de Requesens, D. Bartolomé Leonardo de Argensola, D. Francisco Valles, D. Juan de Ribera, D. Juan de Palaíox y Mendo…</t>
  </si>
  <si>
    <t>Tovar, Francisco García de</t>
  </si>
  <si>
    <t>Francisco García de Tovar</t>
  </si>
  <si>
    <t>…nieron el crecido número de ni ños y niñas, con sus respectivos maestros, en la capilla de la Soledad en la que oyeron la misa que celebró por la salud y acierto de SS. MM. y A A. Don Francisco García de Tovar,'dignidad de chantre dé esta insigne Hesia cole8^ \ juez de Cruzada , secretario honorário, y ministro comisario del tribu nal'de Inquisición de Válladólid ; y concluida volvieron á las escuelas. Ha biendo ocupado sus asientos, lo mismo que el ayuntamiento, e…</t>
  </si>
  <si>
    <t>Tovia, Miguel de</t>
  </si>
  <si>
    <t>Miguel de Tovia</t>
  </si>
  <si>
    <t>; Letras de cambio. Dos dadas en Murcia á favor del señor conde de Selvaflorida, y endosadas á D. Manuel Martínez Arroyo: dos dadas en Sevilla, la primera á favor del. Sr. D. Miguel de Tovia, endosada al Sr. D. Manuel María Adriaensens, y después á los,señores Gargollo» hermanos : la segunda Á favor del Sr. D. Pedro Orduña, y endosada para los de la primera: seis dadas en Cádiz á favor de los señores Gargollb y hermanos, endosados al Sr. D. Manue…</t>
  </si>
  <si>
    <t>Trasvina, Manuel</t>
  </si>
  <si>
    <t>Manuel Trasvina</t>
  </si>
  <si>
    <t>…gualmente á los comerciantes que hagan sus especulacio nes, ya sea fuera ó dentro del reino: impresos con Real aprobación: un tomo en 4.0 Se vende en esta corte en la droguería de D. Manuel Trasvina, calle de Postas. Carta esférica del estrecho de S. Bernardino é islas adyacentes, que comprenden desd-e la entrada del puerto de Palapa, en la isla de Samar, hasta la bahía de Mani la, y desde la latitud de 11° iB' hasta la de 14o 28' norte ; construida en l…</t>
  </si>
  <si>
    <t>Travot</t>
  </si>
  <si>
    <t>…os correspon dientes al parque de esta ciudad. Rennes 21 de Marzo. Ayer á las 6 de la tarde el consejo de guerra permanente de la décimatercia división militar condenó al teniente general Travot á la pena de muer te por crimen de rebelión, habiendo excitado á los vecinos á armarse co ntra la autoridad legítima &amp;c. A las siete fue el relator á la prisión, y en pr esencia de la guardia,ley© la sentencia, previniendo al reo que tenia 24 horas para apela…</t>
  </si>
  <si>
    <t>401</t>
  </si>
  <si>
    <t>…mas deberes de cristiano. París 6 de Abril. Un consejo de guerra formado en Nimes ha condenado en la pena de de portación á dos soldados que hablan proferido gritos sediciosos. El general Travot ha sido trasladado de Rennes al castillo de Ham. Se dice que la Sra. Patersonhija de un banquero americano, y primera muger de Gerónimo Bonaparte, trata de reclamar en calidad de esposa y de madre los bienes de aquel existentes en Francia. Con fecha de 27 de…</t>
  </si>
  <si>
    <t>…renner en el Tirol de vuelta de Milán á Berlín. Parece que habiéndose desboca do los caballos, se arrojó del coche el general, y se hizo pedazos la cabeza. Escriben de Caen que el general Travot pasó el 9 por aquella ciudad con dirección al castillo de Ham, donde debe pasar los 20 años de prisión en que el Rey le ha conmutado la pena de muerte. Idem 15. Algunos periódicos ingleses del 11,cuyos editores deberían estar mejor informados, han repetido la…</t>
  </si>
  <si>
    <t>Treiles, Fernando Tazo y D Francisco Lanza</t>
  </si>
  <si>
    <t>Fernando Tazo y D Francisco Lanza Treiles</t>
  </si>
  <si>
    <t>…ernando Bermudez, y á oficiales quintos los meritorios D. Fernando María Soto y D. Fermín López Pantoja. Graduaciones, - De comisarios de Guerra de Marina á los oficiales primeros D. Fernando Tazo y D Francisco Lanza Treiles; graduación de oficiales primeros á los segundos D. Josef Franco Sánchez y D. Francisco Calvo; graduación de se gundos á ios terceros D. Juan María Carranque y D. Angel Torredemer; graduación de terceros á los cuartos D. Manuel Trugillo y D. Jacinto Bota na;…</t>
  </si>
  <si>
    <t>Trejo, Antonia</t>
  </si>
  <si>
    <t>Antonia Trejo</t>
  </si>
  <si>
    <t>…e á los bienes secuestrados á D. Manuel Godoy, acudiendo á hacer sus posturas y enterarse de las condiciones á la comisión y contaduría del propio establecimiento en dicha ciudad. Doña Antonia Trejo, natura! de Mérida, residente en Madrid . tiene de recho en Suiza á un legado de mil florines, y debe acreditar su existencia en la primera secretaría de Estado y del Despacho.</t>
  </si>
  <si>
    <t>Trescasas, Francisco</t>
  </si>
  <si>
    <t>Francisco Trescasas</t>
  </si>
  <si>
    <t>…la junta, eclesiásti cos, oficiales militares, empleados de varias clases, y otras personas de dis tinción que han concurrido á estos actos. S. M. se ha servido conceder permiso á D. Francisco Trescasas y D. Pa blo Biazo para establecer fábrica de aguardiente y licores en la ciudad de Murcia, sobre que se ha expedido á su favor la Real cédula competente en io de Noviembre de 1816 á consulta del Supremo Consejo de Hacienda. Se desea saber el paradero de D* Francisco…</t>
  </si>
  <si>
    <t>Trespuentes, Josef</t>
  </si>
  <si>
    <t>Josef Trespuentes</t>
  </si>
  <si>
    <t>…arrete, ministro de la Rota , y sub director de la Real sociedad , quien abrió la sesión manifestando el objeto de ella. Fueron examinados D. Martin López , D. Marcelo Sevillano , D. Josef Trespuentes y D. Teiesforo Abascal, los cuales hicieron los egeroicios que prescribe el reglamento de esta escuela , en cuyo intermedio el socio protec tor de la misma D. Ramón Risei leyó un discurso relativo á las utilidades y vemajas de este arte. Concluidos los exámenes, se procedió á la ad…</t>
  </si>
  <si>
    <t>Treve, Santiago</t>
  </si>
  <si>
    <t>Santiago Treve</t>
  </si>
  <si>
    <t>…Fausto Escaja uno: D. Gerónimo Gó mez uno: D. Fernando Pareja uno: D. Martin Ginoves 10 rs.: D. Santiago Gallego un par de zapatos: D. Manuel Alonso uno: D. Antonio Chalanzon uno:D. Santiago Treve uno: D. Juan Hechilla uno: D. Ricardo Muñoz uno: D. Marcos Unzue uno: D. Manuel García ur.o: D. Juan Ocon uno: D. Manuel Cono uno: D. Fernando Carrillo uno: D. Josef Cantalapiedr» uno: D. Tomas Medina uno: D. Josef Salinas uno: D. Fernando Acuña uno: D. Nicol…</t>
  </si>
  <si>
    <t>Trevilla, Josef Manuel de</t>
  </si>
  <si>
    <t>Josef Manuel de Trevilla</t>
  </si>
  <si>
    <t>…vecino de esta corte, D. Andrés Cálvelo, D. Manuel de Entrambasaguas, D. Manuel Cano, D. Luis de Nestrosa , O. Antonio Castillo de Lerin, apoderados del conde de Vistaflorida, de D. Josef Manuel de Trevilla, D. Josef Rubiano y otros consortes, acreedoies á la testamentaria de D. Manuel Rivas Aibear, vecino y del comercio que fue de esta corte, al defensor de los demas acreedores ausentes, á D. Agustín Caballero y Rivas, socio principal de la casa y comercio titu…</t>
  </si>
  <si>
    <t>Trevilla, Pedro Antonio</t>
  </si>
  <si>
    <t>Pedro Antonio Trevilla</t>
  </si>
  <si>
    <t>…e Mayo. La Real sociedad patriótica de esta capital en la mañana de este día ha cele brado en obsequio de nuestro augusto Soberano una junta pública solemne, que presidió el limo. Sr. D. Pedro Antonio Trevilla, obispo de esta ciudad, su director, y á que ademas de los socios fueron convidadas todas las autorida des y las personas :nas respetables. Las casas-colegio de educandas (donde la sociedad se reúne para todas sus juntas) estaban adornadas con el mejor gusto,…</t>
  </si>
  <si>
    <t>Trias, Antonio</t>
  </si>
  <si>
    <t>Antonio Trias</t>
  </si>
  <si>
    <t>…f Giraldo , ambos ct mandantes de batallón. El del tercero el teniente coronel D. Juan Pablo Sebastian hacia de gefe del E. M. de dicha división; y el capitán graduado de teniente coronel D. Antonio Trias egercia iguales funciones en la destinada á la defensa, te niendo ambos á su inmediación el número de oficiales correspondiente á este servicio. Cada brigada estaba subdividida en dos secciones. Habíale elegido una altura oportunamente situada para que S. M.…</t>
  </si>
  <si>
    <t>Trigo, Benito</t>
  </si>
  <si>
    <t>Benito Trigo</t>
  </si>
  <si>
    <t>37° mayor, calderero; Manuel García , ebanista; Estéban Martin, caleseró^.Josel’García, tal-lisra; Manuel Munar, marmolista; D. Benito Trigo y fabrican te de ¡a seda: todos percibieron las mismas cantidades y en iguales épocas; . Afligidos. ■' Angel Rodríguez, maestro tallista ; Tomas Fernandez, pasamanero; Ber-. nardino Rosendo, peluquero; Jacinto Huete, maestro de coches; Josef Do mínguez, paste…</t>
  </si>
  <si>
    <t>Trincado, Josef de Vega y</t>
  </si>
  <si>
    <t>Josef de Vega y Trincado</t>
  </si>
  <si>
    <t>…distinga por la dicha general que desea es— | tablecer entre sus fieles pueblos y vasallos. Dios guarde á V. muchos años, rf Madrid á 26 de Diciembre de 1815 .= Josef de Ibarra. y D. Josef de Vega y Trincado, abad de Sta. Marina de Retorta, obispa do de Orense, por sí, y como apoderado de los vecinos de Retorta, Aren se 'celos , Matama ,Campo de Becerros y Portocamba , ha hecho á S. M. el dona■ tivo de 43046 rs. vn., importe de los suministros hechos á las tropas…</t>
  </si>
  <si>
    <t>Tripp</t>
  </si>
  <si>
    <t>…la Princesa y ofrecerle sus homenages. Todos los extraíageros que van á visitarla son muy bien recibidos y obsequiados. El cardenal Saluzzo falleció en Roma el 3 de Noviembre. El barón Tripp, oficial distinguido,antiguo ayudante de campo del du que de Wellington,y después del Príncipe de Orange,se ha tirado un pisto letazo en Florenícia, y se ignora la causa de esta desesperación. Se ha publicado últimamente en Deventer , en Holanda , una traducc…</t>
  </si>
  <si>
    <t>Tristan, Pió</t>
  </si>
  <si>
    <t>Pió Tristan</t>
  </si>
  <si>
    <t>…el soberano agrado. Dios guarde á V. E. muchos años. Ma drid 12 de Mayo de 1816. El Rey nuestro Señor se ha dignado conceder el ascenso á brigadieres de infantería á los coroneles D. Pió Tristan, mayor general que fue del egéreito, del Altp.Perú con la antigüedad de 27 de Setiembre de 812, y D. Francisco Gil de Taboa^a , teniente coronel ael regimiento de iafantería el Real</t>
  </si>
  <si>
    <t>Trugillo, Josef</t>
  </si>
  <si>
    <t>Josef Trugillo</t>
  </si>
  <si>
    <t>…mrs. vn. que en beneficio de las necesidades del erario, y por sus alcances venci dos hasta fin de Diciembre de 1814, ha hecho el oficial quinto del cuerpo po lítico de la Armada D. Josef Trugillo, y ha mandado se le den las gracias en su Real nombre. Se hace saber al público estar señalado el dia 18 de Abril próximo para el remate del arrendamiento que se anunció en la gaceta de 16 del corriente mes debe verificarse en la ciudad de Segovia, por provid…</t>
  </si>
  <si>
    <t>Trugillo, Manuel</t>
  </si>
  <si>
    <t>Manuel Trugillo</t>
  </si>
  <si>
    <t>…s segundos D. Josef Franco Sánchez y D. Francisco Calvo; graduación de se gundos á ios terceros D. Juan María Carranque y D. Angel Torredemer; graduación de terceros á los cuartos D. Manuel Trugillo y D. Jacinto Bota na; graduación de cuartos á los quintos D. Josef Fernandez Nuñez y Don Nicolás Arias Mandia , y graduación de quintos á los meritorios D. Josef Suarez Albanell y D. Alejandro de la Calle. DEPARTAMENTO DE CARTAGENA. Promovidos d sus inmediatas clases. A oficia…</t>
  </si>
  <si>
    <t>Trugillo, Torcuato</t>
  </si>
  <si>
    <t>Torcuato Trugillo</t>
  </si>
  <si>
    <t>…El conde de Santiago de Calimaya, el coronel D. Juan Josef García de Santiago y Machón , ei coronel D. Luis del Aguila, el brigadier de la Real Armada D. Santiago de Irisarri, el brigadier D. Torcuato Trugillo, el capítan de Navio D. Domingo Monteverde, el canónigo de la santa iglesia de To ledo D. Isidoro Sainz de Alfaro, el brigadier D. Josef Cevallos, y D. Josef Matías de Landaburu, secretario de legación en Berlin. Cruz de Caballeros. El capitán de Fragata D. M…</t>
  </si>
  <si>
    <t>Trujiilo, Josef</t>
  </si>
  <si>
    <t>Josef Trujiilo</t>
  </si>
  <si>
    <t>…se el Rey nuestro Señor admitir la cesión que ha hecho de sus sueldos vencidos y no satisfechos el oficial quinto del Ministerio de Marina de la dotación del departamento de Cádiz D. Josef Trujiilo, ha tenido á bien mandar se ie den las gracias y se haga notorio en la gaceta para su sa-» tisfaccion. - •*!** ——■■ ■■■mi —mmmmm——■i ......... ■ ■■—■■ ■ n i —■ m. i*................................. ................. i„ ,W Ceremonias y etiquetas que deben obs…</t>
  </si>
  <si>
    <t>Trujillo, Josef</t>
  </si>
  <si>
    <t>Josef Trujillo</t>
  </si>
  <si>
    <t>…e Málaga. Por goces vencidos en el Real servicio desde 15 de Agosto de 1807 hasta igual dia de 808 alcanzaba á la Real hacienda el oficial quinto del cuerpo po lítico de la Armada D. Josef Trujillo 1610 rs. vn., los cuales ofrecidos para las necesidades del estado, y admitidos por S. M., ha tenido á bien mandar se le den las gracias. El dia 4 de Abril falleció en esta corte á los 72 años de edad el Excelen tísimo Sr. bailío Fr. D. Antonio Valdés y Bazan…</t>
  </si>
  <si>
    <t>Trúpita, Allomo de</t>
  </si>
  <si>
    <t>Allomo de Trúpita</t>
  </si>
  <si>
    <t>…ticular benignidad las expresiones y votos de estos di putados^ &gt; El dia 18 del que rige tuvieron la honra de presentarse á S. M. y besar su Real mano D- Remigio'Satíche* Covisa y D. Allomo de Trúpita, individuos deb cabildo'eclesiástico de la ^illa de Vaideolivas, comisionados ¡or d rrdsSio pana cumplimentar á S. M.; con cuyo motivo el primero dijo: ,pS«ñOr: El cabildo eclesiástico, que tiene el honor de ponerse á L. R. P. felicita á V. M. por haberse dig…</t>
  </si>
  <si>
    <t>Ttmprado, Antonio</t>
  </si>
  <si>
    <t>Antonio Ttmprado</t>
  </si>
  <si>
    <t>…do Cortés, seminarútas en el mfmo colegio, D. Mariano Nogués, D Pedro Nogués , D Pedro Ortiz, D. Joaquín Miranda, D. Pe dro Navarro, D. Juan Josef Lahorda, D- Lorenzo Biscasillas, D. Antonio Ttmprado, D. Martin Jucez, D. Josef La&gt;, D. Josef Martin, D. Manuel Laredo, D. Gaspar Gailat, D. Inocencio Maicas, D. A: mnio Cebollero, D. Pedro Juste y D. Francisco López. Dio principio ul egcrcicio D. Maria no Nogués con un elegante discurso latino, que mereció los…</t>
  </si>
  <si>
    <t>Tuckey</t>
  </si>
  <si>
    <t>…tisbona lo que sigue: ,, Ayerllegó con escolta austríaca otra conducta de dinero compuesta! de 19 carros* y na tomado el camino de Viena.” GRAN BRETAÑA. Londres 11 de Enero. n: El capitán Tuckey, comandante de la expedición destinada al mediodía dé. Africa, dará la vela' i principios deli mes próximo. El objeto de esta ex pedición esde mocha: importancia , y se han tomado todas las providencias necesarias para su buen éxito. Un transporte, acompañado…</t>
  </si>
  <si>
    <t>…que esta se hará pronto a la vela para subir el rio Zaine * acompañada de un barco de vapor que lleva too toneles, y continuará su viage hasta que le falte enteramente el agua. El capitán Tuckey , que manda esta importante expedición, lleva consigo dos negros del Congo, uno de los cuates nació en las orillas del Zaine *á 800 millas de su embocadura, y ha dado noticias muy circunstanciadas de su país, de cuj as resultas se ha determinado la salida de…</t>
  </si>
  <si>
    <t>Tuells, Josef</t>
  </si>
  <si>
    <t>Josef Tuells</t>
  </si>
  <si>
    <t>…del Villar López. A la graduación de alféreces de Fragata á los primeros contramaestre* D. Josef del Pino, D. Domingo Pineirua, D. Justo López, D. Andrés Cerda, D. Gabriel Lledó, D. Josef Tuells y D. GabrieTSousa. CUERPO DE MEDICO'CIRUJANOS DE LA REAL ARMADA. Honores de médico consultor al primer médico-cirujano de la matrícula de Malaga D. Josef Salamanca. Honores de primer profesor médico-cirujano al médico-cirujano aprobado D. Alonso Pacheco* A segundo cirujano con…</t>
  </si>
  <si>
    <t>Tuero, Alfonso</t>
  </si>
  <si>
    <t>Alfonso Tuero</t>
  </si>
  <si>
    <t>…uadras, se informó de todos los pormenores, manifestando la mayor satisfacción por el buen orden y exactitud que reina en todos los ramos, cuya dirección está al cargo del segimdo teniente D. Alfonso Tuero; manifestando su paternal beneficen cia, mandando entregar 100 mantas de su bolsillo. En seguida S. M. pasó á la sala de los cornejos de guerra, donde almor zó, permitiendo que le acompañasen en la mesa el sargento mayor é ins-</t>
  </si>
  <si>
    <t>Tuquet, Joaquín</t>
  </si>
  <si>
    <t>Joaquín Tuquet</t>
  </si>
  <si>
    <t>El 9 del corriente tuvo la honra de cumplimentar á S. M., felicitándole por su futuro enlace á nombre de la ciudad de Velez-Milüga, el coronel de caballería D. Joaquín Tuquet, exento y ayudante mayor del tercer es cuadrón del Real cuerpo de Guardias de la Persona del Rey , acompañado de D. JosefTellez y D. Plácido Henriquez , individuos del mismo cuerpo; el primero de los cuales dijo : „Señor: Vuestra ciudad de Velez-Mílaga, conde…</t>
  </si>
  <si>
    <t>Turlan, Mariano</t>
  </si>
  <si>
    <t>Mariano Turlan</t>
  </si>
  <si>
    <t>…on , D. Lorenzo Viilanova, Antonio Pellicer, mayor, D. Joaquin Sunijer, Joaquin Dolader , Antonio Costa, Josef Bel lo, Pedro Calvo, Valero Guiu, Francisco Bielsa , Lorenzo Ralfas, D. Mariano Turlan, írancisco Royo, mayor, Fr. Francisco Miguel, prior curado, Miguel Burgued, Mariano Ser rano, D. Joaquin de la Figuera, Miguel Albiac. — £s copia. = Campo-Sa grado. Circular del Ministerio de Hacienda. El Sr. Secretario del Despacho de Estado , y encargado de…</t>
  </si>
  <si>
    <t>U, Nicolás</t>
  </si>
  <si>
    <t>Nicolás U</t>
  </si>
  <si>
    <t>…a de esta ciudad, dispuso los exámenes públicos de los alum nos., presididos por los dos capitulares directores de estudios, ? ara los dias 26 y 27 de Agosto último. El presbítero catedrático D. Nicolás U,;hina presentó 102 discípulos de todas clases. $e dió principio á los actos por.una e’egat fe oración latina, que pronunció,el jóve/&gt; de solos 13 años D. A!, j López Calle, en la que despues.de llamar la atención del numeroso lucido coi cursó, hizo ver el ori…</t>
  </si>
  <si>
    <t>U-rban, Antonio</t>
  </si>
  <si>
    <t>Antonio U-rban</t>
  </si>
  <si>
    <t>…propiedad, y explicó la doctrina cristiana con tal claridad, que llamó la admiración de todos^ yde esta forma fue premiado el mérito de la escuela pía y de su director el P. Mtro. D. Antonio U-rban , que tantos y tan buenos discípulos presentó en este dia. Los otros dos premios se acordó fuesen dados por suertes entre las dos escue las de la villa, y tocó ef segundo á D. Manuel Carrillo, de edad de siete años, y el tercero á D. Antonio Sánchez , de seis…</t>
  </si>
  <si>
    <t>Uaabal, Josef</t>
  </si>
  <si>
    <t>Josef Uaabal</t>
  </si>
  <si>
    <t>…de Gerónimos 46 La co munidad del Carmen calzado 40. La de padres Preinostratenses 80. D. Ra món Moreda 23. D. Félix Arguello 40. D. Sebastian Hernández 70. D Jo sef Broche ro 8. D. Josef Uaabal 69. D. Francisco Crespo 20. Agustín Bar tolomé 13. D. Eustbio Arrabal 20. Fernando Gómez 20. D. Vicente Telio 4. D. Manuel Cisneros 23. D. Valentín.Ximenez 20. D. Carlos Milre40. D. Esteban Gómez 20. D» Felipe Eneri y Seda 40. D. Gregorio Fernan dez 46. D. Fe…</t>
  </si>
  <si>
    <t>Ubago, Andrés</t>
  </si>
  <si>
    <t>Andrés Ubago</t>
  </si>
  <si>
    <t>io8i Tercera clase. D. Antonio Saenz , D. Fernando Herrero , D. Vicente Te jada, D. Miguel de Goicochea, D. Andrés Ubago y D. Lucio Roldan. Torca 20 de Setiembre. El ilustre ayuntamiento de esta ciudad, no pudiendo desentenderse de la dolorosa decadencia á que se veian reducidos por las pasadas circunstancias sus establecimientos de educación, se dedicó desde luego á restablecerlos; y habiendo p…</t>
  </si>
  <si>
    <t>Ulloa, Antonio</t>
  </si>
  <si>
    <t>Antonio Ulloa</t>
  </si>
  <si>
    <t>…ucidísi mo concurso y de los premios que se Ies distribuyeron D. Manuel Caro, D, Ildefonso Lucas, D. Josef de Neira , D. Antonio Montero, D. Antonio Rodríguez, D. Antonio Villar., D. Antonio Ulloa y D. Antonio Cartnona. Para dar fin á este acto D. Cristóbal Romero García, cura mas antiguo y beneficiado propio de lá Encarnación de esta villa, profirió un elegante y enérgico discurso, en el que dando gracias al P. Mtro. por su extraordinario esmero en la enseñanza de los niño…</t>
  </si>
  <si>
    <t>Ulloa, Lorenzo Taboada y</t>
  </si>
  <si>
    <t>Lorenzo Taboada y Ulloa</t>
  </si>
  <si>
    <t>I2T7 oficial de la secretaría de Hacienda, D. Lorenzo Taboada y Ulloa, combarío ordenador de los Reales egércitos, y D. Benito de Prado, gentilhombre de boca de S. M., tuvo la honra de felicitar en el misino día 13 al Rey nues tro Señor y ai Serenísimo Sr. Infante D. Carlos María por sus augustos des posorios en los términos si…</t>
  </si>
  <si>
    <t>Unzue, Marcos</t>
  </si>
  <si>
    <t>Marcos Unzue</t>
  </si>
  <si>
    <t>…D. Martin Ginoves 10 rs.: D. Santiago Gallego un par de zapatos: D. Manuel Alonso uno: D. Antonio Chalanzon uno:D. Santiago Treve uno: D. Juan Hechilla uno: D. Ricardo Muñoz uno: D. Marcos Unzue uno: D. Manuel García ur.o: D. Juan Ocon uno: D. Manuel Cono uno: D. Fernando Carrillo uno: D. Josef Cantalapiedr» uno: D. Tomas Medina uno: D. Josef Salinas uno: D. Fernando Acuña uno: D. Nicolás Suarcz dos: D. Josef Robles uno: D. Blas López cuatro: el mar…</t>
  </si>
  <si>
    <t>Urbieta, Mariano de</t>
  </si>
  <si>
    <t>Mariano de Urbieta</t>
  </si>
  <si>
    <t>…262123, 264173, *83416, 291249, 29*333* *9374* * 996110, 308592, 317537* 3356?7» 343°5 2 f 343°75 » encabezados asimismo al citado Adanero, y endosados últimamente seis de ellos á D. Mariano de Urbieta: otros seis á D. Cayetano Harra, y el otro á D. Tomas de Urrutia: y habiéndose comunicado traslado á dichos sugetos y demas que se consideren con derecho á dichos vales de la demanda puesta por el monte pió, se les cita, llama y emplaza por el presente, á fin…</t>
  </si>
  <si>
    <t>Urel, Juan</t>
  </si>
  <si>
    <t>Juan Urel</t>
  </si>
  <si>
    <t>…s, barómetros, higrómetros &amp;c., agua, sus estados de hie lo, liquidez, vapor y meteorología. Los alumnos que salieron fueron D. Josef Viñolas, D. Ramón de Becardi, D. Juan Barret, D. Juan Urel!, D. Antonio Fernandez y Valiejo, Don Antonio Monmany, D. Miguel Marti y D. Francisco Carbonell. Aunque to dos estaban obligados á responder á todo, se les señaló para explicar un punto en particular, el que después de explicado fue corroborado por ex perimen…</t>
  </si>
  <si>
    <t>Uria, Martin</t>
  </si>
  <si>
    <t>Martin Uria</t>
  </si>
  <si>
    <t>El capellán mayor dé S. Segundo 30. D. Martin Uria 20. D. Ju?to Sarrandeg ;i 24. El capellán mayor de Sta. Ana 12. D. Francisco Illera so. Don Ildefonso Castejon 24. D. l omas Landias 20. D. Vicente Evaristo Blasco 20. D. Gaspar Arribas 24. D. Damian González de Salazar 160. El beneficiado de S. Vicente 4^0.…</t>
  </si>
  <si>
    <t>Urquíio, Eusebio Domingo de</t>
  </si>
  <si>
    <t>Eusebio Domingo de Urquíio</t>
  </si>
  <si>
    <t>…l Consejo de S. M., teniente corregidor de esta villa ,dada por la escribanía del número al car go de D. Cristóbal' de Vicuña, se cita, llama y emplaza a D. RaLel Ignacio Fantoni, D. Eusebio Domingo de Urquíio, D. J &lt; se f Vidal y Garri ga, D. Francisco Arger é hi,ps, D. Agustín Alecrín, D. Domingo Pérez é hijo, D. Micuel Alvarez de Pazos^D. Carlos Buzzoni, D. Josef Ventura Al» ¡, D Fidel M» rago y D. Jai me Ordeig, tenedores de un vale Real de 6c o pesos, creación…</t>
  </si>
  <si>
    <t>Urquinaona, Ursola Feardielo de</t>
  </si>
  <si>
    <t>Ursola Feardielo de Urquinaona</t>
  </si>
  <si>
    <t>…e tendrá' la bondad de avisarlo al teniente coronel D. Juan Rodríguez Calderón, calle de los Remedios, núm, 22, cuarto secundo. La persona que supiere del paradero ó existencia de Doña Ursola Feardielo de Urquinaona, ó de sus herederos si hubiese fallecido, se servirá avisarlo en esta corte á D. Eugenio Mena, bajada de la plazuela de Sto. Domingo, núm. 16, cuarto prin cipal , frente á la fuente. EN LA IMPRENTA REAL.</t>
  </si>
  <si>
    <t>Urraca</t>
  </si>
  <si>
    <t>…vínculos de ambas casas, no ha olvidado el egemplo de mu chos de sus gloriosos progenitores que casaron con Infantas de aquel reino. V. M. sabe que fueron de aquella Real familia Doña Urraca , muger de Don Fernando n; Santa Teresa, de D. Alfonso ix, ambos Reyes de León; Do ña Mafalda, de D. Henrique i; Doña Constanza, de D. Fernando iv; Do ña María, de D. Alfonso xi; Doña Beatriz, de D. Juan i; Doña Isabel, de D. J uan ii; Doña Juana, de D. Henri…</t>
  </si>
  <si>
    <t>…ey de Galicia y Poru. ” , I i jo ..el Emperador D Alonso, murió preso en ei casti lo de Luna, y fue trujo con las prisiones á esta santa iglesia. Señor.a Reinas. i.a La Sra. Reina Doña Urraca , esposa del Sr. Rey D. Alonso el iv. 2.a La Sra. Reina Doña Elvira , segunda esposa del Si. Rey D. Ordoño el 111. 3.a La Sra. Reina Doña Urraca, esposa del Sr. Rey Don Ramiro el 111. 4.a La Sra. Reina Dona Elvira, esposa del Sr Rey’ D. B.rmudo el 11. ^.a La…</t>
  </si>
  <si>
    <t>Urraza, Juan Antonio de</t>
  </si>
  <si>
    <t>Juan Antonio de Urraza</t>
  </si>
  <si>
    <t>…trarlo; - ! Por providencia del Sr. D. León de la Cámara Cano, del consejo de S. M., te niente primero de corregidor de esta villa, refrendada del escribano del número de la misma D. Juan Antonio de Urraza, se ha señalado el domingo 24 del cor riente á ias 9 de su mañana en la posada de S. S. para celebrar junta general de acreedores á Ja testamentaría de D. Felipe de Payueta y Oñate, abogado que fue del ilustre colegio de esta corte, y agente fiscal de los tri…</t>
  </si>
  <si>
    <t>…lmazan y Ximeno, del consejo de S. M., oidor honorario de la Real chancillería de Valladolid , teniente de corregi dor de esta villa de Madrid, refrendada del escribano del número-D. Juan Antonio de Urraza , se cita, llama y emplaza á D. Josef de Sand^Juce , D. Pedro Antonio de Olabarría y Sta. Cruz, D. Andrés de Escondrillas , D. Cristóbal de Vicuña, D. Pedro Fermín de lbarra y Doña María Antonia de Amantegui, tenedores de tres vales Reales, tres de ellos de 1…</t>
  </si>
  <si>
    <t>…ue tiene de sitio 2450 pies superficiales, y está tasada en 9^940 rs. Quien quisiere hacer postura á ella acuda ante el referido señor juez por la escribanía del número que eeerce D. Juan Antonio de Urraza. En la santa iglesia metropolitana de Burgos se halla vacante la sochantria titu lada de dia, que tiene una ración afecta , con la renta de medio canonicato y la mi tad del préstamo de Moduvar: su cuerda debe ser de bajo, de cuerpo, clara, sono ra, flexible,…</t>
  </si>
  <si>
    <t>Urraza, Manuel de</t>
  </si>
  <si>
    <t>Manuel de Urraza</t>
  </si>
  <si>
    <t>…e 160 pudientes, que ademas pa gan por separado los partos á razón de 20 rs. vn. Los pretendientes dirigirán sus memoriales al ayuntamiento de dicha villa por mano de su escribano D. Manuel de Urraza en el término de 15 dias, contados desde el de este anuncio : se previene que será de su cargo la rasura del vecindario, y la asistencia á los enfermos en clase de medicina ínterin el pueblo pueda buscar médico. Reglamento aprobado por el Rey nuestro-Señor D.…</t>
  </si>
  <si>
    <t>Urrejola, Luis de</t>
  </si>
  <si>
    <t>Luis de Urrejola</t>
  </si>
  <si>
    <t>…ninbtros de ios consejos, los generales y gefes militares, y otras varias personas á quie nes se dignó admitir S. A. R. con aquella bondad que le caracteriza. El día 3 de Junio el coronel D. Luis de Urrejola y el capitán D. Juan Manuel de Elizalde se presentaron á cumplimentar á S. M. á nombre del egircito, cabildo y tribunales del reino de Chile por su próximo enlace con la Serma. Sra. Infanta de Portugal Doña María Isabel Francisca : el pri mero arengó en e^tos…</t>
  </si>
  <si>
    <t>Urries, Rafael de</t>
  </si>
  <si>
    <t>Rafael de Urries</t>
  </si>
  <si>
    <t>…e aprender por principios y reglas la lengua española , ya para hablar con precisión , corrección y ekgancia , ya para traducir con acierto del ktin y de otros idiomas. Finalmente D. Rafael de Urries dió las gracias al eru dito concurso en elegantes octavas. El día 5 se presentaron igualmente por la primera escuela de escribir co mo unos 6o niños , dirigidos por su maestro el P. Joaquín de Sto. Ton-as de Aquino, y precedida una breve introducción que dijo…</t>
  </si>
  <si>
    <t>Urruela, Francisco Antonio de</t>
  </si>
  <si>
    <t>Francisco Antonio de Urruela</t>
  </si>
  <si>
    <t>…escribanía á decir y exponer lo que tengan por con veniente acerca de su pertenencia; con apercibimiento de que no haciéndolo se pro cederá á declarar, y declararán corresponderá D. Francisco Antonio de Urruela, como marido de Doña Heduvigis Martin Crespo, uno de los hijos y herederos de Don Manuel Martin Crespo, á quien le fueron robados, y los tenia reclamados. EN LA IMPRENTA REAL.</t>
  </si>
  <si>
    <t>Urruti.i, Tomas de</t>
  </si>
  <si>
    <t>Tomas de Urruti.i</t>
  </si>
  <si>
    <t>…s 363743» 364806, 360339 y 373375 , y últimamente endosados el pnnVero á los señores viuda de R. Boon é hijos, de Cádiz; el segundo á D. Nico lás Billester y Flotats; el tercero á D. Tomas de Urruti.i, y el cuarto í D. Josef Gallinaus: dós dé á 300 pesos, el mismo encabezamiento y crea.ion, con los nú meros 8098*2 y 84337 , y endosados últimamente el uno á D. Eduardo B. Ittymaurice, y el otro al mismo D. Eduardo: 13 en los miamos términos, de 150 pesos, cr…</t>
  </si>
  <si>
    <t>Urrutia, Tomas de</t>
  </si>
  <si>
    <t>Tomas de Urrutia</t>
  </si>
  <si>
    <t>…7537* 3356?7» 343°5 2 f 343°75 » encabezados asimismo al citado Adanero, y endosados últimamente seis de ellos á D. Mariano de Urbieta: otros seis á D. Cayetano Harra, y el otro á D. Tomas de Urrutia: y habiéndose comunicado traslado á dichos sugetos y demas que se consideren con derecho á dichos vales de la demanda puesta por el monte pió, se les cita, llama y emplaza por el presente, á fin de que dentro del preciso término de 30 días, contados desde est…</t>
  </si>
  <si>
    <t>…317537* 335607, 34305,2 y 343075, encabezados asimismo al citado Adanero, endosados últimamente seis de ellos á D. Mariano de lírbieta, otros seis á D. Cayetano Hurra, y el otro á D. Tomas de Urrutia: y habiéndose vuelto á mandar citar y emplazar á estos interesados y demas que se consideren con derecho á dichos vales, para qué ysen del traslado de 3a demanda puesta per el monte pió, se Ies cita, llama y em plaza por el presente, á fin de que dentro del p…</t>
  </si>
  <si>
    <t>UrueñatReballar, Antonio</t>
  </si>
  <si>
    <t>Antonio UrueñatReballar</t>
  </si>
  <si>
    <t>…tecedentes corresponde á las embarcaciones que proce den en derechura de los puertos en que hicieron dicha cuarentena. ESPAÑA. Colmenar de Oreja/provincia de Toledo , 28 de Marzo. D. Antonio UrueñatReballar,maestro de primera educación aprobado pór'el -Real y^Supremo Corísejo de Castilla., á Cuyo cargo se halla la'escuela dé dicha ' villa y ansioso de manifestar al público y darle una prueba nada equívoca del zelo que le anima por la instrucción de la juventud,…</t>
  </si>
  <si>
    <t>Uruñuela, Apolinar de</t>
  </si>
  <si>
    <t>Apolinar de Uruñuela</t>
  </si>
  <si>
    <t>…e la Torre, alcal de de casa y corte, D. Agustín López Carretero, asesor de ios Ordenes mi litares , regidores perpetuos en asiento y banco de caballeros de la ciudad de Toledo, y D. Apolinar de Uruñuela, caballerizo de campo de S M., y her manos de la expresada santa hermandad; de los cuales el primero dijo: „ Señor: La Sta. y Real hermandad vieja de Toledo, que representamos como sus comisionados, disfruta hoy la mas distinguida honra de b.sar la Real mano…</t>
  </si>
  <si>
    <t>…mandad vieja de Toledo, compuesta del Excmo. Sr. conde Armi'd.z de Toledo, ma riscal de campo de los Reales eeércitos ; el Dr. D. Alejandro Merino , regi dor perpetuo de la misma; D. Apolinar de Uruñuela , caballerizo de cam po ; D. Isidoro de Lara, y D. Patricio Ortiz de Pareja, hermanos y secrctirio de ella, tuvo el honor de besar las Reales manos de S M. y A. , y íelicitarles por sus realizados matrimonios; y el segundo de estos arengando á S. M. dijo : ,,…</t>
  </si>
  <si>
    <t>Urzais, Antonio</t>
  </si>
  <si>
    <t>Antonio Urzais</t>
  </si>
  <si>
    <t>…Londoño, los de fragata D. Estéban Croquer, D. Antonio Tiscar, D. Joaquín Mozo, D. Juan de Arcos, Don Antonio Sotelo, D. Manuel Zaragoza y D. Felipe Roldan, y los guardias marinas D. Antonio Urzais y D. Juan Mesías. No me detendré en explicar la clase de méritos que han contraído , ni la recompensa que merecen sino me tomaré la libertad de recordar á V. E. que tal vez en los tiempos mo dernos es la primera ocasión en que se ha visto un crucero de 120 dias con tales buqu…</t>
  </si>
  <si>
    <t>…E legarlo, de los Cuetos, D. Josef Quesada , D. Esteban Croquer, D. Antonio Tiscar, D. Joaquín Mozo, D. Juan de Arcos , D. Antonio Sotelo , D. Manuel Zaragoza , D. Felipe Roldan , Don Antonio Urzais y D. Juan Mesías: el de alféreces de fragata á los guardias marinas D. Juan Mozo, D. Segundo Díaz Herrera, D. Victoriano López Llanos, D. Josef Salcedo, D. Francisco Osorio , D. Manuel Ibarra, D. Ma nuel Ortiz Canelas y D. Francisco S* Pedro: el de teniente de fragSta gra dua…</t>
  </si>
  <si>
    <t>Usero, Josef</t>
  </si>
  <si>
    <t>Josef Usero</t>
  </si>
  <si>
    <t>…niente de Brulot graduado D. Nicolás Cardoso. A la graduación de subtenientes dd primer regimiento Real de Marina d los sargentos primeros D. Cárl os Valero, D. Josef de Cárdenas, D. Josef Usero, D. Domingo Apodaca, D. Benito Molina, D. Ramón López y D. Manuel Perea. En el tercer regimiento A D. Andrés Rodríguez. EN EL CUERPO DE PILOTOS. DEPARTAMENTO DE CADIZ. A tenientes de Navio los primeros pilotos graduados de tenientes de Fragata D. Juan Dieguez…</t>
  </si>
  <si>
    <t>Utrera, Juan Grasa de</t>
  </si>
  <si>
    <t>Juan Grasa de Utrera</t>
  </si>
  <si>
    <t>…esentaron y distribuyeron al público varias planas de dife rentes clases de letra, en todas las cuales brillaba la mayor perfección y ga llardía: y en seguida se dió fin recitando D. Juan Grasa de Utrera una breve composición en verso para dar las gracias al público.</t>
  </si>
  <si>
    <t>Uvi, Francisco</t>
  </si>
  <si>
    <t>Francisco Uvi</t>
  </si>
  <si>
    <t>…fin Popayan está amenazada de un degüello y saqueo, que no dudo realicen al tiempo de su salida. Idem Las bombas de vapor conducidas de Inglaterra en el año pasado al Ca lino por D. Francisco Uvi 1 le, socio de ios Sres. D. Pedro Abadía y D. Josef Arizmciidi en ia empresa del desagüe de estas minas, hasta ahora hacen dejar á algunos acerca de sus portentosos efectos; pero esto no debe extrañare si se considera que en este país, donde las artes y cienc…</t>
  </si>
  <si>
    <t>V, Cárlos</t>
  </si>
  <si>
    <t>Cárlos V</t>
  </si>
  <si>
    <t>…s de Napoleón , no omitiendo sacrificio algu no» para defender los legítimos derechos del Rey nuestro Señor. En,seguida pasé el mismo comisionado al cuarto del Sefmo. Sr. Infante *D. Cárlos V á quien felicitó con igual motivo. A R T I C U i O DE OFICIO. Circular del Consejo Supremo de la Guerra, Habiendo; acudido al Consejo Supremo de la Guerra Doña Andrea del •Rio, madre viuda de D. Josef y D. Dionisio Valiñas, Subtenientes que fue ron del Regimi…</t>
  </si>
  <si>
    <t>V, Francisco Martínez</t>
  </si>
  <si>
    <t>Francisco Martínez V</t>
  </si>
  <si>
    <t>…de San Pedro de Palmiches. El cura párroco y ayuntamiento de la villa de Priego. El alcalde de Alcobujate á nombre de su ayuntamiento. D. Sebastian Martínez Falcro, presbítero, y D. Francisco Martínez V¡llanueva á rombre del putHo de Saelices. D. Lúeas Escacha y D. Gabriel Talamanco, diputado por el ayunta miento de la villa de Orche. El párroco de la villa de Millana en nombre de sus feligreses. El cura párroco de la villa del Villar de Domingo García. Madr…</t>
  </si>
  <si>
    <t>Vacaro, Antonio</t>
  </si>
  <si>
    <t>Antonio Vacaro</t>
  </si>
  <si>
    <t>…ada; á D*. Josef Mulier, gefe de Escuadra , é in geniero director de Marina, y á D. Francisco de Cantos, intendente del de partamento de Cartagena. A brigadier el capitán de Navio D. Antonio Vacaro. A capitanes de Navio los de Fragata D. Benito Vivero y D. Manuel Moscoso. Para la graduación de esta clase D. Estéban Gotnendio.</t>
  </si>
  <si>
    <t>Vacas, Victoriano</t>
  </si>
  <si>
    <t>Victoriano Vacas</t>
  </si>
  <si>
    <t>…n de aquella santa iglesia 40 El arcediano de Avila 5 . El doctoral 23. El maestrescuela 40. D. Josef Tejero 20. D. Fernando Cerrudo 20. D. Miguel Cantero 70. D Andrés Calvedo 40. D. Victoriano Vacas 46. D. Juan Ser na 40. D. Felipe Raguimido 40. D. Diego Veruega 44^ E! lectoral 23. Don Julián Ga.scueña 46. D Antonio Arguello 48. D. Ramón Orachea 48. Don Fernando Perez 2o. Sr. Corrales, racionero de aquella santa iglesia, 20. El cura de S. Juan 20. El ben…</t>
  </si>
  <si>
    <t>Vago, Rafael Josef de Villar de</t>
  </si>
  <si>
    <t>Rafael Josef de Villar de Vago</t>
  </si>
  <si>
    <t>…isio nero en Aimqna$id de Toledo, desde cuyo dia no ha habido mas noticia de su exis tencia. Si-alguna persona supiese de su paradero ó de su muerte lo avisará en Cádiz á su padre D. Rafael Josef de Villar de Vago, ó en Madrid al señor conde deClónard, y en Aridújár ai teniente de caballería* D. Luis de Vago Piedrola. Arte de canto llano y órgano, ó prontuario músico dividido en cuatro partes: su autor D. Gerónimo Romero de Avila, racionero y maestro de melodía de Ja s…</t>
  </si>
  <si>
    <t>Vaídemoro, Josef Puerto</t>
  </si>
  <si>
    <t>Josef Puerto Vaídemoro</t>
  </si>
  <si>
    <t>…ntos morales propuestos por el maestro. Siguióse á estos- un certamen de 80 preguntas de retórica entre ocho discípulos, de ¡os cuales quedaron ven cedores los dos primos hermanos D. Josef Puerto Vaídemoro y D. Josef So rtario Valdemoro: en seguida este dio las gradas al auditorio en una oda castellana, con lo que se finalizó la función, que duró mas de tres horas. ' El segundo D. Ruperto Salazar, cadete del regimiento de la Corona, y</t>
  </si>
  <si>
    <t>Vailejo, Felipe González</t>
  </si>
  <si>
    <t>Felipe González Vailejo</t>
  </si>
  <si>
    <t>…me falsos in formes y proponerme, bajo la apariencia de bien de la nación, providencias opuestas á él, llevados solamente de odios personales ú otros motivos; ven go en mandar que D. Felipe González Vailejo por haber abusado en tales términos de mi confianza y buenos deseos, quedando destituido del empleo de director de las Reales fábricas de Guadalajara y Brihuega, pase, usando de conmiseración, á la plaza de Ceuta, y subsista confinado en ella por el término d…</t>
  </si>
  <si>
    <t>Val, Francisco</t>
  </si>
  <si>
    <t>Francisco Val</t>
  </si>
  <si>
    <t>…l Lorenzana uno : el provisor dos : los señores Jclís y compañía dos : D. Ma nuel Castaáon dos: D. Josef R*eovar dos: D. Ruperto Cea dos: D. Aniceto Cavero uno: D. Tomas Ríos uno: D. Francisco Val le jo dos : el cura de San Salvador Pala del Rey uno: el de S. Marcelo uno: el de Renueva uno: el de Sta. Ana uno: el tesorero del cabildo dos: D. Pascual Suarez uno: D. Lidro Benitoa uno: D. Ramón Arquello dos : D. Pedro Gastaniaga uno: D. Juan Bros dos: D.…</t>
  </si>
  <si>
    <t>Valay, Domingo</t>
  </si>
  <si>
    <t>Domingo Valay</t>
  </si>
  <si>
    <t>…citados D. Josef Perez y Don Juan Pablo Rodríguez. En trigonometría plana D. Manuel Bandujo, Don Cándido Pulleiro, D. Joaquín Hernández, D. Eusebio Arróspide, D. Ra món González, D. Domingo Valay y D. Vicente Matis. En trigonometría esférica D. Francisco Gaiceran, D. Lino Pacheco, D. Marcelino Deus, y los citados Hernández, Arróspide, Bandujo, Pulleiro, González y Va lay. En cosmografía dichos Bandujo,Deus y Pulleiro. En geografía Hernán dez, Arróspide y Bandujo. En nav…</t>
  </si>
  <si>
    <t>Valbuena, Manuel</t>
  </si>
  <si>
    <t>Manuel Valbuena</t>
  </si>
  <si>
    <t>…ud con una fineza particular, que hizo.de mas valor el re galo del individuo de la junta D. Vicente Gisbert y Colomer de las Institu ciones oratorias de Quintiliano traducidas por D. Manuel Valbuena. ^ En medio de tantas satisfacciones el ayuntamiento sentía que la escasez de fondos le privase del gusto de dar premios correspondientes al maestro y discípulos que mas se distinguieron. Sin embargo pudo proporcionar un pe-, queño fondo, que económicamente d…</t>
  </si>
  <si>
    <t>Valcarce, Diego</t>
  </si>
  <si>
    <t>Diego Valcarce</t>
  </si>
  <si>
    <t>…acuchillaron á muchos de una y otra arma. El sargento mayor La Madrid desde mas adelante de Sipesipe volvió atras con los dragones que mantenía reunidos, pues el coronel graduado Don Diego Valcarce se hallaba con el caballo herido y con las riendas tronzadas, cargó también sobre las partidas que perseguían por la izquierda, logran do contenerlas, y causándoles algún estrago. Estas acciones , aunque brillan tes, fueron ineficaces para el objeto que se pr…</t>
  </si>
  <si>
    <t>Valcárcel, Francisco Xavier</t>
  </si>
  <si>
    <t>Francisco Xavier Valcárcel</t>
  </si>
  <si>
    <t>,,Pot resultas de un suceso acaecido en Madrid entre el Sargento Mayor de aquella plaza D. Francisco Xavier Valcárcel y el Guardia de la Compa ñía Italiana D. JosefBurone, ha mandado el Rey que los Guardias de Corps, mientras lo sean, se reputen y tengan como oficiales del egército, según la graduación con que se hallen , y que como á tales se les hagán y guarden todos los h…</t>
  </si>
  <si>
    <t>Valcárcel, Rafael</t>
  </si>
  <si>
    <t>Rafael Valcárcel</t>
  </si>
  <si>
    <t>…s 370 : el de cedaceros 74: el arte de cerragería 280: el de tintoreros 715. Personas que han contribuido por separado, El Sr. D. Juan de Cam pos , corregidor, 5122 rs. y 4 mrs. : D. Rafael Valcárcel ofrece los réditos de un Real juro que se le están debiendo, y sin perjuicio de la liquidación que debe formarse en la contaduría general de distribución de Real hacienda, importa 49117 en créditos: D. Diego de Huete 44: el Excmo. Sr. marques -de V¡Hadarías 1…</t>
  </si>
  <si>
    <t>Valdemorp, Josef Puerto y</t>
  </si>
  <si>
    <t>Josef Puerto y Valdemorp</t>
  </si>
  <si>
    <t>…es de gramática latina en las clases de sintaxis y prosodia fue ron presentados el primer dia bajo la dirección de su maestro el P. Pedro Crespo de S. Joaquín , é introducidos por D. Josef Puerto y Valdemorp con! una cancioncira en que suplicaba la atención del auditorio..En seguida Don Pedro Josef Sorando pronunció un discurso sobre la utilidad del estudio de la. lengua latina, que agradó sobremanera por la materia y pureza del lengpage , y por la acción y seren…</t>
  </si>
  <si>
    <t>Valdés, Antonio</t>
  </si>
  <si>
    <t>Antonio Valdés</t>
  </si>
  <si>
    <t>…món, coronel de Reales Guardias Walonas, caballero gran cruz de la misera orden, y Capitán general de los Reales egércitos; marques de las Hormazas, consejero de Esta do; el Bailo D. Antonio Valdés, consejero de Estado, caballero de la insigne orden delToison de Oro ., y capitán general de la Real armada; conde de Colomera, consejero de Estado, caballero gran cruz de la Real y distinguida orden española de Carlos iii, y de la de S. Hermenegildo, y Capit…</t>
  </si>
  <si>
    <t>Valdés, Josef María</t>
  </si>
  <si>
    <t>Josef María Valdés</t>
  </si>
  <si>
    <t>…illavaso, del segundo.* el recomendable capi tán de egército D. Juan Ortuño, ayudante de órdenes mío; el teniente de partidarios D. Ignacio de la Riva; el subteniente de cazadores D. Josef María Valdés, y el de igual clase del segundo escuadrón D. Casimiro Peralta, se han hecho acreedores á las gracias que V. E. tenga á bien dispensarles. Me haría muy culpable sí dejase de recomendar á V. E. la intrepidez con que el Padre Fr. Ramón Antonio Fernandez, capell…</t>
  </si>
  <si>
    <t>Valdés, Ramón</t>
  </si>
  <si>
    <t>Ramón Valdés</t>
  </si>
  <si>
    <t>…a, su gentilhombre de ser vicio, y de D. Fernando Queipo de Llano, gentilhombre y secretario de S. A.; del genti hombre con entrada D. Joaquín Palacios, y del mayordo mo de semana D. Ramón Valdés: S. A. se dignó examinar y enterarse muy detenidamente del objeto y trabaj) en que se ocupa cada una de las seccio nes en que se halla subdividida U referida comisión; y con su caracterbtica bondad se dignó manifestar quedaba muy satisfecho, ni solo de la org…</t>
  </si>
  <si>
    <t>…bre tuvo la honra de felicitar á 5S. MM. y A A. por sus augustos enlaces, á nombre del coronel, gefes y oficiales del regimiento infantería Infante D. Cirios , el teniente coroné! D. Ramón Valdés, ma yordomo de semana de S. M. con destino al cuarto del Sermo. Sr. Infante D. Carlos María Isidro, quien en un enérgico discurso manifestó ios senti mientos de amor y lealtad que animan á tan benemérita oficialidad. El dia 14 de Noviembre último tuvieron el…</t>
  </si>
  <si>
    <t>Valentín</t>
  </si>
  <si>
    <t>…lase. D. Salustiano de Olozaga, D. Cosme Giménez de Anti1100,0. Cosme Cordon, O. Cayetano Barosa, D. Angel de las Heras, Don Manuel Vega , D. Roque Alonso, Di Felipe Saiuz Robles, D. Valentín. Alonso y D. Manuel Serrano-</t>
  </si>
  <si>
    <t>Valentín.Ximenez</t>
  </si>
  <si>
    <t>…z 70. D Jo sef Broche ro 8. D. Josef Uaabal 69. D. Francisco Crespo 20. Agustín Bar tolomé 13. D. Eustbio Arrabal 20. Fernando Gómez 20. D. Vicente Telio 4. D. Manuel Cisneros 23. D. Valentín.Ximenez 20. D. Carlos Milre40. D. Esteban Gómez 20. D» Felipe Eneri y Seda 40. D. Gregorio Fernan dez 46. D. Fernando Larrondo 92. D. Martin Ocaf.a 20. D. Blas María 20. D. Pedro Pacheco 20. D. Fernando Prieto 24. D. Juan Ballesteros 20. Don Ruperto Molinero 16. D Jo…</t>
  </si>
  <si>
    <t>Valero, Josef Mariano García</t>
  </si>
  <si>
    <t>Josef Mariano García Valero</t>
  </si>
  <si>
    <t>…edera de Meckfembourg-Scheverin, ha resuelto el Rey nuestro Señor que la corte se vista de luto por ocho dias, que comienzan en este dia/: En atención á los méritos y servicios de D. Josef Mariano García Valero, teniente letrado y asesor d l gobierno é intendencia de Ciudad Real de.Chiapa, ha tenido á bien S M. nombrarle para la plaza de ñscal dei crimen d&amp; la audiencia de la isla de Cuba. El Rey nuestro Señor, se ha dignado admitir él donativo, de 7979 rs. y 15 mrs…</t>
  </si>
  <si>
    <t>…ón á la de Goatemala de D. Juan Ramón de Oses, á D. Josef Ignacio de Berrazuera ; la fhcalía del crimen de la audiencia de Cuba, por fallecimien to de D. Josef Antonio Zaldivia, á D. Josef Mariano García Valero: la fis calía de! crimen de la Real audiencia de Manila á D. Pedro Antonio García de Agui’a é Icaza; y la de lo civil de la propia audiencia á D. Ramón de Pomar é Hidalgo. El Rey nuestra Señor ha tenido á bien nombrar coronel del reoimiento provincial de Buja…</t>
  </si>
  <si>
    <t>Valero, Telesforo</t>
  </si>
  <si>
    <t>Telesforo Valero</t>
  </si>
  <si>
    <t>…elasco: para la de Salvatierra á D. Josef Antonio Ramo: para la de Fuensalida á D. Manuel Fernandez Azcona; para la de Doña Mencía á Don Alfonso Josef de Frías: para la deTorija á D. Telesforo Valero: para la de Aguilar de Campó á D. Victoriano Escribano: para la de Budia á D. Vi cente Perez Sánchez: para la de Cañete de las Torres á D. Indalecio Coro nel: para la de Orce á D. Francisco Saturio de Puerta: para la de Bonillo á D. Jcaquiu González: para la…</t>
  </si>
  <si>
    <t>Valiejo, Antonio Fernandez y</t>
  </si>
  <si>
    <t>Antonio Fernandez y Valiejo</t>
  </si>
  <si>
    <t>…higrómetros &amp;c., agua, sus estados de hie lo, liquidez, vapor y meteorología. Los alumnos que salieron fueron D. Josef Viñolas, D. Ramón de Becardi, D. Juan Barret, D. Juan Urel!, D. Antonio Fernandez y Valiejo, Don Antonio Monmany, D. Miguel Marti y D. Francisco Carbonell. Aunque to dos estaban obligados á responder á todo, se les señaló para explicar un punto en particular, el que después de explicado fue corroborado por ex perimentos , manifestando los fundamento…</t>
  </si>
  <si>
    <t>Valiente, Francisco Xavier</t>
  </si>
  <si>
    <t>Francisco Xavier Valiente</t>
  </si>
  <si>
    <t>…osrius. Parte del capitán del puerto de Cádiz. Al Excmo. Sr. gobernador de esta plaza da parte el capitán del puerto de que acaba de reconocerse la" barca española Golondrina , su capitán Don Francisco Xavier Valiente, procedente de la; Guaira en 52 dias: su carga añil y cacao, consignado á los Sres. viuda de Ruiz é hijo Terri. Este bu que conduce correspondencia; y su capitán declara que por oficio, que de Caracas llegó al puerto de su salida , se supo que el dia 6 de Dic…</t>
  </si>
  <si>
    <t>Valiente, Gregorio</t>
  </si>
  <si>
    <t>Gregorio Valiente</t>
  </si>
  <si>
    <t>…regimiento del Rey, y D. Sebastian Díaz, ídem de Zapa dores , grado de teniente coronel: á D. Joaquín Cornijo , teniente de cazado res de Barbastro, empleo de capitán efectivo : á D. Gregorio Valiente, tenien te de cazadores de Castilla, D. Manuel Ximenez, ídem de Barbastro , Don Francisco Ronquillo, idein de Reales Minadores, D. Antonio Van-Halen, ayudante del regimiento del Rey, D. Agustín Corcuera, teniente del de León , y D. Juan Pinto, ídem de Reales…</t>
  </si>
  <si>
    <t>Valiente, Juan Galban</t>
  </si>
  <si>
    <t>Juan Galban Valiente</t>
  </si>
  <si>
    <t>…ro : para la JsSacedon á D. Mariano Robledo: para la de Villablino á D. Josef García Al fonso: para la de la villa del Cerro á D. Antonio Morco é loza: para la del Burgo de Osma á D. Juan Galban Valiente: para la de Gerga á D. Miguel Antonio Compani; y para la de Cerezo á D. Josef Giménez Echevarría. Se halla vacante ía plaza de maestro de primeras letras de la ciudad de Guadalajítra, dotada en 300 ducados anuales pagados mensualmente por el mayordomo de prop…</t>
  </si>
  <si>
    <t>Valiente, Tuan Galban</t>
  </si>
  <si>
    <t>Tuan Galban Valiente</t>
  </si>
  <si>
    <t>…y dispondréis su cumplimiento. = i&lt; uWicado de la Real mano. =. Palacio 2 de Setiembre de 1816.=:A D. Pedro Orvallo*. S. M. se ha servido nombrar para el corregimiento de Conil á D. Tuan Galban Valiente, y para el de Castrojeriz á L&gt;. Francisco Fernandez ina: para la vara de alcalde mayor de Algarinejo á D. Jo* f V-n-nz de T jada: para la de Crecente á D. Anselmo del Campo: para la de Oáa a \j. Anto nio Rojo y Gandía: para la de Trigueros á D. Josef María He…</t>
  </si>
  <si>
    <t>Valle</t>
  </si>
  <si>
    <t>…ominan la Mera verde, única situación aparente para obrar con alguna ventaja á presencia de la superioridad del emm.'go, que procuraba envolverme afianzado del pueblo. El teniente coronel Valle realizó su operación tan bizarramente, que s:n embargo de la valiente resistencia con que se sostuvieron los rebeldes, arro lló toda la masa de su frente, de una manera que ;o- Jemas trozos, que fir maban ia reunión por todas direcciones, se vieron obligados…</t>
  </si>
  <si>
    <t>Valle, Francisco Carrillo del</t>
  </si>
  <si>
    <t>Francisco Carrillo del Valle</t>
  </si>
  <si>
    <t>…. Angel del Riego 100. Geraido de la Fuente ^o. D. Juan de Pa nlagua 60. El colegio de escribanos 1500. D. Juan Xerez Palomo 40. D. Ber nabé Notario 160 D. Juan Xerez y Montes 40. D. Francisco Carrillo del Valle, administrador general ,2411 rs. y 26 mrs. D. Antonio de Ramos y Ximenez 200 rs. D. Francisco Rafael González 60. Catalina Prados 6. D. Juan Cantarero 60. D. Joaquín Obrero 400. D. Diego Bernia 100. D. Pedro Herrera 200. D. Antonio Velasco ioo. D. Manuel Esta…</t>
  </si>
  <si>
    <t>Valle, Francisco del</t>
  </si>
  <si>
    <t>Francisco del Valle</t>
  </si>
  <si>
    <t>…sita calle del Arenal, núm. 2, manz. 393 , cuyos rendimientos disfruta por alimentos de viudedad; se ha mandado se cite, llame y emplace á D. Josef Julián Díaz, á los herederos de D. Francisco del Valle, á los de D. Guillermo Norigat, á los del sastre Manuel Suarez , y á los de D. Gregorio de Tejada, que no concurrieron á dicha junta por no habérseles podido citar, á causa de no tener noticia de sus habitaciones, para que en el término de 15 dias, que por te…</t>
  </si>
  <si>
    <t>Valle, Josef Antonio Aivarez</t>
  </si>
  <si>
    <t>Josef Antonio Aivarez Valle</t>
  </si>
  <si>
    <t>…illaboa: para la de Zueros á D.Nereo de Dueñas y Vilches: para la de-.Barcarota á D. Josef Villegas Cevallos: para la de Montcalegre á D. Pascual Ramírez Cerezo: para la de Teba á D. Josef Antonio Aivarez Valle: para la de Calahorra de Granada á D. Francisco Mirambell: para la de Estremera á D. Miguel Agustín de Novas: para la de Friones á I). Josef de Aguirre; y para la de Aznalcázar á D. Josef Joaquín Romero del Már mol. Y ha prorogado S. M. por seis años en la va…</t>
  </si>
  <si>
    <t>Valle, Manuel de</t>
  </si>
  <si>
    <t>Manuel de Valle</t>
  </si>
  <si>
    <t>…que el coronel de Milicias comandante de cazadores D. Pedro Antonio Rolando acudió con su batallón á vendar el sa'enfloro de su avanzada; el valor del teniente coronel de ejército D. Manuel de Valle, comandante de partidarios; el del comandante accidental del se gundo escuadrón teniente coronel de egército D. Domingo Reboredo; el del teniente coronel de egército D. Manuel de Manzanéelo, y el del teniente co ronel de Milicias D. Martin de Somocurcio; el d…</t>
  </si>
  <si>
    <t>Valle, María Bernarda del</t>
  </si>
  <si>
    <t>María Bernarda del Valle</t>
  </si>
  <si>
    <t>…curran aí referido juzgado y escribanía á acreditar la legítima pertenencia de dichos vales; con apercibimiento de que no haciéndolo se declararán por la de Iá de los herederos de Doña María Bernarda del Valle , que los tienen reclamados. Estando vacante en la ciudad de Santander una de las plazas de médico titulaí de ella acordó proveerla su ilustre ayuntamiento, convocando pretendientes hasta el día 17 de Abril próximo, haciendo presente al público que su dotació…</t>
  </si>
  <si>
    <t>Valle, Pablo del</t>
  </si>
  <si>
    <t>Pablo del Valle</t>
  </si>
  <si>
    <t>…Luisa Espinosa 200. D. Pedro Juan de Molina 200. Doña Catalina Zamorano 370. D. Juan Blas Zamorano 60. D. Rafael de Blancas 60. D. Andrés Ramírez Sousa .60. D, Antonio Melero 60. D. Pablo del Valle 40 Juan Pastor 80. Antonio Féiíx Ortiz 80. D. Lorenzo Gavi lán 50. Miguel Romero 50. D. Josef Carlos Oxtiz 50. Antopio Nieto 50.</t>
  </si>
  <si>
    <t>Valle, Pascual</t>
  </si>
  <si>
    <t>Pascual Valle</t>
  </si>
  <si>
    <t>I I 2J Honores del Consejo de 'Estado A D. Eusebio de Bardnxí y Azara, á D. Josef García de León y Pizar ro, y á D. Pascual Valle jo. Honores de grande de España para si} sus hijos y sucesores Al marques de la Ramilla, vecino y regidor de la ciudad de Ubeda. ORDEN AMERICANA DE ISABEL LA CATOLICA. Grandes Cruces. Al Teniente general D. Antonio Amar, y al R. obispo de Guadalajara de India…</t>
  </si>
  <si>
    <t>Valle, Pedro Nicolás del</t>
  </si>
  <si>
    <t>Pedro Nicolás del Valle</t>
  </si>
  <si>
    <t>…los honores y prerogativas de Supremo que se le concedieron en el año de 1803 ; pero en el dia sus Ministros están en el mismo caso que los dé Guerra é Indias, y por consiguiente D. Pedro Nicolás del Valle, que concurrió á la Junta sin representación de su Consejo por no haberse expre sado esta circunstancia en el nombramiento , debió preceder á D. Diego Ló pez Badillos, que tampoco la tenia de su respectivo Cpnsejo. Por estas con sideraciones , y cumpliendo el…</t>
  </si>
  <si>
    <t>…jo Real* Convocada esta , y reunidos los vocales, antes de formarse se suscitó- la disputa scbre preferencia de asiento entre D. Diego López Badilios , del Consejo de Or denes , y D. Pedro Nicolás del Valle , det de Hacienda , que son de los nom brados i pero cediendo este ultimo porque no se detuviera el servicio de S* M* en el objeto de su reunión, se instaló la Junta , con la protesta de parte de Valle de estar á lo que determinase S. M. en orden at asiento q…</t>
  </si>
  <si>
    <t>Vallecillo, Francisco</t>
  </si>
  <si>
    <t>Francisco Vallecillo</t>
  </si>
  <si>
    <t>…uesada. Pensiones de 4® reales sobre el Real erario. Al contra-maestre de construcción graduado de ayudante de Ingenieros D. Josef Sama Ana, y á los médicos-cirujanos de la armada D. Francisco Vallecillo y D. Lorenzo Bandini. A !a viuda é hijos menores del piloto de la clase de segundos de la arma da D. J uan Delfiti el sueldo por entero que este gozaba por vía de pensión; y á la viuda é hijos menores del capataz de calafates Josef Cancela, los dos tercios de sueldo que este disf…</t>
  </si>
  <si>
    <t>Vallejo, Jcsef Mariano</t>
  </si>
  <si>
    <t>Jcsef Mariano Vallejo</t>
  </si>
  <si>
    <t>…cos, y elevarla al grado de ciencia físico-matemática, leída en el Real Jardín botánico de esta corte á presencia del Sermo. Sr. Infante D. Carlos el ¿ia 18 de Octubre d; 1815 por D. Jcsef Mariano Vallejo, individuo de la Real sociedad económica matritense y de otros establecimientos científicos. Esta diserta ción, que mereció ¡a aprobación del lucido y numeroso concurso que asistió á su lectura, que está dedicada áí Sermo. Sr. Infante D. Cárlos, y i la que se…</t>
  </si>
  <si>
    <t>Vallejo, Mariano</t>
  </si>
  <si>
    <t>Mariano Vallejo</t>
  </si>
  <si>
    <t>…del agrado de S. M., y para realzar mas los festejos hizo venir la excelente música de Rea les Guardias españolas. Ademas de esto en unión con el director de las Rea les fábricas D. Mariano Vallejo, que mira con todo el zelo de que es sus ceptible los aumentos y prosperidad de un establecimiento tan útil al reino, determinó una corrida de seis toros de muerte y otra de novillos, ínterin la^ augustas Personas se dignasen permanecer en ella, proporcionand…</t>
  </si>
  <si>
    <t>…rédito público; D. Pió Eüzalde, ídem de Reales provisiones; D. Carlos Rusconi , cónsul en Venecia, y D. Rafael Ruiz de Arana, ministro del tribunal de Cruzada. Idem de Provincia Á D. Mariano Vallejo, superintendente y director de las Reales fábricas de Guadalajara; D. Pascual Román, contador de Juros, y D. Francisco Mel garejo y D. Antonio Alonso , tesoreros de egército y Real hacienda de Cádiz. Idem de secretarios del Rey A D. Josef Armesto y Segovia, c…</t>
  </si>
  <si>
    <t>Valles, Francisco</t>
  </si>
  <si>
    <t>Francisco Valles</t>
  </si>
  <si>
    <t>…D. Diego Hurtado de Mendoza, D. Gerónimo de Zurita, D. Diego de Saavedra Fajardo, y D. Alvaro Navia Osorio.—Cuaderno 7.0: D. Luis de Requesens, D. Bartolomé Leonardo de Argensola, D. Francisco Valles, D. Juan de Ribera, D. Juan de Palaíox y Mendoza, y el Mt ro. Fr. Luis Ponce de León. (iV continuará.') Por providencia de los Sres. del Real y supremo Consejo de Castilla, y su sala de Provincia, se cita, llama y emplaza á D. Pedro Gómez de Rozas, vecino de…</t>
  </si>
  <si>
    <t>Valles, Manuel</t>
  </si>
  <si>
    <t>Manuel Valles</t>
  </si>
  <si>
    <t>…anto se les preguntó. En esta clase de latinidad se distinguieron D Josef Viejo* D. Francisco Martínez, D. Manuel Antonio Nuñez, D. Manuel Paez, Don Manuel Perez , D. Manuel Saiz, D. Manuel Valles, D. Manuel Manso, Don Gregorio Colmeneroy D. Francisco Arribas; los cuales dieron pruebas de su constante aplicación y adelantamientos, y de hallarse aptos para emprender otros estudios, por lo que merecieron particular aprecio del ayuntamiento y demas person…</t>
  </si>
  <si>
    <t>Vallnrino, Bruno</t>
  </si>
  <si>
    <t>Bruno Vallnrino</t>
  </si>
  <si>
    <t>…as á manera del creado por la Real cédula de 6 de Junio de 1793 * compuesto de D. Manuel de Lardizaval y D. Bernardo Rierza por el Consejo de Castilla; el Conde de Torre Muzquiz y D. Bruno Vallnrino por el de Indias; D. Sancho de Llamas y D. Juan Antonio Fernandez de Quesada por el de Hacienda , nombrando por Fiscal á D. Bernardo Mozo Rosales, Fiscal antes, y ahora Ministro del Consejo de Hacienda; y para Secretario con voto á D. Anacleto Fagoaga y Dutar…</t>
  </si>
  <si>
    <t>Valtierra, Victorio</t>
  </si>
  <si>
    <t>Victorio Valtierra</t>
  </si>
  <si>
    <t>…rita Martin 20. D. Santos Avoin Coronel en efectos y dinero 360. D. Manuel Cisneros 200. D. Anto nio Echenique 140. D. Josef Perez 40. D. Fructuoso Tejedor 30. D. Josef Lozano 30. D. Victorio Valtierra 30. D. Lorenzo de Seras 30. El coman dante de las armas 138. El contador y subalternos 60. El tesorero de ren ta' 23. ES administrador de rentas 23. D. Pedro Azaituno 30. El corregidor interino 24. 1). ‘Ensebio Hernández 70. D. Vicente Crespo 20. D. Gregorio…</t>
  </si>
  <si>
    <t>Van-Halen, Antonio</t>
  </si>
  <si>
    <t>Antonio Van-Halen</t>
  </si>
  <si>
    <t>…empleo de capitán efectivo : á D. Gregorio Valiente, tenien te de cazadores de Castilla, D. Manuel Ximenez, ídem de Barbastro , Don Francisco Ronquillo, idein de Reales Minadores, D. Antonio Van-Halen, ayudante del regimiento del Rey, D. Agustín Corcuera, teniente del de León , y D. Juan Pinto, ídem de Reales Zapadores, el grado de capitán: á D. Francisco Saín z, subteniente del regimiento de la Victoria, y D. Manuel Ramos, idem del de Barbastro, el grado…</t>
  </si>
  <si>
    <t>Van-IIalen, Antonio</t>
  </si>
  <si>
    <t>Antonio Van-IIalen</t>
  </si>
  <si>
    <t>…se tenga presente su mérito para los ascensos sucesivos con antelación, y á los capitanes de fragata D. Torcuato Piedrola y D. Ramón Huíate: para la de Marina al alférez de navio D. Antonio Van-IIalen, y al dé fragata D. Josef Quesada. Pensiones de 4® reales sobre el Real erario. Al contra-maestre de construcción graduado de ayudante de Ingenieros D. Josef Sama Ana, y á los médicos-cirujanos de la armada D. Francisco Vallecillo y D. Lorenzo Bandini. A !a v…</t>
  </si>
  <si>
    <t>Van-Panhuis</t>
  </si>
  <si>
    <t>…ia de Surinan la bandera de los Países-Bajos en medio de la universal aclamación de todos los habitantes ,quienes vieron con gusto que el general ingles Bouham entregó el mando al general Van-Panhuis. El vice-altnirante Van-Braam , comandan te de la encuadra que condujo á aquel establecimiento las tropas que deben formar «u guarnición , entró de vuelta en Elessiuga el i.° del corriente á bor do de la fragata huríaice. FRANCIA. Lanares 11 de Mayo. Lueao qu…</t>
  </si>
  <si>
    <t>Vandamme</t>
  </si>
  <si>
    <t>…aban de llegar á esta ciudad el general Berthezane, el coronel Desaix, sobrino del célebre general de este nombre, muerto en la batalla de Marengo, y el antiguo prefecto Combe. El general Vandamme, que hacia algunos dias se hallaba en Cassel, pa rece que se dispone á pasar á la América. Se espera de un dia á otro :i Mr. Gambaceres , quien tiene mandado que se le prepare una casa en esta ciudad. Escriben de Gante que habían llegado á aquella ciudad los…</t>
  </si>
  <si>
    <t>…dos de mas nombre. Brice, Despres, Sarrazin , Courtin, el general Lobau y algunos otros están todavía aquí; pero se espera que en breve recibirán la orden de salir. Se sabe que el general Vandamme, que estaba en Gante, ha recibido también orden de salir de alli. Los embajadores y ministros extrangeros, asi como los individuos de los Estados Generales y otras varias personas de la primera distinción que se ha llan en la Haya, se apresuran en el dia á to…</t>
  </si>
  <si>
    <t>Vander-Capcllen</t>
  </si>
  <si>
    <t>…Setiembre. Et estruendo de la artillería anuncia en este instante la victoria consegui da contra los argelinos. El teniente de navio Arriens llegó esta mañana con pliegos del vice-almirante Vander-Capcllen, los cuales están conformes con los del almirante Exmouth. Nuestra escuadra, igualmente que la inglesa, es taba animada de los mas nobles sentimientos á favor de la causa de la hu manidad. Ei orden y la tranquilidad con que se correspondió al fuego horro roso…</t>
  </si>
  <si>
    <t>VanWell</t>
  </si>
  <si>
    <t>5Qde Bender, ministro de S. M. el Emperador de Austria, y ayer á las 12 re cibid en el palacio deTurena,en donde está alojado, al mayor general VanWell, gobernador militar de la Holanda meridional, que con todos los ofi ciales de la guarnición y de la guardia civil fue á cumplimentarle. En se guida* este ilustre campeón, acompañado solamente de un ayudante, fue á pie á visitar al Rey en medio de las aclamaci…</t>
  </si>
  <si>
    <t>Var, Antonio de Jesús</t>
  </si>
  <si>
    <t>Antonio de Jesús Var</t>
  </si>
  <si>
    <t>…anta, de suerte que no ha de impedir su actual y suce siva producción para optar á él. Las memorias se han de dirigir á esta ciudad de Lucena y poaer del secretario de la sociedad D. Antonio de Jesús Var gas , sin firma de sus respectivos autores, y sí con el lema que guste cada cual, el que se repetirá en carta cerrada y sellada que acompañará á la me moria, y no se abrirá sino en el caso de ser esta premiada. Las que se remi tan podrán escribirse en español…</t>
  </si>
  <si>
    <t>Varela, Francisco Xavier Vázquez</t>
  </si>
  <si>
    <t>Francisco Xavier Vázquez Varela</t>
  </si>
  <si>
    <t>…de S. M. y felicitarle por su contratado enlace á nombre de la ciudad de Vigo el Excmo. Sr. D. Manuel López Araujo, secretario de Estado y del despacho universal de Hacienda, y el Sr. D. Francisco Xavier Vázquez Varela, mi nistro del mismo consejo; y el primero dijo: „ Señor: La M. N. F. L. y V. ciudad de Vigo, en el vuestro reino de Galicia, honras que el Gobierno constituido en la ausencia de V.M. le con cedió por premio de sus acreditados esfuerzos para su rescate, y de…</t>
  </si>
  <si>
    <t>Varela, Joaquina Cipriana</t>
  </si>
  <si>
    <t>Joaquina Cipriana Varela</t>
  </si>
  <si>
    <t>…ones á una de Jas huérfanas de los militares ó patriotas que hubieren muerto en defensa de la justa causa de la nación, ha cabido en suerte del primer extracto de la de este dia á Doña Joaquina Cipriana Varela, hija del subteniente, muerto en el campo del honor. La extracción siguiente se egecutará el dia 26 de Febrero. ARTICULO DE OFICIO. Circular del Ministerio de Hacienda. El Sr. Secretario de Estado y del Despacho de Guerra me comunica cort fecha de 7 de este m…</t>
  </si>
  <si>
    <t>Varela, Manuel Fernandez</t>
  </si>
  <si>
    <t>Manuel Fernandez Varela</t>
  </si>
  <si>
    <t>…dad de Guadix, y siempre me será agradable la memoria de sus leales sentimientos.” ARTICULO Dfi OFICIO. En atención á los méritos y recomendables calidades que concurren en el Dr. D. Manuel Fernandez Varela, deán de la iglesia catedral de Lugo, lia venido S. M. en nombrarle su predicador supernumerario , condecorándole al mismo tiempo con la cruz también supernumeraria de la Real y distin guida orden española de Carlos m.</t>
  </si>
  <si>
    <t>Varela, Manuel Ventura de Fraga y</t>
  </si>
  <si>
    <t>Manuel Ventura de Fraga y Varela</t>
  </si>
  <si>
    <t>…lo que copio: „Excmo Señor: Al señor secretario de Estado y del despacho de Gracia y Justicia digo con esta fecha lo siguiente: El Rey nuestro Señor, enterado de la ins tancia de D. Manuel Ventura de Fraga y Varela, canónigo dignidad de Car denal de la santa iglesia de Santiago, en solicitud de que se le gradúen sus mé ritos; y satisfecho S. M. de los particulares que ha contraído este eclesiástico/ principalmente los personales y pecuniarios en la última pasada guerra,…</t>
  </si>
  <si>
    <t>Vargas, Cárlos de</t>
  </si>
  <si>
    <t>Cárlos de Vargas</t>
  </si>
  <si>
    <t>…regimiento provincial de Monterey á D. Josef Cagide, teniente coronel que era de la cuarta división de granaderos provinciales de Galicia: para el empleo que este deja al teniente coronel D. Cárlos de Vargas, capitán del regimiento provincial de Ronda; y para coronel del provincial de Laredo á D. Jacinto María de Narganes, comandante del segundo batallón del re gimiento infantería de Burgos. El Rey nuestro Señor se ha servido nombrar auditor de guerra del egér ci…</t>
  </si>
  <si>
    <t>Vargas, Carlos de</t>
  </si>
  <si>
    <t>Carlos de Vargas</t>
  </si>
  <si>
    <t>…ui’a é Icaza; y la de lo civil de la propia audiencia á D. Ramón de Pomar é Hidalgo. El Rey nuestra Señor ha tenido á bien nombrar coronel del reoimiento provincial de Bujalance á D. Carlos de Vargas , teniente coronel de la cuar ta división de granaderos y cazadores provinciales de Galicia; y para es&amp;a resulta al teniente coronel conde de Torrejon, segundo teniente del regimien to de. Reales guardias de infantería Española.</t>
  </si>
  <si>
    <t>Vargas, Francisco de Paula Soler de</t>
  </si>
  <si>
    <t>Francisco de Paula Soler de Vargas</t>
  </si>
  <si>
    <t>…slo en tendido, y dispondréis lo necesario á su cumplimiento. Está rubricado =Ea Sacedon á 12 de Julio de 1816. =A D. Pedro Cevallos. El Rey nuestro Señor se ha servido conceder á D. Francisco de Paula Soler de Vargas, regidor de la clase de nobles de la ciudad de Alicante, su Real permiso para poder usar la condecoración de la orden de la Flor de Lis, que S. M. Cristianísima el Rey de Francia Luis xyui &lt;e ha digrado conferirle por su constante y acreditada adhesión á ia a…</t>
  </si>
  <si>
    <t>Vargas, Joaquín</t>
  </si>
  <si>
    <t>Joaquín Vargas</t>
  </si>
  <si>
    <t>…ro llamó á- los que habían sido premia dos con respecto á su clase y mérito, que fueron con los premios- prime ros D. Joaqurn Cañed'o , D. Leo na rdo-García , D. Bernardo Cadenas, Don Joaquín Vargas y D. Mantiél Ribera: con los segundos D. Juan García Cefedonó’ Casado, D. Francisco. Canillas, D-. Máximo de Vargas y Don‘Ge»Bíuo Salgado , D. Pedia Gómez y D. Pedro Miguel; y con los tetcetoi</t>
  </si>
  <si>
    <t>Vargas, Pedro de</t>
  </si>
  <si>
    <t>Pedro de Vargas</t>
  </si>
  <si>
    <t>…Diego María Badiilos, del de Almirantazgo; D. Santiago Masarnau y Torres , secretario de la mayordomía mayor; D. Francisco Escariad, contador general de la Real casa y patrimonio; D. Pedro de Vargas , teso rero general de la misma Real casa y patrimonio; D^ Francisco Alonso de Ojeda, asesor general, y D. Ramón Calvo de Rozas , fiscal. Reunidos t&lt; dos con este objeto en la secretaría de la mnyordomía mayor á la hora señalada por el Excmo. Sr. presidente,…</t>
  </si>
  <si>
    <t>Vargas, Vicente de</t>
  </si>
  <si>
    <t>Vicente de Vargas</t>
  </si>
  <si>
    <t>…creación, y con particularidad en la ultima guerra, han egecutado los regimientos de milicias. S. A. á imitación de S. M. se dirigió en seguida á la casa del brigadier se cretario D. Vicente de Vargas, y seguidamente pasó al almacén del vestua rio , enterándose muy por menor de ía calidad de las gorras y demas pren das dispuestas para las divisiones de granaderos; y no hubo cosa que su be-1nignidad no aprobase.</t>
  </si>
  <si>
    <t>…lísimo con el general inspector conde de Villariezo, los subinspectores de ambas divi siones mariscal de campo D. Fernando Butrón, brigadier D Ignacio Balanzar , el de igual clase D. Vicente de Vargas, secretario de la inspección , y de mas ayudantes. S. A. fue recibido en el orden de parada, y seguido de e*ta numerosa comitiva corrió toda la línea, hasta el momento que se dignó lle gar S. M., á quien se recibió en el mismo orden, siguiéndole en carroza ab…</t>
  </si>
  <si>
    <t>Varnogues</t>
  </si>
  <si>
    <t>…bajador cerca de la corte de Lisboa, y el duque de Alberg 'para la embajada de Turin, Mr. de Fenelon está nombrado encargado de negocios del Rey cerca de la corte de Darmstadt: el caballero Varnogues ministro residente en Florencia; y Mr. Hyde de Neuville enviado y ministro plenipotenciario cerca de los EstadosUnidos. ESPAÑA. Madrid 23 de Febrero. La Inspección general de Milicias tuvo la dicba de verse lisonjeramente sorprendida por la augusta presencia…</t>
  </si>
  <si>
    <t>Varo, Antonio García de</t>
  </si>
  <si>
    <t>Antonio García de Varo</t>
  </si>
  <si>
    <t>…18 de este mes el ilustre ayuntamiento, los señores curas párrocos , patronos del hospital de Caridad, de quienes depende la escuela de primeras letras de este nombre, á cargo de D. Antonio García de Varo, los RR. PP. prior ,difinidores y lector de Car melitas descalzos,y los sugetos mas distinguidosé instruidos ,y presentádose 14 niños á exámenes públicos por súplica y convite de su maestro, se dió prin cipio á ellos con up discurso, que pronunció Manuel Lópe…</t>
  </si>
  <si>
    <t>Vatdés, Antonio</t>
  </si>
  <si>
    <t>Antonio Vatdés</t>
  </si>
  <si>
    <t>…e la orden de San Juan hizo anunciar en la gaceta de 25 de Abril último, ha determinado después que se cite, llame y emplace por última vez á lo; acreedores dei difunto hailío Fr. D. Antonio Vatdés, fijándoles un termino de dos meses, conraoos devde el 12 del corriente, para que presenten los documentos qne califiquen sus respectivos créditos en la secretada de la mi*ma á cargo de D Bartolo mé Torrado, que vive puerta del Sol , casa de ia Inclusa; en el…</t>
  </si>
  <si>
    <t>Vayer, Julián</t>
  </si>
  <si>
    <t>Julián Vayer</t>
  </si>
  <si>
    <t>…s cajones de metal con platina , y cinco velas de tres buques. En las cartas números 126 y 127 remite los partes que le han sido diri gidos por el comandante de la columna volante D. Julián Vayer y el capi tán de húsares de Fernando vn D. Vicente Sánchez Lima, procedente de la división del mando del brigadier D Pedro Ruiz de Porras, cuyas tro pas obraban de acuerdo, de los que resulta la destrucción de los insurgentes en Chinia, y los ríos Suin y Cane…</t>
  </si>
  <si>
    <t>Váz, Josef</t>
  </si>
  <si>
    <t>Josef Váz</t>
  </si>
  <si>
    <t>…cÓnsejero'de Estado; D. Miguel de Lardizabal, consejero de, Esta do, y caballero gran cruz de la Real orden Americana de Isabel la Católica; £&gt;, Josef Ibarra, consejero de Estado; D. Josef Váz quez Figueroa, del consejo de Estado, y secretario de Estado y del Despacho universal de^Marii^a, c^bal)prot.granxiuz d5e la Real orden Ajmjericana de Isabel la.jCatólica;., 1¿&gt;V Maque}, López Araujo, del consejo de distado, y secretario. de ^.Estado efel (De…</t>
  </si>
  <si>
    <t>…seguidos de las continuas aclamaciones de Un inmenso y lucido concurso que desde lejos los anunciaban , hallándose con anticipación en aquel sitio el Excmo. Sr. ministro de Marina D. Josef Váz quez Figueroa,y varios del supremo consejo de Almirantazgo, para rendir á S. M. y AA. el debido homenage ,y recibir sus soberanas órdenes en un acto propio del cuerpo que rigen. Después de haber examinado personalmente, y por entre las mismas filas, asi al of…</t>
  </si>
  <si>
    <t>Vazque, Francisco</t>
  </si>
  <si>
    <t>Francisco Vazque</t>
  </si>
  <si>
    <t>…Jesucristo, con estampas finas: un tomo en 8.°, á 10 rs. en pasta. Egercicio cotidiano según el espíritu de la iglesia: escrito por el P. Teodoro de Almeida, y traducido por el P. D. Francisco Vazque?; un tomo en 8.°, ¿8 rs. en pasta. Se hallarán en librería de Rodríguez, calle de las Carretas. Modo práctico y fácil de hacer confesión general, asi para alivio de los confe sores, como de los penitentes en examinarse y hacerla: su autor el V. P. Pedro de Ca…</t>
  </si>
  <si>
    <t>Vázquez, Bartolomé</t>
  </si>
  <si>
    <t>Bartolomé Vázquez</t>
  </si>
  <si>
    <t>…rid, grerad^s p&lt; r e! mismo, a 40. __ D &gt;s cuadernos de i : estampas ilnmin^dis de L s pavimentos de Riclves y Jumilla, di bujadas por el arquitecto D- Pcd o Arnal, v grabadas por D. Bartolomé Vázquez, cada uno a 80. — Stc. Tor:Ln&gt; Mogrovcjo, del original de Sebastian Cosca, graba da por Pabio Pii ija, á n. ( Se ccnsintMr.^ ) En virtud de providencia del Sr. D. Joaquín de Almazan y Xinieno, del Con*</t>
  </si>
  <si>
    <t>Vázquez, Diego</t>
  </si>
  <si>
    <t>Diego Vázquez</t>
  </si>
  <si>
    <t>…ean la alegría de V. A. S., y hagan la felicidad de la nación.” S. A. S. oyó con agrado esta felicitación. El día 12 del corriente tuvo el honor de felicitar á S. M. el presbítero D. Diego Vázquez, capellán penitenciario del hospital General de esta cor te, en ios términos siguientes: „Señor : Los ayuntamientos de la Real jurisdicción del Bollo , de la de Viana, de la del valle de Conso, sus cotos y agregados en vuestro fidelísimo reino de Galicia, pro…</t>
  </si>
  <si>
    <t>Vázquez, Fernando</t>
  </si>
  <si>
    <t>Fernando Vázquez</t>
  </si>
  <si>
    <t>…te oficial, bien en su familia ó en quien fuere de su soberano agra do : á los tenientes de cazadores del mismo cuerpo D. Francisco Narganes y D. Josef Andrade, y los subtenientes D. Fernando Vázquez y D. Casimi ro Mendivil: á los capitanes del regimiento del Rey D. Manuel María Mar tínez de Aparicio, D. Lino López Quintana y D. Manuel Guevara, y al teniente D. Josef García, al subteniente D. Juan Meseron, al sargento pri mero Francisco Melendro, y al cabo primero de…</t>
  </si>
  <si>
    <t>Vázquez, Luis Alfonso</t>
  </si>
  <si>
    <t>Luis Alfonso Vázquez</t>
  </si>
  <si>
    <t>…tes las dos plazas de médico y cirujano latino del limo, cabildo de la santa iglesia de Toledo, primada de las Españas. Los facultativos que aspiren á obtenerlas se dirigirán á su secretario D. Luis Alfonso Vázquez, por quien serán instruidos de las cargas, condiciones y dotación con que se han de proveer pasado el término de 40 dias. Egercicio cotidiano con diferentes oraciones para asistir al santo sacrificio de la misa, y otras para antes y después de la confesión y…</t>
  </si>
  <si>
    <t>…e cirujano latino del limo, cabildo de la santa iglesia de Toledo., primada de 'as hispanas , cuya dotación es de nS rs. anuales.“Los tacuí‘tatívos que ia pretendan, acudirán á su secretario D. Luis Alfonso Vázquez, por quien serán instruidos de las cargas y condiciones con que se ha de proveer pasada el término de 40 dias. ./ Se halla vacante la ración de sochantre de .la insigne iglesia colegia? de la villa de Ampudia, cu)a renta anual asciende á 4® rs. poco mas ó men…</t>
  </si>
  <si>
    <t>Vázquez, Martin Santin y</t>
  </si>
  <si>
    <t>Martin Santin y Vázquez</t>
  </si>
  <si>
    <t>…segundo término se Ies asig nan , en el juzgado del Sr. D. Joaquin de Almazan y Ximeno , del Consejo de S. M., teniente corregidor de esta villa, y por la escribanía del número de D. Martin Santin y Vázquez, donde se halla radicada dicha testamentaría; prevenidos que de no hacerlo les parará el perjuicio que haya lugar. D. Tomas, Doña Columba y Doña Antonia de CHeverri y Tenllado, hermanos, vecinos que fueron de la villa de Posadas, en la provincia de Córdoba, e…</t>
  </si>
  <si>
    <t>Vega, Antonia Josef Ximenez de</t>
  </si>
  <si>
    <t>Antonia Josef Ximenez de Vega</t>
  </si>
  <si>
    <t>…aranjo: para la de Jarandilla á D. Josef González: para la de Salas de los Infantes á D. Manuel de! Pozo: para la de Curiel á D. Esteban Sánchez de la Iglesia: para la de Huelma á D. Antonia Josef Ximenez de Vega: para la de Peñaflor á D. Dionisio Rodríguez Gon zález: para la de Cogolludo á D. Francisco María Ortiz: para la de Algari-</t>
  </si>
  <si>
    <t>Vega, Gabriel de</t>
  </si>
  <si>
    <t>Gabriel de Vega</t>
  </si>
  <si>
    <t>…ea les Personas, se dignó S. M. recibir una diputación de la villa de Villafranca del reino de Córdoba, compuesta de su alcalde mayor D. Mateo Coro nado y Blanco, de los regidores D. Gabriel de Vega y D. Blas Herrera, del vicario eclesiástico D. Joaquín Rafael Gaitan, y de los presbíteros Don Miguel Zamorano y D. Antonio Sanz Pastor; y otra de la ciudad de Jaén representada por su corregidor D. Rafael Ainat, los cuales repitieron áS.M* y A. R. las mismas expresiones de re…</t>
  </si>
  <si>
    <t>Vega, Juan</t>
  </si>
  <si>
    <t>Juan Vega</t>
  </si>
  <si>
    <t>…ez, D. Josef María Loureiro, D Florencio Pereira, D. Benito Pereira, D. Cosme Arias, D. Juan RoJriuuez , I). Josef Abad, D. Manuel Vicario, D. Josef Vicente Veigi, D Josef Alonso, D. Juan Vega, D. Manuel Rodríguez Almeiras j D. Cayetano Cruz. En geometría D. Josef Pujadas, D. Fermín Galceran, D Josef Sada, D. Ignacio Palacios, D. Tomas Diago, y los citados D Josef Perez y D. Juan Pablo Rodríguez. En trigonometría plana D. Manuel Ban dujo, O. Cándid…</t>
  </si>
  <si>
    <t>128o sef Alonso, D. Juan Vega\ D. Manuel Rodríguez Almeiras y D. Cayetano Cruz. En geometría D. Josef Pujadas, D. Fermín Gaiceran, D. Josef Sada, D. Ignacio Palacios , D. Tomas Díago, y los citados D. Josef Perez y Don Juan Pablo Rodríguez. En trigonometría plana D. Manuel Bandujo, Don Cá…</t>
  </si>
  <si>
    <t>Vega, Manuel</t>
  </si>
  <si>
    <t>Manuel Vega</t>
  </si>
  <si>
    <t>…,. D. Bernardino P'erez y D&gt; Manuel de las Heras. Segunda clase. D. Salustiano de Olozaga, D. Cosme Giménez de Anti1100,0. Cosme Cordon, O. Cayetano Barosa, D. Angel de las Heras, Don Manuel Vega , D. Roque Alonso, Di Felipe Saiuz Robles, D. Valentín. Alonso y D. Manuel Serrano-</t>
  </si>
  <si>
    <t>VeIa, Francisco</t>
  </si>
  <si>
    <t>Francisco VeIa</t>
  </si>
  <si>
    <t>…oferta que le ha hecho del alcance de los sueldos devengados que resulte á su favor en el ajuste que se le forme ba jo el concepto expresado. Queriendo el Rey nuestro Señor dar á D. Francisco VeIa«co, teniente coronel del regimiento infantería de la Havana,una prueh.i del buen concep to y aprecio que hace de sus servicios y míriro, se ha dignado mandar que en la orden del dia y en la gaceta Be esta corte se haga saber para noticia del egército y del pú…</t>
  </si>
  <si>
    <t>Veiga, Josef Vicente</t>
  </si>
  <si>
    <t>Josef Vicente Veiga</t>
  </si>
  <si>
    <t>…D. Josef Perez, D. Juan Pablo Rodríguez, D. Josel María JLcureiro, D. Florencio Pereira, D, Benito Pereira , D. Cosme Arias, D. Juan Rodrí guez, D. Josef Abad, D. Manuel Vicario, D. Josef Vicente Veiga , D. Jo-</t>
  </si>
  <si>
    <t>Veigi, Josef Vicente</t>
  </si>
  <si>
    <t>Josef Vicente Veigi</t>
  </si>
  <si>
    <t>…ca D. Josef Perez, D. Juan Pablo Rodríguez, D. Josef María Loureiro, D Florencio Pereira, D. Benito Pereira, D. Cosme Arias, D. Juan RoJriuuez , I). Josef Abad, D. Manuel Vicario, D. Josef Vicente Veigi, D Josef Alonso, D. Juan Vega, D. Manuel Rodríguez Almeiras j D. Cayetano Cruz. En geometría D. Josef Pujadas, D. Fermín Galceran, D Josef Sada, D. Ignacio Palacios, D. Tomas Diago, y los citados D Josef Perez y D. Juan Pablo Rodríguez. En trigonometría plana…</t>
  </si>
  <si>
    <t>Vela, Sebastian Eugenio</t>
  </si>
  <si>
    <t>Sebastian Eugenio Vela</t>
  </si>
  <si>
    <t>…te, y las poderosas razones que obligan al sabio Werner á colocar esta substancia entre las pie dras , y no considerarla como un combustible en el sentido común de esta voz. El ió D. Sebastian Eugenio Vela manifestó la necesidad que hay de estudiar los minerales en su mismo criadero para conocerlos completamente, apreciar sus tránsitos y alteraciones, y formar su mas cabal historia, é hizo aplicación de esta verdad á las diferentes especies conocidas de jaspe,…</t>
  </si>
  <si>
    <t>…e premios sellados con las armas Reales, é inscritos por el exergo con el lema siguiente: Ferdinandus vii N. N. STUDIOSO IN GIMNASIO REGII MATRITENSIS HORTI ANNO MDCCCXV. VICTORI. D. Sebastian Eugenio Vela, D. Pascual Asensio y D. Angel Calderón recibieron los tres primeros premios de botánica general, que constaba cada uno del Icones plantarum de Cavanilles, de la Monadelfia del mismo au tor ,y las traducciones de la parte práctica y Filosofía botánica de Linn…</t>
  </si>
  <si>
    <t>Velarde, Gabriel de Hoyos y</t>
  </si>
  <si>
    <t>Gabriel de Hoyos y Velarde</t>
  </si>
  <si>
    <t>…. A. R. el Sermo. Sr. Infante D. Carlos con igual motivo. Con el plausible motivo del feliz enlace de SS. MM. y AA. tuvo la hon ra de besar sus Reales manos el dia 5 del corriente D. Gabriel de Hoyos y Velarde en nombre de la villa de Sepúlveda y íu tierra, y de manifestar los fieles sentimientos de aquellos naturales en los términos siguientes: ,,Señor: La villa de Sepúlveda ha conservado siempre la mas pura leal tad á sus legítimos Soberanos, y la ha acreditado e…</t>
  </si>
  <si>
    <t>Velarde, Julián</t>
  </si>
  <si>
    <t>Julián Velarde</t>
  </si>
  <si>
    <t>…se halla el expresado regimiento. ARTICULO DE OFICIO. Al dar parte en Agosto próximo á esta vía reservada de Marina el capi tán de fragata y director del Real instituto asturiano D. Julián Velarde de los exámenes de período que sufrieron sus alumnos , manitestando casi todos el mayor aprovechamiento., lo verifica igualmente del precioso donativo que, entre otros señalados beneficios, hizo á .aquel establecimiento df. su numerosa y escogida librería el…</t>
  </si>
  <si>
    <t>Velarde, María</t>
  </si>
  <si>
    <t>María Velarde</t>
  </si>
  <si>
    <t>…ó plaz^i en el regimiento provincial de dicha ciu dad para maestro de música, y fue prisionero en el ataque de Vitoria. La persona que supiere de su paradero se servirá avisarlo á Doña María Velarde, su madre, que. vive en Toledo, calle de la Sillería, núm. 14. Indagación filosófica sobre el origen de nuestras ideas acerca de lo sublime y lo bello: escrita en ingles por Edmundo Burke, y traducida al castellano. En esta obra con egemplos familiares y clar…</t>
  </si>
  <si>
    <t>Velarde, Melchor</t>
  </si>
  <si>
    <t>Melchor Velarde</t>
  </si>
  <si>
    <t>…s, inclusos los expresados dos oficiales de la avanzada, y 32 heridos , entre los que se cuentan al valiente capitán de cazadores Don Juan Ricardo y el subteniente de. partidarios D. Melchor Velarde, á quienes recomiendo ó V. E. Hasta el ultimo tambor ce mis tropas se ha porta do brillantemente en este glorioso suceso; pero sin embargo cebo elogiar á V. E. la rapidez y serenidad con que el coronel de Milicias comandante de cazadores D. Pedro Antonio Rola…</t>
  </si>
  <si>
    <t>Velarde, Romualdo Antonio Mon y</t>
  </si>
  <si>
    <t>Romualdo Antonio Mon y Velarde</t>
  </si>
  <si>
    <t>…ntarse al Rey nues tro Señor y felicitarle en nombre del cabildo de la sama iglesia metropolita na de Tarragona por su augusto enlace con la Reina nuestra Señora el Ex celentísimo Sr. D. Romualdo Antonio Mon y Velarde, Gran Cruz de la orden de Cárlos m y arzobispo de Sevilla, y el limo. Sr. conde del Pinar, del Consejo y Cámara de S. M.; el segundo de los cuales arengó á S. M. en los términos siguientes : ,,Señor: El cabildo de la santa iglesia metropolitana de Tarragona,…</t>
  </si>
  <si>
    <t>Velasco, Antonio</t>
  </si>
  <si>
    <t>Antonio Velasco</t>
  </si>
  <si>
    <t>…. D. Antonio de Ramos y Ximenez 200 rs. D. Francisco Rafael González 60. Catalina Prados 6. D. Juan Cantarero 60. D. Joaquín Obrero 400. D. Diego Bernia 100. D. Pedro Herrera 200. D. Antonio Velasco ioo. D. Manuel Estaquero 120. D. Ra fael Salinero, presbítero, 60. Doña Rosalía de Negrete 20. El colegio de San Roque 500. El convento de S. Pablo, religiosos dominicos , 8800. La Exce lentísima Sra. marquesa de Benamejí 16®. El convento de religiosos de la…</t>
  </si>
  <si>
    <t>Velasco, Antonio Martínez de</t>
  </si>
  <si>
    <t>Antonio Martínez de Velasco</t>
  </si>
  <si>
    <t>…felicidad de su Rrt y Señor y de su augusto Hermano en unión tan dichosa. Madrid 27 de Setiembre. El 17 del presente tuvo la honra de felicitar á S. M. por su ya efectuado enlace D. Antonio Martínez de Velasco, diputado comisionado ai efecto del Real consulado de la ciudad de Burgos; y habló á S. M. en el modo que sigue: ,,Señor: Vuestro Real consulado de la M. N. y M. L. ciudad de Bur gos, cabeza de Castilla , cámara de V. M., y la primera de voto en cortes,</t>
  </si>
  <si>
    <t>Velasco, Francisco Antonio de</t>
  </si>
  <si>
    <t>Francisco Antonio de Velasco</t>
  </si>
  <si>
    <t>…o Martin de Villodres. Asimismo se ha servido S. M. conferir plaza de oidor en la Real audien cia de México, por promoción de D. Josef de Mesia y Caicedo á regente de la propia, á D. Francisco Antonio de Velasco, alcalde electo del crimen de ella: la fiscalía del crimen de dicha audiencia de México, vacante por trasla ción á la de Goatemala de D. Juan Ramón de Oses, á D. Josef Ignacio de Berrazuera ; la fhcalía del crimen de la audiencia de Cuba, por fallecimien to d…</t>
  </si>
  <si>
    <t>Velasco, Francisco Xavier García de</t>
  </si>
  <si>
    <t>Francisco Xavier García de Velasco</t>
  </si>
  <si>
    <t>…el Príncipe Regente nuestro Señor.” ’ ESPAÑA. Madrid 21 de Octubre. El Real cuerpo de maestranza caballería de la ciudad de Ronda dio co misión á los Sres. D. Pedro Sixto Basaro, D. Francisco Xavier García de Velasco y D. Josef Felipe Ortiz, vecinos de la ciudad de Cádiz, ó indivi duos de dicho Real cuerpo, para que á su nombre felicitasen á la Reina nuestra Señora y á su augusta Hermana luego que desembarcasen. Los refe ridos comisionados desempeñaron tan honroso encargo , manifest…</t>
  </si>
  <si>
    <t>Velasco, Gabriel de Torres y</t>
  </si>
  <si>
    <t>Gabriel de Torres y Velasco</t>
  </si>
  <si>
    <t>…a 28 de Mayo de 1816.= Jsxcino. Sr. = Torcuato Piedrola. = Excino. Sr. ministro de’Marina.* £dicto que con tan plausible motivo mandó fijar el gobernador de Carta gena ¿te Indias. D. Gabriel de Torres y Velasco, coronel de los Reales egércitos , gober nador político y militar de esta plaza y provincia ¿kc. occ. Hago saber al pú_</t>
  </si>
  <si>
    <t>Velasco, Joaquín Wuster de</t>
  </si>
  <si>
    <t>Joaquín Wuster de Velasco</t>
  </si>
  <si>
    <t>1131 Honores de auditores de departamento, A D. Juan de Dios Aguilar, maestrante de Ronda, y alcalde mayor de Xerez de la Frontera; D. Pedro Reinoso, auditor de marina de Vera; Don Joaquín Wuster de Velasco, auditor de marina de Vera , y D. Manuel Benitez , abogado de los Reales Consejos, residente en la Havana, habilitado de suplir en ausencias y enfermedades ó vacantes al propietario de aquel apostadero de marina. DEPARTAMENTO DE CADIZ. Promovidos d sus inmedi…</t>
  </si>
  <si>
    <t>Velasco, Pedro Fernandez de</t>
  </si>
  <si>
    <t>Pedro Fernandez de Velasco</t>
  </si>
  <si>
    <t>960 za, y D. Alfonso de Cartagena. = Cuaderno 18: D. Pedro Fernandez de Velasco, Juan Sebastian de Elcano, Fr. Mek h ¿r Canoc, el P. Alfonso Salmerón, D Ber nardo de Valbuena, y D. Felipe Gil de Tabeada. Se vende cada cuaderno con un epítome de la vida de los sujetos retratados á 50 ra., y cada estampa suelta á 8, (i&gt; continuará.) Hn vir…</t>
  </si>
  <si>
    <t>Velasco, Santiago Angel de</t>
  </si>
  <si>
    <t>Santiago Angel de Velasco</t>
  </si>
  <si>
    <t>…López sobre D. Josef Romero Campo , de Cá diz : otra de 1800 rs. dada en Cádiz á 29 de Noviembre de 1808 por Ra món Manuel Laífore á orden de D. Feliciano Antonio de Puyada sobre D. Santiago Angel de Velasco: otra de 160 id, dada en Vitoria á 11 de Enero de 18 it por Bagnere hermanos á la orden de D. Diego Díaz de Acevedo sobre D. Pedro Baille1 y compañía, de Madrid: otra de dos doblones dada en París en 15 de Julio de 1811 por Seiliá á la orden de D. Diego Carre…</t>
  </si>
  <si>
    <t>Velasco, Saturio Angel de</t>
  </si>
  <si>
    <t>Saturio Angel de Velasco</t>
  </si>
  <si>
    <t>…de 1810»; el 2.0 á D. Juan de Arribas por Don Pascual Suarez, íambieái en Madrid, á 2,0 de Enero del propio año, y el, 3.0 al te* piertte de caballería D., Cipriano de Velasco por D. Saturio Angel de Velasco, asi mismo en Madrid,á 7 de jyiarzo de 1814. Y no habiendo sido habidos dichos sugetos para notificarles el traslado que se les comunicó de la demanda del P. procura dor de aquella comunidad, se les cita, llama y emplaza por el presente, á fin de que en el té…</t>
  </si>
  <si>
    <t>Velasco, Valentín Zorrilla de</t>
  </si>
  <si>
    <t>Valentín Zorrilla de Velasco</t>
  </si>
  <si>
    <t>…Valencia, los señores canónigos de la misma D. Josef María Despujoí, capelina mayor de las Descalzas Reales, consejero, honorario del de Castilla, y sumiller de cortina de S. M.j D. Valentín Zorrilla de Velasco, inquisidor fiscal del Sto. Oficio de corte „ y D. Lqís Exarque, caballero pensionado de Ja Real y ¿distinguida orden de Carlos iii , inquisidor honorario del Sto. Ofi cio-de, corte y-secretario de ia Patriarcal; habiendo el primero manifestado del-nipdo mas…</t>
  </si>
  <si>
    <t>Velaz, Pedro Nolasco</t>
  </si>
  <si>
    <t>Pedro Nolasco Velaz</t>
  </si>
  <si>
    <t>…ustre Hermano. En seguida de esto se dignaron también S. M. y A. R. recibir otra dipu tación de los empleados en Real Hacienda de la Mancha, en cuyos nombres el intendente de ella D. Pedro Nolasco Velaz, felicitó á S. M. y A R. por su feliz enlace, que consideraban como un manantial de nuevas felicidades para la monarquía. Después de esto se sirvieron también S. M. y A. R. admitir igualmen-</t>
  </si>
  <si>
    <t>Velazquez, Isidoro</t>
  </si>
  <si>
    <t>Isidoro Velazquez</t>
  </si>
  <si>
    <t>…ro Gro1 lies, y grabadas por D. Tomas Encuídanos, D. Vicente Mariani y otros acredita dos profesores: á 6 rs. cada una. rz Dos vistas del prado de Madrid, dibujadas y grabadas por D. Isidoro Velazquez: á 30 rs.rrSeis estampas de la artillería vo an te, dibujadas por D. Antonio Guerrero y D. Asensio Julia, y grabadas por Don Tomas Enguídanos, D. Rafael Estere y otros: á 1 a rs. cada una.rzLa plegaria de amor, dibujada y grabada por D. Blas Ametller: á 16 rs…</t>
  </si>
  <si>
    <t>Velazquez, Josef Señan y</t>
  </si>
  <si>
    <t>Josef Señan y Velazquez</t>
  </si>
  <si>
    <t>…los vene rables cabildos de las santas iglesias de Orihuela, Málaga % Granada, Santan der y Jaca* El Rey se ha servido conceder privilegio exclusivo por eí término de seis años á D. Josef Señan y Velazquez, bajo de las obligaciones que se le impu sieron, para que él solo pueda imprimir, reimprimir, publicar y vender con su rúbrica ó marca particular la instrucción general de Rentas Reales que S. \1* te dignó aprobar; y también cualesquiera adiciones , aclaracio…</t>
  </si>
  <si>
    <t>Velez, Fernando</t>
  </si>
  <si>
    <t>Fernando Velez</t>
  </si>
  <si>
    <t>…ieren la honra de besar la mano á S. M. á nombre del gobernador y ayuntamiento de la villa de Infantes D. Juan An tonio Cañas, regidor de la misma, y maestrante de Ronda, y el Dr. D. Fernando Velez, capellán de honor.de S. M. ; los cuales pusieron en sus Rea les manos la representación siguí ente • ,,Señor: Vuestro gobernador político y militar de la villa y partido de Infantes D. Marcos Nuñez Abreu tiene hoy la honra de expresar á L. R. P. de V. M. ent…</t>
  </si>
  <si>
    <t>Velez, Francisco Lázaro</t>
  </si>
  <si>
    <t>Francisco Lázaro Velez</t>
  </si>
  <si>
    <t>…opios. Los pretendientes, que deberán ser aprobados de maestros por Ja academia latina Matritense, dirigirán sus memoriales al ilustre ayun tamiento de dicha villa por medio de su secretario D. Francisco Lázaro Velez hasta fin del presente mes; debiendo empezar las oposiciones en principio de Mayo. Contemplación de la vida de nuestro Señor Jesucristo, dispuesta por S. Buena ventura para enseñar á las almas devotas el modo de contemplar: esta obra contie ne la vida de Jesu…</t>
  </si>
  <si>
    <t>Velez, Zacarías Romero y</t>
  </si>
  <si>
    <t>Zacarías Romero y Velez</t>
  </si>
  <si>
    <t>…ctadores, que era muy extraordinaria, quedó sumamente satisfe cha tanto por el buen desempeño como por el objeto benéfico del espectáculo. ESPAÑA. Aícaudete 16 de Marzo. Luego que D. Zacarías Romero y Velez, corregidor por S. M. de esta villa , recibió oficialmente el Real decreto de S. M. ,en que se sirve participar su contratado matrimonio y el del Sermo. Si?. Infante D. Carlos María con las Sermas. Sras. Infantas de Portugal, comunicó sin pérdida de tiempo al…</t>
  </si>
  <si>
    <t>Venader, Victoriano Ortuño y</t>
  </si>
  <si>
    <t>Victoriano Ortuño y Venader</t>
  </si>
  <si>
    <t>…es: D. Manuel de la Vega Jáuregui, oficial de la contaduría ge reral de rentas piovinciales, ha cedido 1025 rs. vn. de sueldos vencidos en el departamento de marina de Cartagena : Don Victoriano Ortuño y Venader, vecino de la Coruña, 20 rs. en de s recibos de rédi os de acciones dtl R«ial empréstito de 160 millones de rs. : Doña Bárbara de Retz ha cedido 12800 rs. de los caídos que tiene por su viudtdad en el monte pió milirar: D. Andrés Fernandez de Ranilla y Palaci…</t>
  </si>
  <si>
    <t>Venegas, Francisco Xavier</t>
  </si>
  <si>
    <t>Francisco Xavier Venegas</t>
  </si>
  <si>
    <t>…corresponda para su mas puntual cumplimiento en el dia, de que os hago responsable.= Rubricado de la Real mano.—Pala cio 16 de Enero de 1816.=r A D. Josef de Ibarra.” El teniente general D. Francisco Xavier Venegas ha dirigido á S. M. la exposición siguiente: „Señor: Don Francisco Xavier Venegas, teniente general de los Reales egércitos, con el mas profundo respeto á V.M. hace presente: que encarga do de una división de tropas escogidas para proteger la retirada del egé…</t>
  </si>
  <si>
    <t>…d del Rey que se publique este soberano decreto. Dios guarde á VV.sSS. muchos años.=Palacio 9 de Enero de i8i6.=Pedro Cevallos. =Sres. Directores generales de correos. El teniente general D. Francisco Xavier Venegas ha dirigido á S. M. la exposición siguiente: „ Señor: Don Francisco Xavier Venegas, teniente general de los Reales egércitos de V. M., tiene la honra de hacerle presente: que en calidad de segundo comandante y gefe de la vanguardia de la primera división del…</t>
  </si>
  <si>
    <t>…de nuevas condecoraciones, ha venido S. M. en conceder una Cruz de distinción á los Generales, Gefes, Oficiales y Tropa de la expresada divi sión, á solicitud del Teniente General D. Francisco Xavier Venegas , qué con arreglo al diseño presentado y aprobado constará de cuatro brazos dé color rojo sobrepuestos á otros cuatro blancos, cuyos extremos en todos ter minarán en curvas cóncavas al exterior: los blancos formarán ángulos curvi líneos, cuyos vértices sobres…</t>
  </si>
  <si>
    <t>Venegás, Francisco Xavier</t>
  </si>
  <si>
    <t>Francisco Xavier Venegás</t>
  </si>
  <si>
    <t>…ncia en la guerra última contra la Francia, como por el valor que mostraron en ellas las Tropas que las sostuvieron; se ha servido S. M. con ceder á solicitud del Teniente General D. Francisco Xavier Venegás, un dis tintivo á los Generales, Gefes, O iciales y Tropa que se batieron en cada una de las mencionadas acciones, que según el diseño presentado y aprobado sera del modo siguiente: El concedido por la de Bubierca constar! de cuatro brazos iguales en forma de…</t>
  </si>
  <si>
    <t>…las valientes tropas qoe se hallaron en las acciones de Bubierca , Aran juez y AJrronacid, cuyas ins tancias deben ser dirigidas por los que se consideren con derecho al teniente general D. Francisco Xavier Venegas; ha resuelto S M. que las referidas ins tancias se remitan con cubierta á V. E., quitn las pasará al mencionado ge neral Venegas para el informe correspondiente. De Real orden lo comunico á V. E. para su inteligencia y cumplimiento. Dios guarde á V. E. muchos…</t>
  </si>
  <si>
    <t>…en cabeza y á favor de su muger Doña María de la Concepción Velazquez. Igual gracia de título de Castilla con la denominación de marques de la Reunión de Nueva-España al teniente general D. Francisco Xavier Venegas. Honores de la Cámara de Castilla á D. Andrés García Hernández, arce diano de Vivero en la catedral de Mondoñedo; D. Justo Ibar Navarro, consejero honorario con sueldo del Consejo Real; D. Amonio María Izquier do, conventual de justicia en la orden de S. Juan…</t>
  </si>
  <si>
    <t>…smo día con igual motiva en representación de la ciudad, del Puerto de Sta-María. El día- 17 del' mismo^ tuvieron la honra de felícirar á S. M. por su angusto matrimonio el Excmo. Sr. D. Francisco Xavier Venegas , teniente general de los Reaíes egércitos, y los Sres. D~ Amonio de Alcalá Galianu y D. Juan de A nguío&gt; capitán de la. Real Brigada de carabineros* á nombre de la ciudad dé Ecíja; el primero de los cuales d'ijor ,ySeñor :• La ciuda de Ecija * deseosa de lle…</t>
  </si>
  <si>
    <t>Venegas, Francñco Xavier</t>
  </si>
  <si>
    <t>Francñco Xavier Venegas</t>
  </si>
  <si>
    <t>…edirle los correspondientes diplomas para el uso de etas condecoraciones, sin los que ninguno podrá usar de ellas , presentarán los interesados sus ins tancias ai Teniente General D. Francñco Xavier Venegas con las justificacio nes competentes que acrediten el derecho , quien con su informe las remitirá á ia Junta de Revalidación de Empleos y Grados militares, y esta con su dictamen las dirigirá al Ministerio de mi carpo. Todo lo que de orden de S. M. comunico á…</t>
  </si>
  <si>
    <t>Vengoa, Joaquín Cengotita</t>
  </si>
  <si>
    <t>Joaquín Cengotita Vengoa</t>
  </si>
  <si>
    <t>y á su vista se hizo la colocación, previa la siguiente arenga que pronunció el corregidor D. Joaquín Cengotita Vengoa como presidente dei ayunta miento. .&gt;Ilustre ayuntamiento,pueblo fiel y leal: Los sentimientos de gratitud y benevolencia hácia .nuestros insignes guerreros nos conducen hoy á este sitio á perpetuar justamente su memoria por medio de esta pirámide, no del art…</t>
  </si>
  <si>
    <t>Vengoa, Joaquín de Cengotita</t>
  </si>
  <si>
    <t>Joaquín de Cengotita Vengoa</t>
  </si>
  <si>
    <t>…ores y maestros recibió al Rey que fue i visiraria á las 11 , y á las 12 volvió al palacio, donde le cumplimentaron las corporaciones, siendo la primera la ciudad, cuyo corregidor D. Joaquín de Cengotita Vengoa, como presidente del ay untamiento, arengó á S. M. en los términos siguientes: ,,Señor: La ciudad de Alcali de Henares, representada en este nobilísi mos ayuntamiento, besa la Real mano de V. M. , tributándole sus respetos, y dándole el parabién por el desdad…</t>
  </si>
  <si>
    <t>Vengoa, Joaquín de Zengotita</t>
  </si>
  <si>
    <t>Joaquín de Zengotita Vengoa</t>
  </si>
  <si>
    <t>…árboles gruesos y los tejados de algunas casas del pueblo. ESPAÑA. Madrid 2j&gt; de Noviembre. la ciudad de Alcalá de Henares por medio de una diputación compues ta de su corregidor D. Joaquín de Zengotita Vengoa, del regidor de la mis ma D. Josef Antonio Raj'on, del procurador síndico general D. Pedro Pinazo y de D. Esréban Azaña, secretario de su ayuntamiento, tuvo la honra de felicitar á S. M. el 27 del pasado por su efectuado matrimonio; y el refe rido corregidor…</t>
  </si>
  <si>
    <t>Vengoa, Joaquín de Zengotitft</t>
  </si>
  <si>
    <t>Joaquín de Zengotitft Vengoa</t>
  </si>
  <si>
    <t>…entos con arreglo á la fundación; en ia inteligencia de que quedarán inválidos todos aquellos no presentándose en el término señalado. A virtud de Real cédula de S. M. cometida al Sr. D. Joaquín de Zengotitft Vengoa , su corregidor en la ciudad de Alcalá de Henares, se rematan en el día / dei corriente, y hora de las 12 de su mañana, las obras de reparos del coligió de Sta. Catalina Mártir , titulado de los Verdes, y los de una pósala propia de este, sitos amitos edifici…</t>
  </si>
  <si>
    <t>Ventu</t>
  </si>
  <si>
    <t>1020 Aguado, y grabadas por D. Si.ron de Bríeva, á 6o rs. rsVeinte y ocho estampas de retratos y viñetas de ia historia Je la xida de Cicerón, dibujadas por D. Ventu ra Sales:"., v grabadas por varios profesores romanos, á 50 rs.c=:CXho estampas de d'íe et.ies pintaras del Real paliuio, grabadas por Goya y Castillo, á 24 rs. (J&gt; icr.tintuirá.) Por el presente se cita, llama y emplaza á los parientes y demas personas que s…</t>
  </si>
  <si>
    <t>Ver, Francisco</t>
  </si>
  <si>
    <t>Francisco Ver</t>
  </si>
  <si>
    <t>…de la Concepción Gcró,nimá; en la de Amposta, calle del Príncipe, y en la imprenta de Dávila, ca lle de Barripnuevo. Tratado de agrimensura , ó arte de medir tierras y aforar, por D. Francisco Ver dejo Paez. Esta obra, que en.el dia es la mas completa en su clase * va precedida de un tratado d| aritmética , qué Varios profesores de esta corte recomiendan á sus dis cípulos como la más sencilla y metódica para poderse instruir por sí solos. Siguen unas b…</t>
  </si>
  <si>
    <t>Vera, Juan Carabalio y</t>
  </si>
  <si>
    <t>Juan Carabalio y Vera</t>
  </si>
  <si>
    <t>33° En virtud de providencia del Sr. Ü. León de la Cámara Cano, del consejo de S. M., primer teniente corregidor de esta villa , se cita, llama y emplaza á D. Juan Carabalio y Vera, ultimo tenedor de cuatro vales de 600 pesos de i.° de Setiem bre de 1809, señalados con los números 9771 , 133657, 138689 y 141058: i r&gt;. J uan Vilartinío, que lo es de otro vale de la misma creaci. n y valor número 138824; y á D. Pedro Orduña y Sobrino, de…</t>
  </si>
  <si>
    <t>Verá, Juan Caraballo y</t>
  </si>
  <si>
    <t>Juan Caraballo y Verá</t>
  </si>
  <si>
    <t>…, á D. Joséf Martí y compañía: ótiro dé idem.idem, núm*! 90966,Jt). Josef Romero Campoi otro dé ídem ídem ,'núm.'195048á D. Simón dtf 'Agreda, ot?6 ídem de ídem, número 1561 29, á D. Juan Caraballo y Verá; y otro ídem de idem, núni. 191620, á Don Ramón Maresch. ; - : Se ha la va:ante la plaza de uno de los dos médicos de-la villa de Caudete, rei no de Murcia ,..;que ,vale 6© rs. al añcfy pagaderos, mensualmenté: se; cpmpone de unos 1 ©: vecinos-, una parroquia…</t>
  </si>
  <si>
    <t>Vera, Pedro Xavier de</t>
  </si>
  <si>
    <t>Pedro Xavier de Vera</t>
  </si>
  <si>
    <t>…sus créditos para enterarse de su legitimación, y li quidarlos en el modo que corresponde, podrán presentarlos hasta el dia 20 del cor riente mes de Enero en la casa habitación de D. Pedro Xavier de Vera, uno de di chos síndicos, calle de Preciados, núm. 13, esquina á la de la Zarza, cuarto prin cipal, donde se les dará un resguardo interino. Práctica criminal por principios, modo y forma de instruir los procesos crimi nales de las causas de oficio, justicia…</t>
  </si>
  <si>
    <t>…icho convento. Los síndicos al concurso del difunto Sr. D. Luis Fernandez Gonzalo del Rio previenen á los acreedores que hubiesen presentado sus créditos para liquidar en ca sa de D. Pedro Xavier de Vera, calle de Preciados, niim. 13, esquina á la de la Zarza, se sirvan ocurrir á ia misma, desde el dia 15 del presente mes, donde se lés de volverán, de 9 á 1 2 de la mañana. La única religión verdadera, demostrada contra todos los sectarios opuestos 2 la Sta. I…</t>
  </si>
  <si>
    <t>…l cargo del Sr. D. Anacleto de Fagoaga y Dutarl se halla establecida por ahora en la calle de Preciados, núm. 1 7, cuarto principal, casa del oficial may’or in terino de l.i misma D. Pedro Xavier de Vera. Ei Rey nuestro Señor se ha servido conceder su Real permiso á D. Josef González lV-toruia y Dnmmpuez,4. natural de la ciudad de Vino,V vJ alcalde ma&gt;or subdelegado que ha sido en varios paridos de la provincia de Guadalnjara , en &lt;. 1 reino de Nueva-España ,…</t>
  </si>
  <si>
    <t>…S. Fernando, y arce diano de dicha santa iglesia el Dr. D. Wenceslao del Cristo, segundo co misario de Cruzada de aouel obispado, y canónigo penitenciario de la mis ma iglesia , y D. Pedro Xavier de Vera , como representante del expresada cabildo en esta corte; el primero de los cuales dijo á S. M. entre otra? cosas, lo siguiente: ,,El cabildo de la santa iglesia de la Habana, que desde el año de 1788 debe su erección á la Real piedad del augusto y piadoso Ab…</t>
  </si>
  <si>
    <t>Vergara, Francisco Ruiz de</t>
  </si>
  <si>
    <t>Francisco Ruiz de Vergara</t>
  </si>
  <si>
    <t>…a y corte, dada en 8 del corriente, y refrendada por el escribano de provincia y comisiones de la misma D. Luis López de Castro, se cita, llama y emplaza á todos los parientes del Sr. D. Francisco Ruiz de Vergara, del Consejo que fue de.S. M. en los supremos de Castilla é Inquisición , que se consi deren con derecho para ser agraciados con las dotes que dejó fundadas para monjas y casadas, ó se hallen nombrados anteriormente, como también á las demas^perso-</t>
  </si>
  <si>
    <t>…versi dades de la vida. Por cI presente se cita, llama y emplaza á todos los parientes y demas persona* que teneon derecho para ser agraciados en las prebendas fundadas por el Sí. Don Francisco Ruiz de Vergara, del Consejo de S. M. en los supremos de Castilla é In quisición , para que en el preciso término de 30 dias, contados desde el 1 2 dol cor riente , que por segundo, último y perentorio se les conceda , concurran con los do cumentos nec-sarios por medio de pr…</t>
  </si>
  <si>
    <t>Vergara, Juan Antonio</t>
  </si>
  <si>
    <t>Juan Antonio Vergara</t>
  </si>
  <si>
    <t>…orga á D. Manuel Rufino García Zorrilla: para el de Trebujena á Don Josef Sánchez Rollan : para el de Valencia de Don Juan á D. Manuel de Quevedo y los Ríos : para el de Atienza á D. Juan Antonio Vergara: para el de Jadraque á D. Francisco García Ortiz : para el del valle de Soba-Ruesga y Villaverde á D. Josef Muñoz Contreras: para el de Montejaque á Don Josef Moreno Ramírez : para el de Jodar á D. Florencio García Colmenero: para el de Setenil á D. Josef Par…</t>
  </si>
  <si>
    <t>Vergara, Juan de</t>
  </si>
  <si>
    <t>Juan de Vergara</t>
  </si>
  <si>
    <t>…ual honor de cumplimentar y besar la mano i $. M. y A. una diputación de la ciudad de Lucena y pueblos de su partido, compuesta de los sugetos siguientes: el coronel de caballería D. Juan de Vergara, di rector general de las partidas destinadas á perseguir malhechores en Andalu cía; D. Antonio del Rio, teniente de los Reales egércitos,regidor del ayun tamiento de dicha ciudad; D. Josef Callejón y Chacón ,maestrante del Real cuerpo de Granada, y D. Cirios…</t>
  </si>
  <si>
    <t>Vergara, Vicente María de</t>
  </si>
  <si>
    <t>Vicente María de Vergara</t>
  </si>
  <si>
    <t>…or marques de Villores, teniendo á su-derecha al Excmo. Se ñor D. Francisco Xavier Elío , capitán general de este egército y reino, y se dio principio por un discurso, que leyó el secretario D. Vicente María de Vergara, en que á tenor.de las expresiones del Real decreto de 9 de Junio, en que dice S. M. hallarse convencido de los buenos efectos que han producido á los pueblos las sociedades económicas , recorrió algunos hechos de las mis mas para corresponder á la confianza…</t>
  </si>
  <si>
    <t>Verges, Francisco</t>
  </si>
  <si>
    <t>Francisco Verges</t>
  </si>
  <si>
    <t>…rregidor de Logroño; D. Juan Jabat, ministró plenipotencia io en Constantinopla; D. Josef Iznardi, ministro residente en Hamburgo; D. Josef Antonio Iparraguirre, cónsul en Bayona; D. Francisco Verges, canónigo de Gerona, director de aquel hospicio; D. Francisco Bernaldo de Quirós , canónigo de Cartagena, y director que ha sido de la Mise ricordia dé Murcia ; D Dionisio Pizarro, dignidad de arcediano de Saldaña, canónigo de León, y director interino del ho…</t>
  </si>
  <si>
    <t>Vernacci, Juan</t>
  </si>
  <si>
    <t>Juan Vernacci</t>
  </si>
  <si>
    <t>…r las operaciones practicadas en 1792 y 93 por los oficiales y pilotos de las corbetas del Ruy Descubierta y Atrevida , y por las que egecutó en 1804 el difunto capitán de fragata D. Juan Vernacci, año de iSió. — Nuevo pla no del puerto de Veracruz , levantado en 1807 de orden del difunto capitán de na vio de la Real armada D. Ciríaco de Cevailos por el teniente de navio D. Fabio Aíí-ponzoni, publicado en la Dirección de hidrografía en 1816. Se hallará…</t>
  </si>
  <si>
    <t>Veroiz, Juan Josef de Olazabai y</t>
  </si>
  <si>
    <t>Juan Josef de Olazabai y Veroiz</t>
  </si>
  <si>
    <t>…or su augusto enlace, como comisionados por la villa de Irun , el brigadier de los Reales egércitos, gefe de la primera bri— gada de la segunda división del egército de Andalucía, D. Juan Josef de Olazabai y Veroiz y su sobrino D. Juan Josef de Olazabal y Gaitan ; de ios cuales el primero dixo : ,,Señor: Vuestra N. y L. villa de Trun, de la provincia de Guipúzcoa, nos ha honrado con la comisión de manifestar y expresar á V. M. los senti mientos enérgicos de amor, fideli…</t>
  </si>
  <si>
    <t>Veruega, Diego</t>
  </si>
  <si>
    <t>Diego Veruega</t>
  </si>
  <si>
    <t>…23. El maestrescuela 40. D. Josef Tejero 20. D. Fernando Cerrudo 20. D. Miguel Cantero 70. D Andrés Calvedo 40. D. Victoriano Vacas 46. D. Juan Ser na 40. D. Felipe Raguimido 40. D. Diego Veruega 44^ E! lectoral 23. Don Julián Ga.scueña 46. D Antonio Arguello 48. D. Ramón Orachea 48. Don Fernando Perez 2o. Sr. Corrales, racionero de aquella santa iglesia, 20. El cura de S. Juan 20. El beneficiado de Gracia 24. El cura de Sfo. Domingo 46. El cura de S.…</t>
  </si>
  <si>
    <t>Verve, Manuel</t>
  </si>
  <si>
    <t>Manuel Verve</t>
  </si>
  <si>
    <t>…r. D. Josef María Toledo, Dr. D. Miguel Díaz Granados, D. Domingo Granados, Dr. D. Basilio Toro, D. Esteban de Pumbo, y familia, D. María Amador , é id., D. Santiago Launa, é id., D. Manuel Verve id., D. Fran cisco Fierro é hijo. Quedaron apresados los individuos siguientes: á saber , Manuel Antonio, Manuel y Leandro Salgado, nueve esclavos de la familia de Amador y uno de Pumbo, y el presbítero D. Santiago Mannet, con el vigía de la costa; y á bordo…</t>
  </si>
  <si>
    <t>Vi</t>
  </si>
  <si>
    <t>…o primero del batallón de ía Albuhera. . ■ . , La medalla de oro coronada á D. Francisco Tomas Morales, comandan te de la vanguardia; á.D. Juan.;Gamacho„: capitán de Ingenieros; á D. Vi cente Sánchez Lima , capitán, de húsares, dé Fernando Vu ; ú D. Sebastian Díaz ,;capitaty-de,^apadqresqíá ]},. :Jo$ef Arguelles,&gt;capitan dei regimiento.de lá; Victoria ;pá Qfcfcndó;» capitán-graduado; de teniente coronel dél ?ext,o esóuadrpn de D. Miguel Riaú…</t>
  </si>
  <si>
    <t>…ndez Azcona; para la de Doña Mencía á Don Alfonso Josef de Frías: para la deTorija á D. Telesforo Valero: para la de Aguilar de Campó á D. Victoriano Escribano: para la de Budia á D. Vi cente Perez Sánchez: para la de Cañete de las Torres á D. Indalecio Coro nel: para la de Orce á D. Francisco Saturio de Puerta: para la de Bonillo á D. Jcaquiu González: para la de Aimanza á D. Antonio Merino y Calvo: para la de Quesada á D. Dionisio González…</t>
  </si>
  <si>
    <t>Vi, Antonia</t>
  </si>
  <si>
    <t>Antonia Vi</t>
  </si>
  <si>
    <t>…e á noticia de todos los interesados. Se desea saber el paradero de D. Josef Sánchez Tagle, oficial que fue en el año de 1809 del Real cuerpo de Ingenieros, hijo de D. Matías y de Doña Antonia Vi centa Velasco, vecinos que fueron de la villa de Santillana, provincia de Santan der, que se halló en la batalla deMedellin. Cualquiera que tenga noticia de su exis tencia ó fallecimiento se servirá comunicarlo á D. Gabriel Cairo García, procura dor de los Re…</t>
  </si>
  <si>
    <t>Vi, Francisco Dionisio</t>
  </si>
  <si>
    <t>Francisco Dionisio Vi</t>
  </si>
  <si>
    <t>…dicho establecimiento en ocasión en que sus individuos estaban bien agenos de pensar que el Soberano les honrase con esta particular distinción. El gete de la comisión indicada el brigadier D. Francisco Dionisio Vi ves, coronel del regimiento infantería de Navarra, 28.0 de línea, dio al ins tante aviso de esta agradable circunstancia al Excmo. Sr. marques de Cam po SagracTo, principal gefe de la comisión;.y mientras S. E. concurría á la casa del establecimiento * tuvo a…</t>
  </si>
  <si>
    <t>Vi, Ramón Sarro</t>
  </si>
  <si>
    <t>Ramón Sarro Vi</t>
  </si>
  <si>
    <t>…o que en la raya de Francia estuvo sirviendo con un comisario ingles de ia segunda división de guardias Reales del ge neral Híll. Se suplica á quien sepa de él lo avise á su tutor D. Ramón Sarro Vi dal, ve. i no y del comercio de Badajoz, ó en Madrid á D. Adriano de las Barce nas, que tienen que comunicarle cosas que le interesan. Se hailan vacantes las dos plazas de médico y cirujano latino del limo, cabildo de la santa iglesia de Toledo, primada de la…</t>
  </si>
  <si>
    <t>Vi, Victorian de</t>
  </si>
  <si>
    <t>Victorian de Vi</t>
  </si>
  <si>
    <t>…en la librería'de Bailo , calle de las Carretas. Lecciones de comercio, ó bien, de economía civil, del abate Antonio Genovesi, catedrático de Ñapóles; traducidas del italiano por D. Victorian de Vi liaba, cor legial del mayor de S. Vicente mártir de la universidad de Huesca, y catedrático de qodigo de Iá misma: 2 tomos; en 4.0 Se hallarán en ía librería de Collado, calle dg la Montera ; i 40 rs. en pasta y 30 en rustica. . * Tratado*; db los juicios de…</t>
  </si>
  <si>
    <t>Vía, Cristóbal Penez y</t>
  </si>
  <si>
    <t>Cristóbal Penez y Vía</t>
  </si>
  <si>
    <t>…los vecinos de aquella villa que representaban prestaron á S. M. y A. R. los debidos homenages de respeto y fidelidad; y poco después admitieron igualmente á su presencia al limo. Sr. D. Cristóbal Penez y Vía la, obispo de Jaca , que por sí y en nombre del cabildo catedral dé-aquella ciudad manifestó la satisfacción que le cabía por el feliz arribo de SI M. y A. R.; protestando que no cesaría de pedir al cielo por el feliz reinado de S. M. y prosperidad de la Serm…</t>
  </si>
  <si>
    <t>Vic</t>
  </si>
  <si>
    <t>…rrio, natural del Vi llar de Sobrepeña, vecino que fue del pueblo de Ciruelos, jurisdicción de la villa de Sepúlveda, de quien no se sabe hace 13 ó 14 años , se servirá avisarlo á D. Vic toriano Hernando, maestro de primeras letras, calle de Atocha, núm. 3 , cuarto 2.0 Se halla vacante la plaza de cirujano de la villa de Miralcazar, alias Cabañas de la Sagra, provincia de Toledo, pueblo de 80 vecinos, situado en el camino real de Madrid á Tol…</t>
  </si>
  <si>
    <t>Vicario, Manuel</t>
  </si>
  <si>
    <t>Manuel Vicario</t>
  </si>
  <si>
    <t>…ami nad en aritmérica D. Josef Perez, D. Juan Pablo Rodríguez, D. Josef María Loureiro, D Florencio Pereira, D. Benito Pereira, D. Cosme Arias, D. Juan RoJriuuez , I). Josef Abad, D. Manuel Vicario, D. Josef Vicente Veigi, D Josef Alonso, D. Juan Vega, D. Manuel Rodríguez Almeiras j D. Cayetano Cruz. En geometría D. Josef Pujadas, D. Fermín Galceran, D Josef Sada, D. Ignacio Palacios, D. Tomas Diago, y los citados D Josef Perez y D. Juan Pablo Rodríguez…</t>
  </si>
  <si>
    <t>…inados en aritmédea D. Josef Perez, D. Juan Pablo Rodríguez, D. Josel María JLcureiro, D. Florencio Pereira, D, Benito Pereira , D. Cosme Arias, D. Juan Rodrí guez, D. Josef Abad, D. Manuel Vicario, D. Josef Vicente Veiga , D. Jo-</t>
  </si>
  <si>
    <t>Vicen</t>
  </si>
  <si>
    <t>…ertan' á continuación. Egército expedicionario.___ Boletín nthn. 1$. Cuartel general de Torrecilla i.c de Noviembre de iS¡ 5. En oficio de 24 último dice desde la b?ca de Nechí el capitán D. Vicen te Sánchez Lima al Excmo. Sr. general en gefe lo que sigue: „Excmo. Sr.: Desde S. Benito dije á V. E. en 10 del actual que de Ne chí habían bajado 80 rebeldes hasta Majagual, incendiando y cometiendo toda clase de delitos, por cuya razón envié para socorrer e…</t>
  </si>
  <si>
    <t>Vicenta, María</t>
  </si>
  <si>
    <t>María Vicenta</t>
  </si>
  <si>
    <t>…ones á una de las huérfanas de los militares 6 patriotas que hubieren muerto en defensa de la justa causa de la nación, ha cabido en suerte del primer extracto de Ja de este dia á Doña María Vicenta, hija del patriota D. Josef Antonio Esca lera, muerto en el campo del honor. La extracción siguiente se egecutará el dia 14 de Octubre. ARTICULO D B OFICIO. 3. M. ha sabido con la mayor satisfacción que la Reina nuestra Señorav la Serma. Sra. Infanta Doña Mar…</t>
  </si>
  <si>
    <t>Vicente</t>
  </si>
  <si>
    <t>…s, y de Laborda, portal &lt;Je Manguiteros. Instrucción militar cristiana, traducida del francés para uso de los caballeros cadéres del Real colegio militar dé Ségovia por el cápitan D. Vicente de los Ríos: un temo en 11.° Se hallará en la librería de Aguilera, calle dé Preciados, 4 1 v 4 n.' SUPLEMENTO é</t>
  </si>
  <si>
    <t>…de Guardia, D. Josef Lorenzo Suarez y D. Vicente Garda; y deseosa la Real junta de condecorar el mérito de D. Ruperto Sacristán, D. Josef Zoilo Ro mán, D. Manuel Godos y Mendoza, D. Vicente de la Fuente y D. Fran cisco Sola, que han manifestado particular instrucción y aprovechamiento en los referidos exámenes, ha agraciado á cada uno de ellos con una caja de instrumentos de disección, y una obra de cirugía.. Cuarenta y cinco jóvenes estudiosos,…</t>
  </si>
  <si>
    <t>…D. Josef Cuenca Saiz: para la de la Palma, reino J S^vl a. á D. Antonio Josef Santevaez y Lerin : para la de Monraíbar . aitio d* C rdoba, ¿ D. Juan Josef López: para la de Cea á D. Vicente i vz Sánchez: para la de Buendia á D. Felipe Mingojuan: para la de Sal.«s u&gt; I fuves i D. Ped.o Puma rejo y Velarde : para la de Pedraza á D. SanJti; &gt; Orne y Garay ; y para la del Valle de Ay ala á D. Vicente Diaz de O.arte. Por resolución á consulta de! sup…</t>
  </si>
  <si>
    <t>…sus virtudes. Por el juzgado del Sr. D. León de la Cámara Cano, del Consejo de S. M. en el supremo de Hacienda, corregidor interino y teniente primero, y escribanía del nú mero de D. Vicente de la Costa, se han mandado sacar á pública subasta por tér mino de 30 días las porciones de tierra siguientes: una tierra en el término del lu gar de Fuencarral en el sitio que dicen Amaniel, que linda al oriente con otras de los padres de S. Martin; por el…</t>
  </si>
  <si>
    <t>Vicente, Sebastian</t>
  </si>
  <si>
    <t>Sebastian Vicente</t>
  </si>
  <si>
    <t>ITOI talina y Doña María Solís y Figueroa, bijas de D. Sebastian Vicente, inten dente honorario de provincia, y superintendente de la Real fabrica de cigar ros de dicha ciudad. La brillantez y elegancia con que e:-taba adornada la iglesia; el retrato de nuestro- amado Monarca colocado bajo ele dosel, con su manto Real; la música y…</t>
  </si>
  <si>
    <t>Vicente, Tomas García</t>
  </si>
  <si>
    <t>Tomas García Vicente</t>
  </si>
  <si>
    <t>…ñor á los relevantes méritos y servicios personales y pecuniarios que con egernplar conducta y desinterés contrajo en la gloriosa y pasada guerra el coronel de caballería graduado D. Tomas García Vicente, comandante que fue de la primera legión de Castilla, la que organizó y vistió á su costa, constando de 400 infantes y 300 caballos, y á las constantes pruebas que ha dado de decidida adhesión á su Real Per sona , se ha disnado S. M. nombrarle brigadier de ca…</t>
  </si>
  <si>
    <t>Vico, Miguel</t>
  </si>
  <si>
    <t>Miguel Vico</t>
  </si>
  <si>
    <t>…ros D. Manuel Sánchez y Martos y D. Antonio Vénzala: otra de la villa de Mancha Real, del reino de Jaén, que represen taba su corregidor D. Fernando María Segovia, y los regidores D. Miguel Vico y D. Francisco del Corral; y otra de la villa y cabildo eclesiástico de Vilches en el mismo reino, compuesta de Juan Bautista López Monroy, D. Juan del Campo, D. Manuel del Moral, D. Alonso Molina, D. Fran cisco Martínez Hervas, D. Josef de Lara, D. Antonio del Campo , D. Si món Matía…</t>
  </si>
  <si>
    <t>Victor</t>
  </si>
  <si>
    <t>63</t>
  </si>
  <si>
    <t>…de diciembre -con escarapelas blancas, y se les ha alojado en las casas de los vecinos. •' . . ' Cuatro mariscales deben estar de servicio, cerca de S. M. tres meses ca da uno. El mariscal Victor, duque de Bellune, ha principiado su trimestre, y ha tomado.posesión de la-habitación destinada á los mariscales en el pabe llón de Flora. La guardia nacional de París acaba de recibir una nueva prueba del apre cio con que la mira el- Rey. Se ha mandado que t…</t>
  </si>
  <si>
    <t>Victoria, Mariana</t>
  </si>
  <si>
    <t>Mariana Victoria</t>
  </si>
  <si>
    <t>…memoria, unir en matrimonio á mi amada Hermana la Infanta Doña Carlota Joaquina con el Infante D. Juan, hoy Príncipe del Brasil , y á mi Tío el Infante Don íjabriel con la Ihlañta Doña Mariana Victoria, hijos esta y el referido In fante D. Juan de los excelsos Reyes Fidelísimos de Portugal. Llevado Yo de las mismas recotnehdábles miras, y deseoso de que se aumente y estreche con nuevos y iría $ fuertes vínculos este parentesco, traté con el referido Prín ci…</t>
  </si>
  <si>
    <t>Victorio, Alonso</t>
  </si>
  <si>
    <t>Alonso Victorio</t>
  </si>
  <si>
    <t>…lación de dicha ciudad, calle del Postigo , la cual previas las solemnidadésdegalés-cómpró átccháé reservativo chch^ señor á Don Ma nuel de Baños. - ri Se cita, llataa;y emplaza1á D. Alonso Victorio de la Concha, para que dentro .dé; 30 dias primeros siguientes al en que se anuncie por gaceta comparezca por sí, ó por procurador conpcido con poder bastante, ante el Sr. D. Andrés Oller, .^el consejo de.S. M.,»alcaldq en su Real casa y corte, por la escriba…</t>
  </si>
  <si>
    <t>Vicuña, Cristóbal de</t>
  </si>
  <si>
    <t>Cristóbal de Vicuña</t>
  </si>
  <si>
    <t>…na en la posada de S. S. A virtud de providencia del Sr. D. Joaquín Almazan y Ximeno, del consejo de S. M., y teniente corregidor en la misma , dada por la escribanía de número de D. Cristóbal de Vicuña, se cita y emplaza á D. Josef Colosa y D. Juan Rovira y Farinosa, tenedores de dos vales Reales de 300 pesos, de Enero, señalados con los números 86077 y 95199, para que en el término de 30 dias, contados desde está fecha, concurran aí referido juzgado y escr…</t>
  </si>
  <si>
    <t>…rresponda. En virtud de providencia del Sr. D. Joaquín Almazan y Ximeno, del consejo de S. M., y teniente corregidor de esta villa de Madrid, dada por la escribanía riel número de D. Cristóbal de Vicuña, se saca á pública subasta un gabinete de histo ria y meneralogia, perteneciente á los herederos de D. JosefClavijo Fajardo, al cual se halla hecho postura en la cantidad de 5© rs. vn. Quien quisiere mejorarla acuda á la audiencia de dicho señor ei dia 29 cít…</t>
  </si>
  <si>
    <t>…dada del escribano del número-D. Juan Antonio de Urraza , se cita, llama y emplaza á D. Josef de Sand^Juce , D. Pedro Antonio de Olabarría y Sta. Cruz, D. Andrés de Escondrillas , D. Cristóbal de Vicuña, D. Pedro Fermín de lbarra y Doña María Antonia de Amantegui, tenedores de tres vales Reales, tres de ellos de 150 pesos, vales dinero de Ja renovación de i.° de Enero de 1809, números 312838, 311427 y 311806: dos de 600 pesos, tam bién vales dinero, renovaci…</t>
  </si>
  <si>
    <t>…zan , teniente de corregidor de esta villa, en el diario de 7 de Marzo último, y se verificó su remate en 17300 rs. metálicos en 15 del propio mes por ante el escribano del número D. Cristóbal de Vicuña, se mandó por la superioridad del consejo anunciar al público por ocho dias mas. Quien quisiere hacer puja á dicho corral acuda al juzgado de dicho señor juez y escribanía referida dentro del térmi no prefijado. Habiéndose concluido el tomo t.° del nuevo Sema…</t>
  </si>
  <si>
    <t>…fectos y ganados. A virtud de providencia del Sr. D. Joaquín Almazan y Ximeno, del consejo de S. M., y teniente de corregidor de esta capital, dada por la escribanía del número de D. Cristóbal de Vicuña, se cita, llama y emplaza á D. Mariano Lanals, D. Be nito Capó y Paigsener, D. Pedro Antonio Canabes, apoderado del Dr. D. Pedro Antonio Arnér, de D. Bartolomé Amér y D. Pedro Francisco Morro, y á D. Bar tolomé Valentín Sorteja, tenedores de seis vales Reales…</t>
  </si>
  <si>
    <t>…. En virtud de providencia del Sr. D. Joaquín Atenazan y Xímeno, del consejo de S. M., teniente de corregidor de esta villa, dada por la escribanía del número que está ai cargo de D. Cristóbal de Vicuña, á solicitud de la compradora de una casa, sita en la calle de Cantaranas, nú ni. 15 , manz. a 18, te cita y emplaza por segunda vez á todas ó cualesquiera personas que tengan créditos contra la expresada Casa, ó títulos de pertenencia de la misma, en calidad…</t>
  </si>
  <si>
    <t>…s acreedores é interesados en los bienes del último señor con de marques de Perales, se ha señalado por el señor juez de la testamentaría, radica da en la escribanía del número de D. Cristóbal de Vicuña, el domingo 4 de Agos to próxim o á las ocho de su mañana en una de las salas consistoriales de esta villa* y que á to hs se cite por medio de la gaceta para su concurrencia á la hora señalada. El con alado de Alicante convoca á oposición para la provisión de…</t>
  </si>
  <si>
    <t>,9*sejo de S. M., teniente corregidor de esta villa, dada por la escribanía del número de D. Cristóbal de Vicuña, se cita, llama y emplaza á D. Ramón Aguilar y No guera, D. Simón de Amaga, D. Josef Vicente de Iraz.ibal, D. Josef de Llamas, Dona Josefa lgnacia de Muxica , I). Juan Bautista de Torres y D. Juan Simón de A muga , tenedores de nueve vales Reales de 300 pesos…</t>
  </si>
  <si>
    <t>…ste concurso. En virtud de providencia del Sr. D. Joaquín Almazan y Xímeno, del Consejo de S. M., teniente corregidor de esta villa , dada por la escribanía del número al cargo de D. Cristóbal de Vicuña , se cita, llama y emplaza á D. Rafael Ignacio Fantoni, O. Ensebio Domingo de Urqutjo, D. Josef Vidal y Garriga, D. Fran cisco Arger é hijos, D. Agustín Alcgrin, D. Domingo Perez é hijo, D. Miguel Alvarez de Pazos, D. 'Carlos Bazzoni y D. Jaime Ordeix, intere…</t>
  </si>
  <si>
    <t>Vicuña, Cristóbal' de</t>
  </si>
  <si>
    <t>Cristóbal' de Vicuña</t>
  </si>
  <si>
    <t>…continuará.') En virtud de providencia del Sr. D. Joaquín Almazan y Ximcno, del Consejo de S. M., teniente corregidor de esta villa ,dada por la escribanía del número al car go de D. Cristóbal' de Vicuña, se cita, llama y emplaza a D. RaLel Ignacio Fantoni, D. Eusebio Domingo de Urquíio, D. J &lt; se f Vidal y Garri ga, D. Francisco Arger é hi,ps, D. Agustín Alecrín, D. Domingo Pérez é hijo, D. Micuel Alvarez de Pazos^D. Carlos Buzzoni, D. Josef Ventura Al» ¡, D…</t>
  </si>
  <si>
    <t>Vida, Alfonso Josef de</t>
  </si>
  <si>
    <t>Alfonso Josef de Vida</t>
  </si>
  <si>
    <t>…yor D. Manuel de Sto. Do mingo y Herrera y de D. Agustín Gómez de Aranaa y Carrillo: otra de la villa de Baena, que se componía también de ?u alcalde mayor D. Loren zo Casaux , dé D. Alfonso Josef de Vida, regidor de La misma villa , y de D. Josef Jurado Caballero, síndico procurador general de la misma: otra de la villa de Luque, de la que fueron individuos su alcalde mayor D. Fernando Rod riguez y Luque, alcalde ordinario, y D. Ignacio Ortiz González, di put…</t>
  </si>
  <si>
    <t>Vidal, Manuel</t>
  </si>
  <si>
    <t>Manuel Vidal</t>
  </si>
  <si>
    <t>…ían tomado, y se dirigió á buscarlos con toda celeridad. Recorrió bastante terreno y sin poder dar con ellos, solo apresó 44 toros con dos hombres que los conducían. El mencionado cura D. Manuel Vidal fue en efecto atacado en su curato por los rebeldes, contra quienes se sostuvo algún tiempo con sus criados; pero no pudiendo evitar que penetrasen en la casa aquellos infames, se le acercó uno ae ellos con el intento de sacarle el dinero del bolsillo, y el e…</t>
  </si>
  <si>
    <t>Vidal, Pedro Benito</t>
  </si>
  <si>
    <t>Pedro Benito Vidal</t>
  </si>
  <si>
    <t>…consulta de la cámara de Indias de 5 de Abril del corriente año se ha servido S. M. nombrar para una plaza de oidor de la Real audiencia de Ca racas, vacante por fallecimiento de D. Pedro Benito Vidal, á D. Josef Cle ro López de la Linera , abogado de la de Oviedo. El Rey se ha servido resolver á consulta de la Junta de Protección del museo de ciencias que se abra el curso de botánica en su Real jardín, donde empezarán á darse las lecciones públicas mañana…</t>
  </si>
  <si>
    <t>Vieta, Pedro</t>
  </si>
  <si>
    <t>Pedro Vieta</t>
  </si>
  <si>
    <t>…lu cido y numeroso concurso. Puestos los instrumentos y máquinas del gabinete de manifiesto en el mis mo salón, se dió principio con un co’to discurso, que leyó el digno profe sor D. Pedro Vieta, en que manifestaba la vasta utilidad de este estudio, interesando á que hiciera parte de la común educación. Los puntos generales de examen fueron atributos de la materia, como extensión, solidez, inercia, atracción &amp;c.; fluidos esenciales, esto es, calórico…</t>
  </si>
  <si>
    <t>Vigodet, Gaspar</t>
  </si>
  <si>
    <t>Gaspar Vigodet</t>
  </si>
  <si>
    <t>…uces de la orden de Carlos m. A los Excmos. Sres. marques de Villafranca, marques de Malferit, mar ques de Casteldósrius , teniente general D. Francisco Copons , teniente gene ral D. Gaspar Vigodet, cardenal CottsaLvi, R. arzobispo de Valencia, R. obis po de Cuenca, R. obispo de Cádiz, y á los Sres. Secretarios del Despa cho de Marina D. Josef Vázquez Figueroa, y de Hacienda D. Manuel Ló pez Araujo. r- f &lt; Cruces supernumerarias i A D. Antonio Colomer d…</t>
  </si>
  <si>
    <t>Vigodet, Gaspar de</t>
  </si>
  <si>
    <t>Gaspar de Vigodet</t>
  </si>
  <si>
    <t>…eron su profesión , y recibieron el collar de mano de S. M. en Ja forma establecida los -Excmos. Sres. marques de Campo-Sagrado , D. Josef Luis de Souza , marques de Vilíafranca , D. Gaspar de Vigodet, D. Francis co de Copons y Navia , D. Manuel López Aran jo y D. Josef Vázquez de Figueraa , caballeros, novicios grandes cruces de la orden. Sucesivamente se cantó una: misa solemne de Concepción , en que celebró de pontifical el Ex celentísimo Si*, cardenal…</t>
  </si>
  <si>
    <t>Viguera, Romualdo Mendoza y</t>
  </si>
  <si>
    <t>Romualdo Mendoza y Viguera</t>
  </si>
  <si>
    <t>…. Infante D. Carlos por sus efectuados matrimonios, á nombre del cabildo catedral y ayuntamiento de la ciudad de Calahorra, D. Fermín Sanjuan, dignidad de arcediano de Berberiego; D. Romualdo Mendoza y Viguera, canónigo, y D. Julián Ruiz de Reajal, prebendado de dicha santa iglesia. •</t>
  </si>
  <si>
    <t>Viilamil, Josef Francisco Florez</t>
  </si>
  <si>
    <t>Josef Francisco Florez Viilamil</t>
  </si>
  <si>
    <t>…D. Pascual de Haro: para la dt Peñaliel á D. Josef Branchat: para la de Alama de Murcia á D. J jan de Dios Ruiz y Ruiz: para la de Fernan-Caballero, Fuente del Fre 1 o y Malagon á D. Josef Francisco Florez Viilamil: para la de la debela d ’* ¡ro blados del Castañar á D. Francisco Fernandez Colavida: para la d Cu vico de la Torre á D. Josef Cuenca Saiz: para la de la Palma, reino J S^vl a. á D. Antonio Josef Santevaez y Lerin : para la de Monraíbar . aitio d* C rdoba, ¿…</t>
  </si>
  <si>
    <t>Viilanova, Josef</t>
  </si>
  <si>
    <t>Josef Viilanova</t>
  </si>
  <si>
    <t>…sos ocurridos en la villa de Caspe el año .de 1809 , que deben ser conducidos al castillo de Zaragoza , sin comunicación, ó á otro parage seguro. D. Manuel Albiac, Vicente Cortés, D. Josef Viilanova, Joaquin Castillon , D. Lorenzo Viilanova, Antonio Pellicer, mayor, D. Joaquin Sunijer, Joaquin Dolader , Antonio Costa, Josef Bel lo, Pedro Calvo, Valero Guiu, Francisco Bielsa , Lorenzo Ralfas, D. Mariano Turlan, írancisco Royo, mayor, Fr. Francisco Miguel,…</t>
  </si>
  <si>
    <t>Viilanova, Lorenzo</t>
  </si>
  <si>
    <t>Lorenzo Viilanova</t>
  </si>
  <si>
    <t>…o .de 1809 , que deben ser conducidos al castillo de Zaragoza , sin comunicación, ó á otro parage seguro. D. Manuel Albiac, Vicente Cortés, D. Josef Viilanova, Joaquin Castillon , D. Lorenzo Viilanova, Antonio Pellicer, mayor, D. Joaquin Sunijer, Joaquin Dolader , Antonio Costa, Josef Bel lo, Pedro Calvo, Valero Guiu, Francisco Bielsa , Lorenzo Ralfas, D. Mariano Turlan, írancisco Royo, mayor, Fr. Francisco Miguel, prior curado, Miguel Burgued, Mariano Ser…</t>
  </si>
  <si>
    <t>Viilasante, Ignacio Bravoy</t>
  </si>
  <si>
    <t>Ignacio Bravoy Viilasante</t>
  </si>
  <si>
    <t>…ndo llegado S. M. y A. R. á la villa de Ocaña , sedignaron admitir á besar sus Reales manos al ayuntamiento y clero, en cu yo nombre tuvieron la honra de felicitar á S. M. y A. R. D. Ignacio Bravoy Viilasante, D. Antonio Simarro y D. Gregorio Manuel de Huelves. Til dia 6 del corriente tuvieron la honra de besar la mano á S. M. y cum plimentarla, pqr. su augusto-.matrimonio, y. íciiz. llegada*de: la Rejlná nuestra</t>
  </si>
  <si>
    <t>Vil, Joscf de</t>
  </si>
  <si>
    <t>Joscf de Vil</t>
  </si>
  <si>
    <t>…consejo de S. M., teniente corregidor de esta villa, y escribanía del número del Sr. D. Casimiro An tonio Gómez, del consejo de S. M., su secretario, se siguen autos por parte de Don Joscf de Vil ogas, vecino y d A comercio de la ciudad de la Coruña, como herede ro de su he mino D. Sebastian de Villegas, sobre la pertenencia de dos vales rea les de 300 pe^os , de la creación de 1.° de Mayo de 1808 , núms. 47592 5 y 438200; y habiéndole n «mbrado defen…</t>
  </si>
  <si>
    <t>Vilchcs, Gonzalo Josef de</t>
  </si>
  <si>
    <t>Gonzalo Josef de Vilchcs</t>
  </si>
  <si>
    <t>Por c! limo. Sr. D. Gonzalo Josef de Vilchcs, caballero de la Real y distingui da orden Española de Cirios m, decano del supremo consejo y cámara de S. M.t juez de Reales caballerizas, ballestería j demas ramos agregados &amp;c., se cita, llama y emplaza á todas y cualesquiera personas que puedan tener dere…</t>
  </si>
  <si>
    <t>…to que á su original. Dada en Palacio á 21 de Junio de 1816. = YO El REY. = Yo Don Juan Ignacio de Ayestarán, Secretario del Rey nuestro Señor, lo hice escri bir por su mandado. = D. Gonzalo Josef de Vilchcs. = D. Manuel de Tor res. =:D. Tadeo Gómez. ssD. Josef Montemtyor. = D. Felipe de Sobrado. 2 Registrada., Aquilino Escudero.2Teniente de Canciller mayor» Aquilino Escudero. S. M. ha tenido á bien, conformándose con la consulta de la cámara de Indij«, aprobar l…</t>
  </si>
  <si>
    <t>…aga, la correspondiente facultud para que pueda celebrar una feria en los dias 14, 15 y 16 de Agosto de cada año de todo género de mercaderías y ganados. Por providencia del limo. Sr. D. Gonzalo Josef de Vilchcs, del Consejo y Cá mara de S. M. , juez asesor del juzgado de Reales cabal &lt;er izas, ballestería y de mis ramos agregados, su fecha g del corriente, refrendada de D. Alfonso del Pozo, es cribano de S. M. y del referido juzgtdo, se ha mandado sacar á pública su…</t>
  </si>
  <si>
    <t>Vilches, Gonzalo Jdsef de</t>
  </si>
  <si>
    <t>Gonzalo Jdsef de Vilches</t>
  </si>
  <si>
    <t>Pur el limo. Sr. D. Gonzalo Jdsef de Vilches, caballero de la Real y distinguida ó-.len c^rMfióla de Cirios m, decano del supremo consejo y cámara de S Al., se ci?•’ y e-rmiaza á cualesquiera personas que puedan tener derecho á los biet es HrMa. íuel Duque, natural que fue de esta corte, y casado con An…</t>
  </si>
  <si>
    <t>Vilches, Gonzalo Jósef de</t>
  </si>
  <si>
    <t>Gonzalo Jósef de Vilches</t>
  </si>
  <si>
    <t>…ia 31 de Marzo cumplimentaron á S. M. por su futuro matrimonio en nombre de la villa de Linares, en el reino de .J-aen, D. Jósef Julián de Ortega, corregidor de la misma, el limo. Sr. D. Gonzalo Jósef de Vilches, del consejo y cámara de S. M., el marques de Fontanar, D. Diego María Badil los, del supremo consejo del Almirantazgo, D. Diego Luis de Salido, brigadier de los Reales egérciros, y comandante del parque de Artillería de esta corte, y D. Bernardo María de Güe…</t>
  </si>
  <si>
    <t>Viliami, Josef Fernandez</t>
  </si>
  <si>
    <t>Josef Fernandez Viliami</t>
  </si>
  <si>
    <t>…in á D. Nicolás Díaz Molin; y para el de Rueda del Almirante á D. Dámaso Megía Girón. También se ha servido el Rey nombrar para la vara de alcalde mayor de la ciudad de Berlanga á D. Josef Fernandez Viliami!: para la de k Guardia, en el Reino de Jaén, á D. Teles foro Contreras: para la de Montemayor á D. Andrés Gómez Plata: para la de Higares á D. Manuel Gre gorio Velasco: para la de Salvatierra á D. Josef Antonio Ramo: para la de Fuensalida á D. Manuel Fernande…</t>
  </si>
  <si>
    <t>Viliamií, Antonio Reguera</t>
  </si>
  <si>
    <t>Antonio Reguera Viliamií</t>
  </si>
  <si>
    <t>…entarse á S. M. la Reina nuostra Señora y besar su Real mano, con motivo de su efectuado enlace con el-Rey nuestro Señor, á nombre de la ciudad de la Cor uña, el teniente co ronel D. Antonio Reguera Viliamií, regidor perpetuo de dicha ciudad, y</t>
  </si>
  <si>
    <t>Viliavicencio, Manuel</t>
  </si>
  <si>
    <t>Manuel Viliavicencio</t>
  </si>
  <si>
    <t>…y sin sa lir jamas de él hicieron un fuego horroroso, que nos privó de algunos valien tes , retirándose los demas, y reunidos por la reserva de caballería que man daba el teniente coronel D. Manuel Viliavicencio , el que despreciando el fue go de S. Lázaro y bongos, recorrió todo aquel espacio» La expedición marítima salió peco antes de rayar el dia, mandando las tropas el comandante de la vanguardia el coronel D. Francisco Tomas Mo rales , y las fuerzas de mar el te…</t>
  </si>
  <si>
    <t>Viliumil, Antonio Reguera</t>
  </si>
  <si>
    <t>Antonio Reguera Viliumil</t>
  </si>
  <si>
    <t>…resentarse 4 felicitar 4 S. M., y be&lt;ar su Real mano con motivo de su augusto enlace á nombre de la ciu dad de la Coruña , el brigadier de los Reales ejércitos conde de Prie^ue, y D. Antonio Reguera Viliumil, regidores perpetuos de la misma ; de los «Lía les el primero dijo : ,,Señor : El ayuntamiento de la ciudad de la Coruña, una de las que componen vuestro fidelísimo reino de Galicia, tiene la honra de lciicitar á</t>
  </si>
  <si>
    <t>Villa, Manuel</t>
  </si>
  <si>
    <t>Manuel Villa</t>
  </si>
  <si>
    <t>…de Fuente La Peña y Canta La Piedra, y poseia en el año pasado de 1787 D. Josef María de Mieses Ponce de León, residente en la isla y ciudad de Sto. Domingo de América, acudirá á D. Manuel Villa Do mínguez Becquer, escribano de los reinos y de provincia de la Real audiencia de la ciudad de Sevilla. La pila de lana merina de la cabaña del hospital del Rey, cerca de Burgos, se remata el dia 30 de Mayo próximo, á las cuatro de la tarde, en la sala del cabi…</t>
  </si>
  <si>
    <t>Villa, Pablo</t>
  </si>
  <si>
    <t>Pablo Villa</t>
  </si>
  <si>
    <t>…ana en que no hay ninguno feriado mas que el domingo. Los pretendientes que no bajen de 25 años acudirm con sus memoriales acompañados de la justifica ción de sus circunstancias á D. Pablo Villa, librero en la plazuela de Sto. Domin go de esta corte, el cual lea informará del comisionado con quien deban entenderse. Ejercicio diario del cristiano 1 hállause en este libro las peticiones que el cató lico debe hacer al Señor todos os dias desde que se le…</t>
  </si>
  <si>
    <t>Villacorta, Hermenegildo</t>
  </si>
  <si>
    <t>Hermenegildo Villacorta</t>
  </si>
  <si>
    <t>…el designio de incorporarse con Rondeau , que se ha la con su cuartel general en el pueblo de Moraya: en esta segunda guerrilla salió heri do gravemente el teniente de caballería D. Hermenegildo Villacorta y un soldado de! mismo cuerpo. V. E. que ha presenciado repetidas veces la comportación de las tropas de mi mando, puede considerar el ardor y entusiasmo con que han atacado al enemigo, cuando por su igualdad en todas clases no puedo recomendaren particular á…</t>
  </si>
  <si>
    <t>Villafuerte, Josef</t>
  </si>
  <si>
    <t>Josef Villafuerte</t>
  </si>
  <si>
    <t>…se, no soto en los rudimentos de la lengua, sino también en los principios de la religión; y penetrado su Real corazón de tan importante objeto, tuvo á bien elegir para este fin á D. Josef Villafuerte, quien hace poco mas de cinco meses egerce este encargo con ad mirable aprovechamiento de sus alumnos, y contento general de todos los habitantes, el que deseando hacer una demostración del fruto que han pro ducido sus tareas, convocó á todo el pueblo para pú…</t>
  </si>
  <si>
    <t>Villagomez, Miguel Alfonso</t>
  </si>
  <si>
    <t>Miguel Alfonso Villagomez</t>
  </si>
  <si>
    <t>…e les cabía por el feliz arribo á la península de S. M. y A. R., y por sus faustos y venturosos enlaces. El día ii del pasado tuvieron la honra de presentarse á S. R. M. los Sres. D. Miguel Alfonso Villagomez, caballero de la Real y distinguida or den de Cirios m, y consejero en el de Castilla, y D. Francisco Fernandez de Canipománes, dignidad de la santa iglesia de León , y auditor asesor de la Nunciatura Apostólica, para Felicitar á S. M. en representación del m…</t>
  </si>
  <si>
    <t>Villalobos, María Dorotea</t>
  </si>
  <si>
    <t>María Dorotea Villalobos</t>
  </si>
  <si>
    <t>…condiciones de estilo. Se ■admitirán memoriales hasta et 20 del corriente, y los aspirantes .'os dirigirán á la justicia ordinaria del mismo pueblo. Se desea saber el paradero de Doña María Dorotea Villalobos, natural de la villa de Aiconchel, en, Extremadura baja, obispado de Bidajoz, de donde salió á Madrid en compañía de D. Vicente Taiens, oficial de contaduría de-egército: de alli pasaron á Valencia del Cid, de donde se dice que salió cuando la última retírada…</t>
  </si>
  <si>
    <t>Villalonga, Juan de</t>
  </si>
  <si>
    <t>Juan de Villalonga</t>
  </si>
  <si>
    <t>…la admi nistración de correos de dicha ciudad, ha tenido á bien el Rey concederle el permiso de poder usar la decoración de la Lis con que-S. M. Cristianísima Je ha agraciado. El brigadier D. Juan de Villalonga, destinado de cuartel en las islas de .Canaria, en consideración á las -actuales urgencias del erario ha cedido á ¿beneficio de este los sueldos que de los fondos comunes de la ciudad de Pal ma en Mallorca se le adeudan del tiempo que fue gobernador político…</t>
  </si>
  <si>
    <t>Villamil, Cayetano Fernandez</t>
  </si>
  <si>
    <t>Cayetano Fernandez Villamil</t>
  </si>
  <si>
    <t>9°t primer maestra director D. Cayetano Fernandez Villamil. Faeron exami nad en aritmérica D. Josef Perez, D. Juan Pablo Rodríguez, D. Josef María Loureiro, D Florencio Pereira, D. Benito Pereira, D. Cosme Arias, D. Juan RoJriuuez , I). Josef Abad, D. Manuel Vicario, D. Josef Vicente Veigi, D Josef Alonso, D. Juan Ve…</t>
  </si>
  <si>
    <t>…es públicos que se celebraron los dias 4 y j del mes de Agosto pró ximo en la forma siguiente: Dióse principio por un papel alusivo al objeto, que leyó el primer maes tro director D. Cayetano Fernandez Villamil. Fueron examinados en aritmédea D. Josef Perez, D. Juan Pablo Rodríguez, D. Josel María JLcureiro, D. Florencio Pereira, D, Benito Pereira , D. Cosme Arias, D. Juan Rodrí guez, D. Josef Abad, D. Manuel Vicario, D. Josef Vicente Veiga , D. Jo-</t>
  </si>
  <si>
    <t>Villar, Antonio</t>
  </si>
  <si>
    <t>Antonio Villar</t>
  </si>
  <si>
    <t>…os del aplauso del lucidísi mo concurso y de los premios que se Ies distribuyeron D. Manuel Caro, D, Ildefonso Lucas, D. Josef de Neira , D. Antonio Montero, D. Antonio Rodríguez, D. Antonio Villar., D. Antonio Ulloa y D. Antonio Cartnona. Para dar fin á este acto D. Cristóbal Romero García, cura mas antiguo y beneficiado propio de lá Encarnación de esta villa, profirió un elegante y enérgico discurso, en el que dando gracias al P. Mtro. por su extraord…</t>
  </si>
  <si>
    <t>Villar, Joaquin</t>
  </si>
  <si>
    <t>Joaquin Villar</t>
  </si>
  <si>
    <t>…otra de su ayuntamiento y clero; y en seguida la del ayuntamiento de la viila de Alcázar de S. Juan , compuesta de D. Juan Josef Manrique de Lara, Dolí Francisco María Aguilera .y D. Joaquin Villar, y la de los grandes priora tos de la orden de S. Juan de Jerusalen, de los que es en el dia dignísimo gran prior el Sermo. Sr. Infante D. Oírlos, en cuyo nombre, y en el de los curas párrocos, priores y beneficiados de los pueblos de Madridejos, Arenas, Temb…</t>
  </si>
  <si>
    <t>Víllarejo, Alfonso Ramón Ziz</t>
  </si>
  <si>
    <t>Alfonso Ramón Ziz Víllarejo</t>
  </si>
  <si>
    <t>…, clero y empleados en ias administraciones dé Rerías Reales y fá bricas dt pólvoras y salitres. Los pretendientes dirigirán sus memoriales ai escriba* no del ilustre ayuntamiento D. Alfonso Ramón Ziz Víllarejo dentro de 20 días. En la villa de Carranque , á cinco leguas dt la corte, y en el camino real de To ledo , se halla vacante el partido de cirujano latino, con la dotación de 20 r», dia rios, pagados mensualmente por la justicia, el clero y otros arbitrios per…</t>
  </si>
  <si>
    <t>Villaroe, Diego de Torres</t>
  </si>
  <si>
    <t>Diego de Torres Villaroe</t>
  </si>
  <si>
    <t>…á 10 rs. vn. en la librería de Castillo, frente á las gradas de S. Felipe el Real, y en la tienda de Dujardin, plazuela del Angel. Vida, ascendencia, nacimiento y crianza del Dr. D. Diego de Torres Villaroe! , con la aventura curiosa del ermitaño sobre la piedra filosofal: basta para elo gio de esta obra recordar al público que está escrita por él mismo: es un tomo en 4.0 marquilla á 15 rs. en pasta y 10 en rústica. Se hallará en el despacho de libros de Laborda…</t>
  </si>
  <si>
    <t>Víllasana, Eugenio de</t>
  </si>
  <si>
    <t>Eugenio de Víllasana</t>
  </si>
  <si>
    <t>…oeste de Oaxaca, debía preferirla al largo redeo que tendría que hacer por el territo rio de Ixtlahuaca. Prevínose ademas á Concha, que poniéndose en comuni cación con el teniente coronel D. Eugenio de Víllasana, comandante de una sección situada en Teloloapan , obrase junto ó separado de este gefe; según conviniese; pero siempre en combinación: la derrota sufrida al sur de Valla dolid por las gavillas que se encontraron con Cíavarino, á las que este gefe destrozó, m…</t>
  </si>
  <si>
    <t>Villasana, Eugenio de</t>
  </si>
  <si>
    <t>Eugenio de Villasana</t>
  </si>
  <si>
    <t>ciernes de los ríos le impidieron el buen resultado que se había prometido. El teniente coronel D. Eugenio de Villasana, comandante de Teloloapan, dió parte de haber enviado en auxilio del cura de Ixcareopan D. Manuel An tonio Vidal, que se hallaba acometido de los rebeldes, una partida de 6o caballos al cargo del capitán I). Manuel Gómez ; y este último á su regreso le partic…</t>
  </si>
  <si>
    <t>Villatela, Domingo Acacio Cambronero y Vicente</t>
  </si>
  <si>
    <t>Domingo Acacio Cambronero y Vicente Villatela</t>
  </si>
  <si>
    <t>…imien to la soberana resolución de S. M., ha declarado el consejo de Guerra de ge nerales en el celebrado en 5 de Abril ultimo, que el coronel D. Andrés Egua guirre y los paisanos D. Domingo Acacio Cambronero y Vicente Villatela queden libres de todo cargo, sin que la prisión que han sufrido les sirva de perjuicio en su opinión, reservándoles su derecho de repetir contra quien ha ya lugar; y habiéndose S. M. dignado aprobar esta sentencia, pronunciada por el Consejo de generales, ha…</t>
  </si>
  <si>
    <t>Villavaso, Francisco</t>
  </si>
  <si>
    <t>Francisco Villavaso</t>
  </si>
  <si>
    <t>420 y de partidarios D. Josef Borbon, D. Manuel López Cobo y D. Diego Rol dan : tanto estos como los ayudantes de ambos D. Juan Antonio Anunzarri, del primero, y D. Francisco Villavaso, del segundo.* el recomendable capi tán de egército D. Juan Ortuño, ayudante de órdenes mío; el teniente de partidarios D. Ignacio de la Riva; el subteniente de cazadores D. Josef María Valdés, y el de igual clase del segundo escuadrón D. Casimiro Peralta, se…</t>
  </si>
  <si>
    <t>Villaverde, Dionisio</t>
  </si>
  <si>
    <t>Dionisio Villaverde</t>
  </si>
  <si>
    <t>…retóri ca; contestando con total acierto á las muchas y delicadas preguntas que en esta parte les hicieron los directores, y con la misma puntualidad respondió T&gt;. Francheo Mathe, D. Dionisio Villaverde y D. Lucas Dueñas, después de haber traducido perfectamente los puntos de las selectas que se les asig naron. En el segundo dia por apertura D. Valentín Metola, D. Gaspar Soto y D. Saturio Kegio recitaron una égloga de Virgilio con tanta viveza y pro piedad de afectos que mere…</t>
  </si>
  <si>
    <t>Villavicencio, Manuel</t>
  </si>
  <si>
    <t>Manuel Villavicencio</t>
  </si>
  <si>
    <t>va en el llano , que mandaba el comandante de escuadrón D. Manuel Villavicencio, quien á pesar del vivo cañoneo, tanto de la misma Popa como de S. Lázaro y bongos de la Ciénega de Tescar, di rigió la retirada con el ma^ot orden y serenidad, manifestando su valor y pericia miliiar. En este ataque sufrimos la sensible pérdida del expresado…</t>
  </si>
  <si>
    <t>…l capitán general del Nuevo-Reino de Granada, comunicando con velocidad mis órdenes á todos los puntos, asi como los comandantes de escuadrón de Fernando vn y dragones de la Union D. Manuel Villavicencio y D. Josef de Navas, y mis ayudantes dé «ampo el teniente coronel comandante del regimiento infantería del Rey Don León de Ortega y el alférez de dragones de la Union D. Juan Salazar. „ La ciudad presentaba el espectáculo mas horroroso á nuestra vista. Las calles estaban llenas…</t>
  </si>
  <si>
    <t>Villavicencio, Manuel de</t>
  </si>
  <si>
    <t>Manuel de Villavicencio</t>
  </si>
  <si>
    <t>…ier, y el gobierno de la plaza de Cartagena de Indias: á D. Francisco VVarleta, teñieerte coronel del regimiento infantería de León, y mayor ge neral interino de la del egército , D. Manuel de Villavicencio, comandante de escuadrón del regimiento de húsares de Fernando vil, D. Antonio Casano , sargento mayor de Artillería graduado de teniente coronel , D. Manuel Barreiro", capitán de Artillería ídem , D. Juan Camacho, capitán de Ingenie ros ídem, D. Ildefonso de…</t>
  </si>
  <si>
    <t>Villegas, Alfonso de</t>
  </si>
  <si>
    <t>Alfonso de Villegas</t>
  </si>
  <si>
    <t>…uen los cuidemos de retratos de ilustres españo'es. Cuaderno 14: D. Al varo de Lur.a, Andrés Laguna, Fernando Nuñcz de Guzman, D. Fr. Barto lomé de las Casas, Francisco Sánchez, y D. Alfonso de Villegas. ~ Cuaderno 15: Ñuño Nuñez Rasura, Lain Calvo, Pedro Navarro, D. Juan Bautista Perez , Don Gen •limo Gómez d- Huerta, y D. Gaspar de Guzman y Pimentel.rz Cuader no 16: Fr. Juan de Jesús Ma ría, D. Martin Bautista de Lanuza,ei conde de Lemo&gt;.,el Mtro. Vicente…</t>
  </si>
  <si>
    <t>Villegas, Francisco</t>
  </si>
  <si>
    <t>Francisco Villegas</t>
  </si>
  <si>
    <t>…omas Landias 20. D. Vicente Evaristo Blasco 20. D. Gaspar Arribas 24. D. Damian González de Salazar 160. El beneficiado de S. Vicente 4^0. Pedro Seguir 6. D. Joaquín Zagonero 20. D. Francisco Villegas 2. D Josef Pavat 23. El R. P. general de Gerónimos 46 La co munidad del Carmen calzado 40. La de padres Preinostratenses 80. D. Ra món Moreda 23. D. Félix Arguello 40. D. Sebastian Hernández 70. D Jo sef Broche ro 8. D. Josef Uaabal 69. D. Francisco Crespo 20…</t>
  </si>
  <si>
    <t>Villegas, Francisco Quevedo y</t>
  </si>
  <si>
    <t>Francisco Quevedo y Villegas</t>
  </si>
  <si>
    <t>…. Lope Félix de Vega Carpió, D. Antonio Solis, y D. Nicolás Antonío.zrCuaderno 2.0: el cardenal Gil Albornoz, Gonzalo Fernandez de Córdoba , el gran du que de Alba, Arias Montano, D. Francisco Quevedo y Villegas, y D. Juan de Ferreras. —Cuaderno 3.0: Hernán Cortés, Garcilaso de la Vega, D. Alonso de Ercilla, D. Pedro Calderón de la Barca, Miguel de Cervantes Saavedre, y D. Jo&gt;sef Patino.— Cuaderno 4.0: D. Antonio Agustín, D. Sancho Dávila, D. Juan de Austria, D. Alva…</t>
  </si>
  <si>
    <t>Villegas, Josef de</t>
  </si>
  <si>
    <t>Josef de Villegas</t>
  </si>
  <si>
    <t>…consejo de S. M., teniente corregidor de esta villa, y escribanía del número del Sr. D. Casimi ro Antonio Gómez, del consejo de S. M., su secretario, se siguen autos por parte de D. Josef de Villegas, vecino y del comercio de la ciudad de la Coruña, como heredero de su hermano D. Sebastian de Villegas, sobre la pertenencia de dos vales Reales de á 300 pesos, de la cracion de i.° de Mayo de 1808, núms. 475925 y 438200; y habiéndose nombrado defensor de los…</t>
  </si>
  <si>
    <t>Villegas, Sebastian de</t>
  </si>
  <si>
    <t>Sebastian de Villegas</t>
  </si>
  <si>
    <t>…Antonio Gómez, del consejo de S. M., su secretario, se siguen autos por parte de D. Josef de Villegas, vecino y del comercio de la ciudad de la Coruña, como heredero de su hermano D. Sebastian de Villegas, sobre la pertenencia de dos vales Reales de á 300 pesos, de la cracion de i.° de Mayo de 1808, núms. 475925 y 438200; y habiéndose nombrado defensor de los herederos de D. Francisco García Alvarez, de D. Toribio Fernandez Sanz, ausente, y de D. Bernardo Fern…</t>
  </si>
  <si>
    <t>…tonio Gómez, del consejo de S. M., su secretario, se siguen autos por parte de Don Joscf de Vil ogas, vecino y d A comercio de la ciudad de la Coruña, como herede ro de su he mino D. Sebastian de Villegas, sobre la pertenencia de dos vales rea les de 300 pe^os , de la creación de 1.° de Mayo de 1808 , núms. 47592 5 y 438200; y habiéndole n «mbrado defens r de los herederos de EX Francisco García Alvarez, de IX Tori'jio Fernandez San», ausente, y de D. Bernardo…</t>
  </si>
  <si>
    <t>Villena, Manuel de</t>
  </si>
  <si>
    <t>Manuel de Villena</t>
  </si>
  <si>
    <t>…Sermas. Sras. Infantas de Portugal, los diputados de la ciudad de Badajoz, capital de Extremadura, los Excmos. Sres. D. Pedro Cevallos, primer secretario de Evtado y del Despacho, D. Manuel de Villena, pri mer caballerizo de S. M., el marques de Monsalud, primer caballerizo del Sermo. Sr. Infante D. Carlos, D. Juan Gregorio Mancio, mariscal de cam po de los Reales egércitos, y caballero de la orden y banda de S. Herme negildo, y D. Fulgencio Suarez de Figu…</t>
  </si>
  <si>
    <t>Villodres, Diego Antonio Navarro Martin de</t>
  </si>
  <si>
    <t>Diego Antonio Navarro Martin de Villodres</t>
  </si>
  <si>
    <t>…imiento de D. Ambrosio de Llano , á Don Salvador Samartin, prebendado de la catedral de Guadalajara: para el de la Pa z, vacante por renuncia de D. Remigio de la Santa y Ortega, á D. Diego Antonio Navarro Martin de Villodres. Asimismo se ha servido S. M. conferir plaza de oidor en la Real audien cia de México, por promoción de D. Josef de Mesia y Caicedo á regente de la propia, á D. Francisco Antonio de Velasco, alcalde electo del crimen de ella: la fiscalía del crimen de dicha a…</t>
  </si>
  <si>
    <t>Vinerta, Josef Giménez</t>
  </si>
  <si>
    <t>Josef Giménez Vinerta</t>
  </si>
  <si>
    <t>…del Arzobispo: á D. Ra fael Calabuíg para la de la villa de Ay ora: á D. Tomas Oírra y Castelló para la de Jalón: á D. Francisco Antonio Oniza para la de la villa de Ri va roja: á D. Josef Giménez Vinerta para la de Catarro ja : para la de la villa de Relchite á D. Francisco Fernandez de Gal vez; y para la de la villa de Epila á D. Rafael Larraz. Igualmente se ha servido S. M. nombrar para la agencia liscal de ía cámara á D. Josef Ruiz Barriopedro: para una pl…</t>
  </si>
  <si>
    <t>Viñolas, Josef</t>
  </si>
  <si>
    <t>Josef Viñolas</t>
  </si>
  <si>
    <t>…to del peso y elasticidad del aire, vientos y sus causas, barómetros, higrómetros &amp;c., agua, sus estados de hie lo, liquidez, vapor y meteorología. Los alumnos que salieron fueron D. Josef Viñolas, D. Ramón de Becardi, D. Juan Barret, D. Juan Urel!, D. Antonio Fernandez y Valiejo, Don Antonio Monmany, D. Miguel Marti y D. Francisco Carbonell. Aunque to dos estaban obligados á responder á todo, se les señaló para explicar un punto en particular, el que…</t>
  </si>
  <si>
    <t>Visconti</t>
  </si>
  <si>
    <t>…onde Pastoret, el barón Silvestre de Sacy, Gossellín, Daunau, Derales, Dupont de Nemours, el barón Reirihard, Guinguené, el príncipe deTalley'rand , el conde -Garan de Coulon , ei caballero Visconti, él conde Boissy de Anglas, Millin , el barón Degerando, Brial, Petit- Radel, Barbie-Dubocage, el conde de Lanjuinais y Gausin,,; Gail, Clávier, • Arnaui*.y-Duval, Bernardi, Boissonnade , el conde de Laborde, Walkenaer, Vanderbourg, Quatremere *( Etienne), Ra…</t>
  </si>
  <si>
    <t>Viseas</t>
  </si>
  <si>
    <t>…periódico intitulado Diario de la Bélgica del 4 de ¡estemes se di ce que el ex-general francés Véndame fue arrestado en Gante «i 2 de este mes á las ocho de la mañana en casa del señor Viseas. ESPAÑA. Madrid 23 de Diciembre, Él dia 21 de Octubre tuvo la honra de felicitar á 5S. MM. y A A. por sus augustos enlaces, á nombre del coronel, gefes y oficiales del regimiento infantería Infante D. Cirios , el teniente coroné! D. Ramón Valdés, ma yordomo d…</t>
  </si>
  <si>
    <t>Vison, Francisco</t>
  </si>
  <si>
    <t>Francisco Vison</t>
  </si>
  <si>
    <t>…publicado en la gaceta del 27 del pasado, solicít'áñdo $‘rtbér él paradero de Dona María Fort y Doña María Gregoria, viuda dé D. Pedro Casta ñeda, aquella madre y ésta hérmaira dé D. Francisco Vison ..natural de Barcelona donde se dice qué esté fue primer-capitán de inválidos hábiles de ata plaza, léase de esta corte. . ‘ *• i v________ : • _______________________ ; • ■ - ■ • 11 ■ - ' - •- ■ —EN LA IMPRENTA REAL.</t>
  </si>
  <si>
    <t>…con el núm. 1 2 , se anunció que cualquiera persona que supiere el paradero de Doña María Fort y Doña María Gregorio, viuda de D» Pedro Castañeda, aquella madre y esta herma na de D. Francisco Vison, natural de la ciudad de Barcelona, primer capitán del cuerpo de inválidos hábiles de esta corte, que falleció en ella en i.° de Octubre de 1809, se sirviera prevenir á dichas señoras ó sus Lijos que el coronel actual co mandante del citado cuerdo tenia asunt…</t>
  </si>
  <si>
    <t>Vivero, Benito</t>
  </si>
  <si>
    <t>Benito Vivero</t>
  </si>
  <si>
    <t>…o director de Marina, y á D. Francisco de Cantos, intendente del de partamento de Cartagena. A brigadier el capitán de Navio D. Antonio Vacaro. A capitanes de Navio los de Fragata D. Benito Vivero y D. Manuel Moscoso. Para la graduación de esta clase D. Estéban Gotnendio.</t>
  </si>
  <si>
    <t>Vives</t>
  </si>
  <si>
    <t>…operaciones delegército de Cataluña en la guerra déla usurpación: campaña primera, que contiene la introducción y las épocas de los sematenes del general marques del Palacio, del general Vives y de! general Reding.—Nuevo mé todo económico y ventajoso de destilar el vino por el apanto de O. Juan Jordana, con la lámina del: aparato y su explicación, y una tabla de los diferentes grados del aguardiente, por el Dr. D. Francisco Carborell, catedrático d…</t>
  </si>
  <si>
    <t>Vizcaíno, Pedro Martin</t>
  </si>
  <si>
    <t>Pedro Martin Vizcaíno</t>
  </si>
  <si>
    <t>…es y ib estadales, á 800 rs. fanega, en 3420: otro en el término del lugar de Vicálbaro donde dicen Valdebernardó, que Jinda al norte con otra de Tomas Sanz, á oriente con otra de D. Pedro Martin Vizcaíno, y una que labra Blas Perez, al mediodia con tierra del vínculo de Ga briel Aiarnes; su caber 3 fanegas y 6 celemines; ás(Í5o rs., en.2275 ; y últimamente otra en dicho lugar de Vicálbaro, donde llaman Pavones,;que linda ai mediodia con tierra/que ífué del co…</t>
  </si>
  <si>
    <t>Volney</t>
  </si>
  <si>
    <t>…á de los sugetos siguientes: los seño res de Roquelaure, el obispo de Senlis, Suard, secretario perpetuo, Ducis, •el conde de Choiseul Gduftier, Morellet, el conde d’Aguesseau, el conde Volney, Andrieux, el abate Sieard, ei conde de Cessac, villar, el conde de Fontanes, el conde Francisco de Neufchateau, ei conde Bigot de Preameneu , el conde de-Segur , Lecretelle primogénito, el conde Daru, ReynOuard, Pieard, el conde Destutt-Tracy, Lemercier, Per…</t>
  </si>
  <si>
    <t>VVarleta, Francisco</t>
  </si>
  <si>
    <t>Francisco VVarleta</t>
  </si>
  <si>
    <t>…s: al coronel D. Gabriel de Torres, te niente coronel de Artillería y mayor general de la del egército, el ascenso á brigadier, y el gobierno de la plaza de Cartagena de Indias: á D. Francisco VVarleta, teñieerte coronel del regimiento infantería de León, y mayor ge neral interino de la del egército , D. Manuel de Villavicencio, comandante de escuadrón del regimiento de húsares de Fernando vil, D. Antonio Casano , sargento mayor de Artillería graduado de te…</t>
  </si>
  <si>
    <t>VVellington</t>
  </si>
  <si>
    <t>…os que habían supuesto trasportados á Inglaterra á bordo de la fragata holandesa el Hamistet , las plumas de algunos periodistas, émulos sin duda de la gran deza y generosidad de! lord VVellington, cuyo nombre será siempre por tan tos títulos «preciable á todos los españoles. Dedicado incesantemente el Rey nuestro Señor á prodigar mercedes r to dos síis vasallos , en remuneración de los esfuerzos con que hnn c&lt; ncur ido al glorioso fin de la lucha de E…</t>
  </si>
  <si>
    <t>VViilo, Mark</t>
  </si>
  <si>
    <t>Mark VViilo</t>
  </si>
  <si>
    <t>…on de la isla, y se embarcó para Ñipóles, desde donde pasará á urin. La fragata Havan.* que salió de Sta. Elena el 25 de Abril ilegó el sába do a Portsmouth trayendo i su bordo al coronel Mark VViilo , antiguo go bernador de aquella isla. Dícese que por este conducto ha dirig to Bouaparte al Principe Regente una representación quejánd &lt;*e de las dis.^o ¡ciones to madas para la custodia de su persona. Parece que gozaba de buena salud; pero estaba sumamente…</t>
  </si>
  <si>
    <t>VVilken</t>
  </si>
  <si>
    <t>…mentar la riqueza de aquella capital. Pero l tiesto que la Francia volvió ai poder de los Borbolles, sus legítimos Soberanos, nuestra universidad en vió inmediatamente á Paris' al profesor VVilken , que llegó allí habrá unos tres meses, con el objeto de procurar que estos manuscritos se le restituye-</t>
  </si>
  <si>
    <t>VVilson</t>
  </si>
  <si>
    <t>…seguran que ios Reyes de Baviera, de Wurtemberg, y el gran Duque de Badén han hecho una alianza para afian zarse mutuamente los estados que poseen actualmente. v Se asegura que el general VVilson ha obrenido el permiso de ver á su es posa , de pasearse en los tránsitos de la cárcel, y de escribir y recibir cartas. Subsiste todavía un parque de artillería inglesa al lado de la capilla , en el camino de St. Denis. Los soldados ingleses que lo custodian…</t>
  </si>
  <si>
    <t>Warleta</t>
  </si>
  <si>
    <t>…s destruirá ú obli gará á rendirse; ademas de que tanto los habitantes de los llanos de S. Mar tin como los de Casanere desean la llegada de las tropas. Sobre Popa van marchará el coronel Warleta luego que se le reúna la columna del Atr.no y las fuerzas del Magdalena , que ya están en movimiento, siguiendo en direc ción á Cartago por las Novitas , y algunas fuerzas del regimiento de Numancia; y es natural que el egército de Quito obre en combinación d…</t>
  </si>
  <si>
    <t>Warleta, Francisco</t>
  </si>
  <si>
    <t>Francisco Warleta</t>
  </si>
  <si>
    <t>…o en este dia y en los siguientes una conducta y disciplina poco común en semejantes lan ces. En este día trabajaron con el mayor entusiasmo y zelo el mayor gene ral de infantería D. Francisco Warleta, y el comandante del escuadrón del Perú D. Ignacio Landazuri, ayudante del capitán general del Nuevo-Reino de Granada, comunicando con velocidad mis órdenes á todos los puntos, asi como los comandantes de escuadrón de Fernando vn y dragones de la Union D. Man…</t>
  </si>
  <si>
    <t>…o el mismo dia 5. Casi á un tiempo recibimos la noticia; aquel en el punto referido, y yo en el cuartel general. Al instante hice marchar los cazadores á las órdenes del te niente coronel D. Francisco Warleta en unión del comandante del escua drón delPerú D. Ignacio Landazuri ; mandé al brigadier D. Antonio Cano siguiese con toda la fuerza dé su cantón y la de Warletá hasta encontrar re sistencia, y no hallándola hasta-entrar en la plaza. Dispuse qué él coronebde…</t>
  </si>
  <si>
    <t>…er desaparecer á 400 bandidos ca raqueños, franceses, ingleses é italianos, ocasionadores de estos majes. ,,Se distinguieron en la ocupación de-la plaza por su actividad .el mayor general D. Francisco Warleta y el teniente coronel, comandante del escua drón del Perú , ,D. Ignacio Landazurí, ambos llenando mis órdenes y cuan tas el general en gefe les dio. Los castillos S. Fernando, S. Josef y el An gel se rindieron el 7. El gene-ral Morillo, que se anticipó á mi a…</t>
  </si>
  <si>
    <t>han pre&lt;entado con armas a gozar del indulto que Ies he concedido. ,, El dia 6 de Ab.ii habió ya ocupado a MtdeMin el coronel D. Francisco Warleta , y en seguida toda la provincia de Anticquia, abandonada por su Gobierno rebelde. ,, Desde ei 23 de t bril ha«ta el 30 la angostura del Magdalena con los pueblos de Nare y Honda separadamente prendieron á los gefes imuruer :es, se sometieron á la obediencia…</t>
  </si>
  <si>
    <t>Wcllington</t>
  </si>
  <si>
    <t>6*2 Ayer se puso en la posada de lord Wcllington una guardia de honor compuesta de tropas departamentales. ESPAÑA. Murcia 6 de Junio. Los constantes esfuerzos y desvelos con que nuestro amado Soberano pro cura promover por todos medios la prosperidad de sus amados vasallos hicie ron conocer á la Real socied…</t>
  </si>
  <si>
    <t>Wellesley</t>
  </si>
  <si>
    <t>842 por lord Wellesley, la cual se consideraba entonces como nuestro principal baluarte en aquel pais. Sin embargo fue devuelta al Scindiah por lord Corn— "Wallis ,de orden expresa de nuestro Gobierno. El egército de Madras , al man do del coronel Doventon , en fuerza de 50© hombre…</t>
  </si>
  <si>
    <t>Wellesley, Henrique</t>
  </si>
  <si>
    <t>Henrique Wellesley</t>
  </si>
  <si>
    <t>…s do cumentos, relativos al glorioso resultado de la expedición contra Argel, con ducidos á Barcelona por un buque de guerra ingles, y remitidos desde alli con dirección al Excmo. Sr. D. Henrique Wellesley, embajador extraordi nario de S. M. Británica en esta corte.</t>
  </si>
  <si>
    <t>Wellingrorr</t>
  </si>
  <si>
    <t>…astaría á demostrar la necesi dad de ccta unión, que confirmó y selló con. su sangre el bizarro Príncipe de los Pabe«-Bajos. ,, En la Bélgica se sabe bien la parte que tuvieron el general Wellingrorr y sus tropas en aquellas célebres batallas en que el enemigo fue vencido, pero, fio sobrepujado en valor. También conocen todos la bizarra conducta del ge neral Biucher y los prusianos, y la gloria adquirida por la cosa de Bruns wick, cuyo duque murió como un…</t>
  </si>
  <si>
    <t>Wellington</t>
  </si>
  <si>
    <t>…acometiese ó se retirase, tenia en su arbitrio la elección; y en efecto retiró su regimiento fuera de la línea, y él no paró hasta Bruselas. El edecán furioso corrió á dar parte á lord Wellington, quien á pesar de estar enfadado no pudo menos de reír á carcajadas al saber la dialéctica del prudente coronel.__ Habiéndose llevado este asunto á una comisión militar , el coronel fue destituido &gt; y el re gimiento licenciado. * ; FRANCIA. Parts 2$ de Febrer…</t>
  </si>
  <si>
    <t>…ia Real y á la tranqui lidad del estado.’* Esta mañana salieron de aqui muchos equipages y furgones para la raya de Italia pertenecientes á los egércitos franceses. Se asegura que lord Wellington no permanecerá sino algunos dias en Cambray, y que es probable pase á Inglaterra. Escriben de Strasburgo, con fecha de 15 de este mes, que se ha despren dido un peñasco de una montaña en Filisburgo, á dos leguas de Nierdersborne,y ha aplanado una casa,y muert…</t>
  </si>
  <si>
    <t>…opas aliadas que componen el egército de ocupa ción en Francia, ha sido sumamente vistosa, y en ella se han distinguido las tropas rusas por su disciplina y buen porte. En seguida lord Wellington vol vió á su cuartel general ae Mont-St.-Martin, cerca de Cambray. Las tropas inglesas están en movimiento para encaminarse á aquella ciudad, con el ob jeto de reunirse y tener una revista general en presencia del duque de Cam bridge. Se reunirán también á lo…</t>
  </si>
  <si>
    <t>…lord Fítzroy, embajador de Inglaterra, y sir Henrique Weliesley, hermano del duque de Wellington. El cuerpo de tropas rusas que manda el conde de Woronzow, y á quien pasó revista lord Wellington el 4 de este mes, se compone de 28 á 29^ hombres y 9 á io© caballos. La revista y las maniobras duraron desde las 10 de la mañana hasta cerca de las seis de la tarde. Se halla hace algún tiempo en el cuartel general de lord Wellington mn sugeto que llegó de l…</t>
  </si>
  <si>
    <t>12ÓO tocado en Inglaterra, rii tenido relación alguna con ¿1 embajador’ingles, en^ tendiéndose solo con lord Wellington. Parece que debe volver en breve á la India. París i.° de Noviembre. Mr. Brizé Fradin, individuo de la academia de ciencias de Burdeos, ha hecho los descubrimientos siguientes, que han merecido la aprobación de los sabios Berthollet, Vauqueiin ; Lacepede, Cuv…</t>
  </si>
  <si>
    <t>Wellington, Diíque de</t>
  </si>
  <si>
    <t>Diíque de Wellington</t>
  </si>
  <si>
    <t>…nte, y S.A. el Príncipe Federico de Hesse conduce en el día estos 5® hombres á-Francia, donde han de reunirse con las tropas de las otras potencias aliadas, bajo el mando del feld-mariscal Diíque de Wellington. „ Al hacerse el tratado de paz. dé'201 decNoviem^re se./estipuló que el egército de los aliados que ha de permanecer en Francia, se mantenga á ex pensas del gobierno francés, quien se ha obligado á suministrarle los aloja mientos y las raciones necesarias, c…</t>
  </si>
  <si>
    <t>White, Roberto</t>
  </si>
  <si>
    <t>Roberto White</t>
  </si>
  <si>
    <t>…del comercio de Panamá, á consignación de D. Joa quín María Ferrer, residente en Madrid, lo avisa este á los interesados para que ocurran á recogerlos á Cádiz á casa de los Sres. D. Roberto White é hijo, de aquel comercio, por medio de apoderado autorizado en bastante forma. Mercurio de España. Junio de i3i&lt;5. Véndese i 4 rs. en el despacho de Ja imprenta Real. Se subscribe en dicho despacho, y en las provincias en todas Jas ad ministraciones principa…</t>
  </si>
  <si>
    <t>Whittinghan, Santiago</t>
  </si>
  <si>
    <t>Santiago Whittinghan</t>
  </si>
  <si>
    <t>…a Real cédula. De orden de S. M. lo comunico á V. para el que le corresponde por su parte. Dios guarde á V. muchos años. Madrid 21 de Enero de i8ió.=? Josef de Ibarra. El teniente general D. Santiago Whittinghan ha dirigido á S. M. la ex posición siguiente: ,,Señor: D. Santiago Whittinghan, teniente general de los Reales egércitos, P. A L. R. P. de V. M. expone, que el aia 13 de Abril de 1813 se halló con la infantería, artillería y un destacamento de caballería de l…</t>
  </si>
  <si>
    <t>WÍIIibald</t>
  </si>
  <si>
    <t>226 El Rey ha nombrado varios embajadores para las cortes de Berlín , Turin, Dresde y la Haya: á la primera va el conde Josef de Rechberg; á la segunda el conde WÍIIibald; á la tercera el conde de Luxemburgo, y á la cuarta el barón de Giese. PAISES-B A JOS-UNID OS. Groninga 22 de Enero. E! instituto de sordo- mudos establecido en esta ciudad acaba de celebrar su jubileo de 2; años. En el de 1790 fue cuando M. H. D. Guyor, prof…</t>
  </si>
  <si>
    <t>Williams</t>
  </si>
  <si>
    <t>…ontería. Parts 28 de Junio. Ayer entre el gran concurso que se hallaba reunido en el salón de los ma riscales esperando á que saliese S. M., se notaban cuatro señoras á quienes el doctor Williams, oculista honorario de S. M., ha restituido la vista con el precioso específico de que es inventor. Una de dichas señoras es la condesa de Pagouiski, viuda del coronel de este nombre, antiguo ayudante de campo del general Moreau, que fue arcabuceado en Vineen…</t>
  </si>
  <si>
    <t>Wilson</t>
  </si>
  <si>
    <t>…sa Carlota se. celebrará en la semana de pascuas, y que los ilustres esposos habitarán en la casa de Ca-r melfort. , Ayer se presentó en. Brighton al Príncipe Regente la muger del general Wilson, preso en París. S. A. R. recibió su representación con mucho agra do y con todas las atenciones debidas á la triste situación de esta señora. La audiencia fue muy corta, y se observó que madama Wilson salió muy triste. En la cámara de los pares preguntó el c…</t>
  </si>
  <si>
    <t>…n opo sición alguna. El rajah ha legado, según dicen, á la Cü.n.'uíún de la ludia gran cantidad de dinero, alhajas, elefantes, caballos, mueble* £ inmenso* almacenes de granos. El teniente Wilson, del regimiento nuin. 35.llegó a -er en po ta á la secretaría de lord Bathurst con pliegos de Malta, que aseguran ser de mucha importancia. ESPAÑA. Madrid Sí de Octubre. El día 4 del presente mes de Octubre tuvo el honor de besar la mano á S. M. la Reina nues…</t>
  </si>
  <si>
    <t>Wimpffen</t>
  </si>
  <si>
    <t>…l corriente se entregó la plaza de Landau á los austríacos. Las tropas aliadas han tomado posesión de los países cedidos por la Francia en tre ei Lauter y el Queich. El cuerpo del general Wimpffen está en movimiento:-mañana se pone en marcha la primer columna para pasar el Rhin en Fort-Luis y la ultima pa sará el 24. En Kehl hay 1400 austríacos, y no aparece motivo alguno para creer que este cuerpo deba entrar en Francia, como algunos malévolos han esp…</t>
  </si>
  <si>
    <t>…para la entrega de aquella plaza prueban que su gobierno desea dar cumplimiento á los tratados que haJiecho. El puente de Fort-Luis está ya restablecido, y el cuerpo que manda el general Wimpffen pasará por él el Rhin para encaminarse á Bohemia. • ' * * • , i</t>
  </si>
  <si>
    <t>Witt</t>
  </si>
  <si>
    <t>…D DEL MARTES 3 DE DICIEMBRE DE 1816. RUSIA. , r Tolschin jó de Octubre. El general en gefe conde de Bennigsen pasó anteayer revísta » la divisioa de cosacos regulares que manda el general Witt. Mañana saldrá dicho conde para Odessa, donde va á pasar revista á las tropas que se hallan en aquella ciudad y sus inmediaciones. - - PRUSIA. Berlín 5 de Noviembre. El 2 de este mes fue el Réy con la fami ia Real á la Isla de los Pavones, y subió á bordo del…</t>
  </si>
  <si>
    <t>Woellwath</t>
  </si>
  <si>
    <t>…deí feld-mariscal barón de Frímont llegará el r.° de este mes á Colmar, y se cree que se destacarán de él muy pocas tropas al Bajo-Rhin. El cuerpo wurtemburgues, á las órdenes del general Woellwath, va al distrito de Weissemburgo, en donde se acantonará hasta nueva orden. Los saxones acantonados en las inmediaciones de Schelestadt están ya prontos para ponerse en marcha. Paris 22 de Diciembre. En el año de 1814.nacieron en esta capital 21247 niños, los…</t>
  </si>
  <si>
    <t>Wolchowski, Príncipe</t>
  </si>
  <si>
    <t>Príncipe Wolchowski</t>
  </si>
  <si>
    <t>…for mará cerca de nuestra persona un estado mayor general, según el reglamen to especial que se comunicará para este objeto, y se compondrá de los sugetos siguientes: el ayudante general Príncipe Wolchowski; el ministro de la Guerra y ayudante general Knonovnizin ; el barón Meller-Sakomeslky, gene ral é inspector de artillería; el teniente general de ingenieros Oppermann , que egerce las funciones de inspector del mismo cuerpo; el teniente general Toll, cuartel-…</t>
  </si>
  <si>
    <t>Wolkman</t>
  </si>
  <si>
    <t>…oticias de Petersburgo del 13 S. A. el Príncipe Real de Wurtemberg había llegado ya á aquella capital. SUIZA. Lausana de Diciembre. Muchas divisiones austríacas, á las órdenes del general Wolkman , que estaban acantonadas cerca de Huninga y en aquella plaza, principiaron el 10 de Octubre su marcha retrógrada á la orilla derecha del Rhin, y habían va llegado á Neuburgo, cuando recibieron orden de volver á sus antiguos acantonamientos. En consecuencia h…</t>
  </si>
  <si>
    <t>Wolkmann</t>
  </si>
  <si>
    <t>…Basilea 2$de Diciembre. Las tropas austríacas de Huninga y de sus inmediaciones debían de haber entrado el 20 én Alemania; sin embargo no partieron hasta el 21 y 22, al mando del general Wolkmann, que creía pasar aquí este invierno. Estas tro pas marchan directamente hacia las fronteras de Bohemia , adonde tienen or den de llegar el 31 de Enero. En Huninga no han quedado mas que los mi nadores en número dé tinos 500 hombres,que pertenecen al cuerpo de…</t>
  </si>
  <si>
    <t>Woronzoíf</t>
  </si>
  <si>
    <t>…nza, ha sido-condenado en la multa de 590 francos que el comandan te ha mandado entregar al herido para indemnizarle de los gastos de su cu ración : este rasgo de beneficencia del conde Woronzoíf le ha hecho mas y mas acreedor á la estimación pública, qué tanto él como su augusto Sobera no han sabido grangearse, suavizando ios males que trae consigo la guerra. Parts 16 de Marzo. * S. M ha mandado que se erija un monumento á S. A. el duque de En-r» gui…</t>
  </si>
  <si>
    <t>Woronzow</t>
  </si>
  <si>
    <t>…después de ha ber entregado los pliegos que traía, se ha dirigido á Hellevoest-Sluis, á fin de embarcarse para Inglaterra. . Bruselas j6 de Enero. Las tropas rusas mandadas por el general Woronzow ocupan actualmen te en el departamento del Norte las guarniciones y acantonamientos que te nían antes los prusianos. En aquel pais se han agotado los víveres: las ciuda des de Lila y Arras, á las cuales no han alcanzado tanto las calamidades de la guerra, han…</t>
  </si>
  <si>
    <t>Wurtemberg, Fernando de</t>
  </si>
  <si>
    <t>Fernando de Wurtemberg</t>
  </si>
  <si>
    <t>…Vierta 26 de Mayo, El Príncipe Imperial y la&lt; Archiduquesas residen hace algunos días en el palacio de Schoenbrunn para disfrutar de ia primavera, y recibir aili al Em perador. El duque Fernando de Wurtemberg, hermano del Rey de Wurtemberg, ha hecho dimisión del gobierno militar y civil de la Gallitzia , y ha sido nom brado gobernador de Viena y de las dos Austrias. Se dice que ia Archiduquesa Beatriz, madre de la difunta Emperatriz,ha renunciado a su proyecto de…</t>
  </si>
  <si>
    <t>Xeon</t>
  </si>
  <si>
    <t>8 . . i fin virtud de providencia deí Sr. D. Xeon de la Cámara Cario; del Consejo de S. M., teniente corregidor de esta villa, se cita para junta general que ha de cele brarse en su posada el dia 2 1 del corriente á las nueve de la mañana á todos los acreedores de Miguel Casado, difunto, vecino que fue del l…</t>
  </si>
  <si>
    <t>Xfmenez, Lorenzo</t>
  </si>
  <si>
    <t>Lorenzo Xfmenez</t>
  </si>
  <si>
    <t>…llante y opulento de uno de los puntos m^s interesantes de la monarquía.” El mismo comisionado pasó en seguida á felicitar cori igual motivo al Se renísimo Sr. Infante I&gt;. Carlos. D. Lorenzo Xfmenez, brigadier de los Reales egércitos, capitán de Rea les Guardias Españolas, y D. Josef Aznarez, fiscal del juzgado privilegiado de las tropas dé Casa Real, se presentaron en la tarde del 19 del pasado en audiencia de S. M. á felicitarle por Su efectuado enlace…</t>
  </si>
  <si>
    <t>Xi, Ramón García</t>
  </si>
  <si>
    <t>Ramón García Xi</t>
  </si>
  <si>
    <t>…, se acordó entre otras cosas que para liquidar los cred tos de todos y cada uno de los interesados en ellos presenten los Jo jumentos justificativos en el citado mes en cn-ei del Sr. D. Ramón García Xi netiez, uno de los síndicos nombrados, que vive en la calle de las Tabernillas, ca^a níínv 9, con apercibimiento que de no hacerlo les parará el perjuicio que haya lugar; y se ha señalado para nueva junta el domingo ió de Junio próximo en la posad 1 de dicho…</t>
  </si>
  <si>
    <t>Ximcno, Joaquín Almazan y</t>
  </si>
  <si>
    <t>Joaquín Almazan y Ximcno</t>
  </si>
  <si>
    <t>…mis ino, á 5 rs.“Nuestra Señora del Rosario, grabada por el misino , á 5 rs.“Nuestra Señora de Atocha, grabada por el mismo, á 5 rs. (Se continuará.') En virtud de providencia del Sr. D. Joaquín Almazan y Ximcno, del Consejo de S. M., teniente corregidor de esta villa ,dada por la escribanía del número al car go de D. Cristóbal' de Vicuña, se cita, llama y emplaza a D. RaLel Ignacio Fantoni, D. Eusebio Domingo de Urquíio, D. J &lt; se f Vidal y Garri ga, D. Francisco Ar…</t>
  </si>
  <si>
    <t>Ximena</t>
  </si>
  <si>
    <t>…r. Rey Don Ramiro el 111. 4.a La Sra. Reina Dona Elvira, esposa del Sr Rey’ D. B.rmudo el 11. ^.a La Sra. Reina Doña Elvira, e'poi^a del Sr Rey D. Alonso el v. 6.a La Sra. R ¿riña Doña Ximena , espo*adel Sr. Re) D. Bermudo el im. 7. a La Sra. Reina Doña Sancha, esposa del Emperador D. Fcrnardo el 1. 8. a La Sra. Reina Doña Urraca, hija del Emperador D. Fernando el 1, Rei na de Zamora y de mitad del infantado de León. 9.a La Sra. Reirá Doña Elvira,…</t>
  </si>
  <si>
    <t>Ximenez, Antonio de Ramos y</t>
  </si>
  <si>
    <t>Antonio de Ramos y Ximenez</t>
  </si>
  <si>
    <t>…colegio de escribanos 1500. D. Juan Xerez Palomo 40. D. Ber nabé Notario 160 D. Juan Xerez y Montes 40. D. Francisco Carrillo del Valle, administrador general ,2411 rs. y 26 mrs. D. Antonio de Ramos y Ximenez 200 rs. D. Francisco Rafael González 60. Catalina Prados 6. D. Juan Cantarero 60. D. Joaquín Obrero 400. D. Diego Bernia 100. D. Pedro Herrera 200. D. Antonio Velasco ioo. D. Manuel Estaquero 120. D. Ra fael Salinero, presbítero, 60. Doña Rosalía de Negrete 2…</t>
  </si>
  <si>
    <t>Ximenez, Catalina</t>
  </si>
  <si>
    <t>Catalina Ximenez</t>
  </si>
  <si>
    <t>…drid, calle de Postas, ó en la misma villa de Mojados con D. Lo renzo Valdés, escribano de ella. Un vecino de la ciudad de Guayaquil, en el Perú, solicita saber si viven en España Doña Catalina Ximenez y Doña Rosa Vizcaína, para comunicarles un asunto que les interesa, de que las instruirá D. Ventura de Imana, vecino y del comercio de Cádiz, que vive calle del Husillo alto, casa núm. 56. Cualquiera persona que supiese el paradero ó existencia de los señores Escuza, hermanos y c…</t>
  </si>
  <si>
    <t>Ximenez, Manuel</t>
  </si>
  <si>
    <t>Manuel Ximenez</t>
  </si>
  <si>
    <t>…s , grado de teniente coronel: á D. Joaquín Cornijo , teniente de cazado res de Barbastro, empleo de capitán efectivo : á D. Gregorio Valiente, tenien te de cazadores de Castilla, D. Manuel Ximenez, ídem de Barbastro , Don Francisco Ronquillo, idein de Reales Minadores, D. Antonio Van-Halen, ayudante del regimiento del Rey, D. Agustín Corcuera, teniente del de León , y D. Juan Pinto, ídem de Reales Zapadores, el grado de capitán: á D. Francisco Saín z,…</t>
  </si>
  <si>
    <t>Ximenez, Rodrigo</t>
  </si>
  <si>
    <t>Rodrigo Ximenez</t>
  </si>
  <si>
    <t>s * D. Rodrigo Ximenez, Sto. Tomas de VilLinueva, Diego García de Paredes, y Fran cisco Pizarro. “Cuaderno i 2 : Josef Ribera , Pablo de Céspedes , D. Die o Velazquez de Silva, Alonso Cano, Bartolomé de Murólo, y Juan de Herrera. “Cua derno 13: D. Iñigo López de Mendoza, Juan Gines…</t>
  </si>
  <si>
    <t>Ximenez, Vicente</t>
  </si>
  <si>
    <t>Vicente Ximenez</t>
  </si>
  <si>
    <t>…anuel García 46. D. Francisco Meneses 4. D. Manuel Castellano 22. D. Antonio Salceda 10. D. Félix Mcdinilla 6. D. Manuel Parra 69. D. Juan Martin Parra 4. D. Francisco Carrasco 2. D. Vicente Ximenez 6. Josef Alcaide 8. Miguel Palacios 8. Antonio Garrigos 2. Marga rita Martin 20. Pueblos. Navas del Marques 1500 rs. Arévalo 3100. Cabreros 1937 rs* y 20 mrs. La tierra de la provincia , que entregaron sus procuradores, 2© rs* Cespedosa 80. Navalperal de Tonr…</t>
  </si>
  <si>
    <t>Ximeno, Joaquín Aimazan y</t>
  </si>
  <si>
    <t>Joaquín Aimazan y Ximeno</t>
  </si>
  <si>
    <t>…a, y auxiliado or el corregidor que antes era el auditor , también honorario de egército, el ¡c. D. ’Josef Reigada con su ayuntamiento. £ : ¿' i i 3. En virtud de. providencié del Sr. D. Joaquín Aimazan y Ximeno, del consejo de S. JVÍ., tjeniepts de corregidor de esta vi lia .? ¡ dada por la escribanía de número que está ai cargo dé-D. Cristóhal/de.Viquña, á solicitud de la compradora de una casa, sita éri la cálle de Cantarranasnúm. 15, manz. 228 , se cita y emplaza…</t>
  </si>
  <si>
    <t>Ximeno, Joaquín Almazan y</t>
  </si>
  <si>
    <t>Joaquín Almazan y Ximeno</t>
  </si>
  <si>
    <t>…avisando al propio tiempo que está señalado para otra junta general el día 22 del próximo mes de Abril á las nue ve de la mañana en la posada de S. S. A virtud de providencia del Sr. D. Joaquín Almazan y Ximeno, del consejo de S. M., y teniente corregidor en la misma , dada por la escribanía de número de D. Cristóbal de Vicuña, se cita y emplaza á D. Josef Colosa y D. Juan Rovira y Farinosa, tenedores de dos vales Reales de 300 pesos, de Enero, señalados con los núm…</t>
  </si>
  <si>
    <t>…pesos de 1° de Mayo de 1808, y pasado dicho término sin haberlo egecutado, le parará el perjuicio que haya lugar, y se procederá á lo que corresponda. En virtud de providencia del Sr. D. Joaquín Almazan y Ximeno, del consejo de S. M., y teniente corregidor de esta villa de Madrid, dada por la escribanía riel número de D. Cristóbal de Vicuña, se saca á pública subasta un gabinete de histo ria y meneralogia, perteneciente á los herederos de D. JosefClavijo Fajardo, al…</t>
  </si>
  <si>
    <t>…debiéndose de celebrarla para el dia 22 de Abril, se anun cia para noticia de los compradores y vendedores de toda clase de géneros, efectos y ganados. A virtud de providencia del Sr. D. Joaquín Almazan y Ximeno, del consejo de S. M., y teniente de corregidor de esta capital, dada por la escribanía del número de D. Cristóbal de Vicuña, se cita, llama y emplaza á D. Mariano Lanals, D. Be nito Capó y Paigsener, D. Pedro Antonio Canabes, apoderado del Dr. D. Pedro Anton…</t>
  </si>
  <si>
    <t>Xímeno, Joaquín Almazan y</t>
  </si>
  <si>
    <t>Joaquín Almazan y Xímeno</t>
  </si>
  <si>
    <t>TT°4 Ei Sr. D. Joaquín Almazan y Xímeno, del Consejo de S. M., teniente corre* gidor de esta villa, ha tenido á bien señalar para junta general de acreedores á lo* bienes de D. Francisco Toledo, ausente* del comercio de esta c.orte* ei domingo ay de! actual á las nueve de Ja mañana en la posada de…</t>
  </si>
  <si>
    <t>…ales, tasadas en la cantidad de 16036 reales 22 mrs., y rematadas en la de 22030 en metálico y lo que importe el Real dere cho de alcabala. Quien quisiere hacer puja acuda ante el Sr. D. Joaquín Almazan y Ximeno, del Consejo de S. AL, teniente corregidor de esta villa, por la escribanía de su número que egerce D. Pascual Seco, dentro de 10 dias, por cuyo término las ha mandado publicar el Real y supremo Consejo de Castilla, que se admitirán las que sé hicieren á toda…</t>
  </si>
  <si>
    <t>Xímeno, Joaquín Atenazan y</t>
  </si>
  <si>
    <t>Joaquín Atenazan y Xímeno</t>
  </si>
  <si>
    <t>…rvicio, y libre de toda carga. Quien quisiere hacer postura á ella acuda por dicha escribanía, que se admitirán las que se hicieren siendo arregladas. En virtud de providencia del Sr. D. Joaquín Atenazan y Xímeno, del consejo de S. M., teniente de corregidor de esta villa, dada por la escribanía del número que está ai cargo de D. Cristóbal de Vicuña, á solicitud de la compradora de una casa, sita en la calle de Cantaranas, nú ni. 15 , manz. a 18, te cita y emplaza por…</t>
  </si>
  <si>
    <t>Ximeno, Joaquín de Almazan y</t>
  </si>
  <si>
    <t>Joaquín de Almazan y Ximeno</t>
  </si>
  <si>
    <t>…special de 20del mes próximo pasa do, se ha dignado conceder el gobierno militar y político de la plaza deAlriiería a] coronel de infantería D. Carmen Cerveto. Por providencia del Sr. D. Joaquín de Almazan y Ximeno, del consejo de S. M., oidor honorario de la Real chancillería de Valladolid , teniente de corregi dor de esta villa de Madrid, refrendada del escribano del número-D. Juan Antonio de Urraza , se cita, llama y emplaza á D. Josef de Sand^Juce , D. Pedro Antonio…</t>
  </si>
  <si>
    <t>…o, cuarto principal; lo que se hace saber á dichos acreedores para que concurran á ella: entendidos que de no concurrir les parará el perjuicio que haya lugar.Por la audiencia del Sr. D. Joaquín de Almazan y Ximeno, del consejo de S. M., teniente corregidor de esta villa, y escribanía del número del Sr. D. Casi miro Antonio Gómez, del consejo de S. M., su secretario, se están siguiendo autos por parte de la congregación de presbíteros de S. Felipe Neri de la ciudad de A…</t>
  </si>
  <si>
    <t>…glo xvi, copiados de los originales del Tícíanó, y grabádos ^of'Don J»sef Camarón, iluminados á 20 rs. cada uno.Idem sin iluminar, á 6 rs. (ó&gt; continuará.) . . Por providencia del Sr. D. Joaquín de Almazan y Ximeno, del Consejo de S. M., teniente de corregidor de esta heroica villa, dictada en. 13 del pasado, se cita, llama y emplaza á las personas que se consideren con derecho i la herencia de los bienes, caudal y efectos que han quedado por la muerte intestada acaecid…</t>
  </si>
  <si>
    <t>Ximeno, Joaquin de Almazan y</t>
  </si>
  <si>
    <t>Joaquin de Almazan y Ximeno</t>
  </si>
  <si>
    <t>…yan presentado, para que acudan á deducirlo dentro de 15 dias primeros siguientes al de la publicación de este anuncio, que por segundo término se Ies asig nan , en el juzgado del Sr. D. Joaquin de Almazan y Ximeno , del Consejo de S. M., teniente corregidor de esta villa, y por la escribanía del número de D. Martin Santin y Vázquez, donde se halla radicada dicha testamentaría; prevenidos que de no hacerlo les parará el perjuicio que haya lugar. D. Tomas, Doña Columba y…</t>
  </si>
  <si>
    <t>Ximeno, Joaquín-de Almazan y</t>
  </si>
  <si>
    <t>Joaquín-de Almazan y Ximeno</t>
  </si>
  <si>
    <t>…jo el mismo método; siguiendo este en adelan te con los que sucesivamente se vayan publicando en fin de cada año. Se hallará en el despacho de la imprenta Real. Por el juzgado del Sr. D. Joaquín-de Almazan y Ximeno , del consejo de S. M., teniente corregidor de esta villa, y escribanía del número del Sr. D. Casimi ro Antonio Gómez, del consejo de S. M., su secretario, se siguen autos por parte de D. Josef de Villegas, vecino y del comercio de la ciudad de la Coruña, com…</t>
  </si>
  <si>
    <t>Ximeno, Vicente</t>
  </si>
  <si>
    <t>Vicente Ximeno</t>
  </si>
  <si>
    <t>…das de S. Felipe. En el almacén de estampas de la calle Mayor, frente á la casa del conde de Ofiate, se vende la estampa nueva de S. Joaquín, padre de nuestra Señora, dibujada por D. Vicente Ximeno, y grabada en cuartilla de marca mayor por D. Luis Noseret: juntamente hay 24 mas de igual tamaño de los santos y santas de mayor de voción, á 3 rs. cada una en negro y á 10 iluminadas. Se rende las Cenas de Pavón del tamaño de la de Morguen y la de Reinaldi,…</t>
  </si>
  <si>
    <t>…as librerías de Castillo, frente ¿ las gradas de $a» Felipe , y de Barco, carrera de S. Gerónimo. , Retrato de la Reina nuestra Seño a Doña María Isabel db Bracanza, di bujada por D. Vicente Ximeno, y grabada en cuartilla regular por D. Luis Noseret. Se vende en el almacén de estampas de la calle Major, frente á la casa del . conde de Olíate, á 3 rs. «o negro y á 6 iluminado: puede ir en carta. EN LA IMPRENTA REAL.</t>
  </si>
  <si>
    <t>…la del cargo de D. Manuel Eugenio Sánchez de Escariche. Retrato de la Reina nuestra Señora y su augusta Hermana Doña María Fran cisca dé Braganza, Infanta de España, dibujadas por D. Vicente Ximeno, y graba das en cuartilla regular por D. Luis Noseret. Se venden en el almacén de estampas de la calle Mayor, frente á la casa del conde de Oñate, á 3 rs. cada una en negro y á 6 rs. iluminadas: son de un mismo tamaño, y pueden ir en carta. EN LA IMPRENTA REA…</t>
  </si>
  <si>
    <t>Xinieno, Joaquín de Almazan y</t>
  </si>
  <si>
    <t>Joaquín de Almazan y Xinieno</t>
  </si>
  <si>
    <t>…or D. Bartolomé Vázquez, cada uno a 80. — Stc. Tor:Ln&gt; Mogrovcjo, del original de Sebastian Cosca, graba da por Pabio Pii ija, á n. ( Se ccnsintMr.^ ) En virtud de providencia del Sr. D. Joaquín de Almazan y Xinieno, del Con*</t>
  </si>
  <si>
    <t>Yagiie, Josef Joaquín</t>
  </si>
  <si>
    <t>Josef Joaquín Yagiie</t>
  </si>
  <si>
    <t>…D. Pedro Diez Canseco: para la vara de alcalde mayor de Roa á D. Do mingo Fuentenebro : para la de Potes á D. Mariano Muñoz Gómez Henriquez: para la de Cervera del Rio Pisuerga á D. Josef Joaquín Yagiie: para la de Mairena de Alcor á D. Miguel Gordo: para la de Villadiego á D. Ca simiro de la Piedra y Urrutia.: para la de Morata á D. Antonio Evaristo de Haro: para la de Granadilla á D. Feliciano Centeno: para la de Villagarcía á D. Josef Martínez Sarabia: pa…</t>
  </si>
  <si>
    <t>Yangiie, Francisco</t>
  </si>
  <si>
    <t>Francisco Yangiie</t>
  </si>
  <si>
    <t>…D. Sebastian-de la*- Peñas y D. Sebastian de Iglesias el alguacil mayar D. Tomas Aibarran , el escribano D~ Pedro J3Iazquez. Tova l, el visitador D. Gerónimo Salgado, el escribana D. Francisco Yangiie j3ecerril&gt; los alcaldes que fueron del Espinar D. Juan</t>
  </si>
  <si>
    <t>Yanguas, Josef Ranz de</t>
  </si>
  <si>
    <t>Josef Ranz de Yanguas</t>
  </si>
  <si>
    <t>…ir á besar sus Reales manos á una diputación de la villa de‘Linares, del reino de Jaén , compuesta de su corregidor el Dr. D. Josef Julián de Ortega &gt; y de’los regidores perpetuos D. Josef Ranz de Yanguas, D. Gregorio de Toaar y D. Manuel García de los Ríos , que en nombre de los vecinos de aquella villa que representaban prestaron á S. M. y A. R. los debidos homenages de respeto y fidelidad; y poco después admitieron igualmente á su presencia al limo. Sr. D.…</t>
  </si>
  <si>
    <t>Yela, Antonio María de Bustío y</t>
  </si>
  <si>
    <t>Antonio María de Bustío y Yela</t>
  </si>
  <si>
    <t>…ción, y dirigiéndose todos á casa de la nueva maestra para hacer la entrega de dichas niñas, principió el secretario leyendo la lis ta de estas; y después el diputado eclesiástico D. Antonio María de Bustío y Yela, pronunció un breve pero enérgico discurso que para el intento tenia dispuesto; en el que después de haber manifestado á sus benéficos com pañeros, cuan doloroso les había sido ver diseminadas por el barrio aquellas</t>
  </si>
  <si>
    <t>Yermolow</t>
  </si>
  <si>
    <t>Núm. 94.. [f cuartos.] 813 GACETA DE MADRID DEL MARTES 30 DE JULIO DE 1816. , RUSIA. Pettrsburgo 10 de Junio, - El teniente general Yermolow acaba de ser nombrado comandante del egército de Grosinia en lugar del general 4c infantería RtischtscheW. Al mis&lt;mo tiempo se le ha conferido el mando- de la administración civil, tanto de Grustnia como de los gobiernos de Astracán y del Cáucaso. Idem 12. An…</t>
  </si>
  <si>
    <t>Yoldi, Ildefonso</t>
  </si>
  <si>
    <t>Ildefonso Yoldi</t>
  </si>
  <si>
    <t>…f Oiozaga, D. Francisco Gascón, D. Tomas Ciscar, D. Francisco Ristori y D. Santiago Soroa. A alféreces de Navio los de Fragata D. Luis Romero, D. Josef Sevilla, D. Félix Martínez, D. Ildefonso Yoldi, D. Josef del Solar, D. Juan de Lerena, D. Pedro Teruel, D. Ber nardo Roca, D. Luis Roca, D. Manuel de Llanos, D. Juan Cervino y Don Miguel del Solar. jEn el cuerpo de Ingenieros. Para el grado de ingenieros en gefe al en segundo D, Vicente Manterola y D. Joa…</t>
  </si>
  <si>
    <t>Yolis, Manuel</t>
  </si>
  <si>
    <t>Manuel Yolis</t>
  </si>
  <si>
    <t>…iaga uno: D. Juan Bros dos: D. Manuel Chicarro ocho reales: D. Benito Hermosino dos pares de zapatos: D. Ignacio Lorenzana dos. D. Manuel Mercadillo uno: D. Ma nuel Rodríguez uno: D. Manuel Yolis dos: D. Bernardino 1 erremos uno: D. Valentín Bustamante dos: D. Joaquín Suarez uno: D Juan de Dios dos: D. Bernardo Bustamante uno: D. Donato Cañas dos: la viuda de Chicarro uno. Total 305 pares de zapatos y 30 rs. En el primer corteo de la lotería de vales…</t>
  </si>
  <si>
    <t>Young</t>
  </si>
  <si>
    <t>…. 68. [ &gt; cuartos.] 557 GACETA DE MADRID DEL JUEVES 30 DE MAYO DE 1816. - -'■■■-■■ I mmrnBmmmrmmmSKmmMmmtmXimáMa i, ■ m I ■■ ESTADOS-UNIDOS DE AMERICA, Ntteva-Y rck 4 de Abril. El capitán Young llegó á Providencia el 22 de Marzo con la noticia de e&amp;tar destruido el establecimiento filantrópico de Sierra-Leona Parece que un egército de neg'os del interior, auxiliado de los soldados también negros que estaban al servicio de Inglaterra, se apoderó de d…</t>
  </si>
  <si>
    <t>…avio e! Alcestes, á cuyo bordo va lord Amherst, llegó á Java, y se disponía á seguir su víase á la China. Los periódicos de Baltimore anuncian que la goleta Manlio, mandada por el capitán Young, que había llegado á aquel puerto el 11 de Setiembre, hiz &gt; un vinge á Petersburgo, desembarcó su cargamento, tomó oro, y vol vió á Baltimore en el espacio de tres me'-es y siete dias. Si se rebaja el tiempo que tardó en cargar y descargar, resulta que ha ido…</t>
  </si>
  <si>
    <t>Yupanguí, Manuel de Inca</t>
  </si>
  <si>
    <t>Manuel de Inca Yupanguí</t>
  </si>
  <si>
    <t>…con aplauso general. ■e Granada 8 de Setiembre. La junta de donativos de esta capital y su provincia, creada á consecuen cia de Real decreto de 2 de Julio anterior, y compuesta de D. Manuel de Inca Yupanguí, intendente; el marques de Casa Villareat, caballero veinti cuatro del Excmo. ayuntamiento; D. Juan de Haro y Figueredo, individuo del Real cuerpo de maestranza; el Lie. D. Francisco de la Blanca y Calvo, del ilustre colegio de abogados; D. Gaspar Benet, y D.…</t>
  </si>
  <si>
    <t>Za, D Joaquín Ortiz de</t>
  </si>
  <si>
    <t>D Joaquín Ortiz de Za</t>
  </si>
  <si>
    <t>…la escasa fuerza del regimiento que h&lt;tbia de representar otra mucho mayor, se destinó á la defensa la parre conveniente de ella bajo ias órdenes del teniente coronel graduado de coronel D Joaquín Ortiz de Za rate, quedando el grueso para el ataque al cargo del coronel del mismo re gimiento L). Ramón de la Rocha. Distribuyóse la fuerza de esfa llamada di visión en dos brigadas, al inundo la primera del coronel D.Quintín Vi lasco, y la segunda fiel teniente coronel…</t>
  </si>
  <si>
    <t>Zagonero, Joaquín</t>
  </si>
  <si>
    <t>Joaquín Zagonero</t>
  </si>
  <si>
    <t>…efonso Castejon 24. D. l omas Landias 20. D. Vicente Evaristo Blasco 20. D. Gaspar Arribas 24. D. Damian González de Salazar 160. El beneficiado de S. Vicente 4^0. Pedro Seguir 6. D. Joaquín Zagonero 20. D. Francisco Villegas 2. D Josef Pavat 23. El R. P. general de Gerónimos 46 La co munidad del Carmen calzado 40. La de padres Preinostratenses 80. D. Ra món Moreda 23. D. Félix Arguello 40. D. Sebastian Hernández 70. D Jo sef Broche ro 8. D. Josef Uaabal…</t>
  </si>
  <si>
    <t>Zahonero, Sebastian</t>
  </si>
  <si>
    <t>Sebastian Zahonero</t>
  </si>
  <si>
    <t>…D. Pedro Pacheco 20. D. Fernando Prieto 24. D. Juan Ballesteros 20. Don Ruperto Molinero 16. D Josef Brochero 40. D Manuel Palomares 30. Don Pabio Aviles 23 D. Joaquín Delgado 69. D. Sebastian Zahonero 60. D. Pe dro Espina 11 5. D. Manuel García 46. D. Francisco Meneses 4. D. Manuel Castellano 22. D. Antonio Salceda 10. D. Félix Mcdinilla 6. D. Manuel Parra 69. D. Juan Martin Parra 4. D. Francisco Carrasco 2. D. Vicente Ximenez 6. Josef Alcaide 8. Miguel Pa…</t>
  </si>
  <si>
    <t>Zaldivar, Martin de</t>
  </si>
  <si>
    <t>Martin de Zaldivar</t>
  </si>
  <si>
    <t>…os años. Madrid 20 de Febrero de 1816.’* Habiéndose dignado S. M. Cristianísima condecorar con la flor de Lis, en virtud de su adhesión y fidelidad á la augusta casa de Borbon , á D. Martin de Zaldivar , capitán de Reales guardias Walonas, ha tenido á bien el Rey* nuestro Señor concederle el uso de esta condecoración. En virtud de la adhesión y fidelidad del coronel y segundo comandante de milicias urbanas de Tarifa D. Bartolomé Nuñez y Quintanilla se sirvi…</t>
  </si>
  <si>
    <t>…conde de Fuentes , D. Genaro de Perellós y Palafox, conde de Revillagigedo, marques de Albaida, conde de Casaflores, y marques de Barbará. Gentileshombres de cdmara con entrada Al Sr. D. Martin de Zaldivar, D. Juan Alonso Espino, conde de Calatrava, marques de Casa-boca , y marques de Corpas. Mayordomos de semana Al barón de Carondelet, al conde de Casa-Rojas, á D. Antonio de Agüe ra y Mollinedo , D. Gaspar María Soler y Arcayo, y D. Josef Bruno Mag dalena. Ayu…</t>
  </si>
  <si>
    <t>Zaldivia, Josef Antonio</t>
  </si>
  <si>
    <t>Josef Antonio Zaldivia</t>
  </si>
  <si>
    <t>…México, vacante por trasla ción á la de Goatemala de D. Juan Ramón de Oses, á D. Josef Ignacio de Berrazuera ; la fhcalía del crimen de la audiencia de Cuba, por fallecimien to de D. Josef Antonio Zaldivia, á D. Josef Mariano García Valero: la fis calía de! crimen de la Real audiencia de Manila á D. Pedro Antonio García de Agui’a é Icaza; y la de lo civil de la propia audiencia á D. Ramón de Pomar é Hidalgo. El Rey nuestra Señor ha tenido á bien nombrar coronel…</t>
  </si>
  <si>
    <t>Zalle, Vicente</t>
  </si>
  <si>
    <t>Vicente Zalle</t>
  </si>
  <si>
    <t>…Peí u ¡che, espartero; Ramón Soler, guarnicionero; Francisco Rojas, batidor de oro: todos, percibieron las mismas cantidades y en ;la$ mismas épocas que los anteriores. Barquillo, D. Vicente Zalle, confitero; D. Francisco Agudo, cirujano; D. Loren zo San Martin, librero y estampador; Pedro Toro, carretero; Juan Pomar y Leonardo Escudero, pasamaneros: todos percibieron las mismas cantidades y en las propias épocas que los anteriores, excepto el cirujano…</t>
  </si>
  <si>
    <t>Zamora, Gaspar Zavala y</t>
  </si>
  <si>
    <t>Gaspar Zavala y Zamora</t>
  </si>
  <si>
    <t>…udiencia de S. S. Quien quisiere hacer mejora acuda á egecutarlo ante dicho señor y escribanía de número de D. Jacobo Manuel Manrique. Dias alegres de madama Gómez, traducidos por D. Gaspar Zavala y Zamora: 8 tomos en 8.° pasta á 96 rs. — E4 Dote de Suceta: novela escrita en francés por madama de Senneterre, y traducida al castellano: un tomo en 8.° pasta á 1 2 rs--- El Heroísmo de la amistad David y Jonatas. Poema en cuatro cantos, traducido del francés: un to…</t>
  </si>
  <si>
    <t>Zamora, Mariano García de</t>
  </si>
  <si>
    <t>Mariano García de Zamora</t>
  </si>
  <si>
    <t>…rio Gisvert, beneficiado y cura propio de la parroquial de S. Lorenzo de esta ciudad, leyó nna composición poética alusiva á las circunstancias , y el vice-director de la sociedad D. Mariano García de Zamora, dignidad de arcediano de Villena en esta santa iglesia, dio las gracias al público en nombre del Real cuerpo por su asistencia á esta junta pública. El zelo y patriotismo con que varias personas residentes tanto en e&lt;ta capital como en otros pueblos de la pe…</t>
  </si>
  <si>
    <t>Zamorano, Alfonso</t>
  </si>
  <si>
    <t>Alfonso Zamorano</t>
  </si>
  <si>
    <t>…rrera, escribano de ayuntamiento, 100. D. Juan Luis Jurado 300. D. Martin de Castro 300. D. Josef de Prado 500. D. Andrés Jurado 200. D. Rafael Zamorano 200. D. Juan Zamorano 300. D. Alfonso Zamorano 300. D. Luis de Herrera 320. D. Juan López 200. D. Mateo del Prado 200. D. Sebastian de Castro Jura do 200. D. Andrés Antonio Herrera 300. D. Alfonso Jurado 100. D. Fran cisco Molina 100. D. Lorenzo Molino 100. D. Agustín Perez de la Las tra 100. Doña María J…</t>
  </si>
  <si>
    <t>Zamorano, Andrés</t>
  </si>
  <si>
    <t>Andrés Zamorano</t>
  </si>
  <si>
    <t>…a. marquesa de Benamejí 16®. El convento de religiosos de la Merced 4®___Viíiafranea----D. Mateo Coronado, alcalde mayor, 500 rs. D. Bartolomé Belmar, alcalde de primer voto, 100. D. Andrés Zamorano, alcalde de segundo voto, 400. D. Diego Ramírez, regidor síndico procura dor general, 60. Bartolomé Garijo, regidor segundo, 100. D. Sebastian Ra fael Camacho, diputado primero, 150. D. Alfonso López, diputado segun do, 50. D. Bartolomé de Castro 400. D. Juan…</t>
  </si>
  <si>
    <t>Zamorano, Catalina</t>
  </si>
  <si>
    <t>Catalina Zamorano</t>
  </si>
  <si>
    <t>…urado 100. D. Sebastian de Castro López 300. Doña Ana de Castro López 100. Juan de Murez iod. Doña María Josefa Zamorano 200. Doña Luisa Espinosa 200. D. Pedro Juan de Molina 200. Doña Catalina Zamorano 370. D. Juan Blas Zamorano 60. D. Rafael de Blancas 60. D. Andrés Ramírez Sousa .60. D, Antonio Melero 60. D. Pablo del Valle 40 Juan Pastor 80. Antonio Féiíx Ortiz 80. D. Lorenzo Gavi lán 50. Miguel Romero 50. D. Josef Carlos Oxtiz 50. Antopio Nieto 50.</t>
  </si>
  <si>
    <t>Zamorano, Isabel Gerónima</t>
  </si>
  <si>
    <t>Isabel Gerónima Zamorano</t>
  </si>
  <si>
    <t>…lina de la Ri ca 50 Doña Mariana Aillon óo. Doña María de Castro 60- Juan de Cam pos Ruiz 40. D. Francisco Bejar 40. Josef Beímar 40. Sebastian Moreno 40. Juan Espinosa Tellez 50* Doña Isabel Gerónima Zamorano 100. D. Anto nio Ortiz Calvento 50. D. Pedro Josef Zamorano 160. Pedro Alfonso Clavijo i®. Doña Ana Sánchez 1®. Juan Caballero y su hijo 60. Doña Marina Rita Zamorano 150. D. Benito Molina 100-----La villa de Cañete las Tor res 5366. £1 convento de carmelitas…</t>
  </si>
  <si>
    <t>Zamorano, Juan</t>
  </si>
  <si>
    <t>Juan Zamorano</t>
  </si>
  <si>
    <t>…o 400. D. Juan Blas Herrera, escribano de ayuntamiento, 100. D. Juan Luis Jurado 300. D. Martin de Castro 300. D. Josef de Prado 500. D. Andrés Jurado 200. D. Rafael Zamorano 200. D. Juan Zamorano 300. D. Alfonso Zamorano 300. D. Luis de Herrera 320. D. Juan López 200. D. Mateo del Prado 200. D. Sebastian de Castro Jura do 200. D. Andrés Antonio Herrera 300. D. Alfonso Jurado 100. D. Fran cisco Molina 100. D. Lorenzo Molino 100. D. Agustín Perez de la…</t>
  </si>
  <si>
    <t>Zamorano, Juan Blas</t>
  </si>
  <si>
    <t>Juan Blas Zamorano</t>
  </si>
  <si>
    <t>…astro López 300. Doña Ana de Castro López 100. Juan de Murez iod. Doña María Josefa Zamorano 200. Doña Luisa Espinosa 200. D. Pedro Juan de Molina 200. Doña Catalina Zamorano 370. D. Juan Blas Zamorano 60. D. Rafael de Blancas 60. D. Andrés Ramírez Sousa .60. D, Antonio Melero 60. D. Pablo del Valle 40 Juan Pastor 80. Antonio Féiíx Ortiz 80. D. Lorenzo Gavi lán 50. Miguel Romero 50. D. Josef Carlos Oxtiz 50. Antopio Nieto 50.</t>
  </si>
  <si>
    <t>Zamorano, María Josefa</t>
  </si>
  <si>
    <t>María Josefa Zamorano</t>
  </si>
  <si>
    <t>…na 100. D. Lorenzo Molino 100. D. Agustín Perez de la Las tra 100. Doña María Josefa Jurado 100. D. Sebastian de Castro López 300. Doña Ana de Castro López 100. Juan de Murez iod. Doña María Josefa Zamorano 200. Doña Luisa Espinosa 200. D. Pedro Juan de Molina 200. Doña Catalina Zamorano 370. D. Juan Blas Zamorano 60. D. Rafael de Blancas 60. D. Andrés Ramírez Sousa .60. D, Antonio Melero 60. D. Pablo del Valle 40 Juan Pastor 80. Antonio Féiíx Ortiz 80. D. Loren…</t>
  </si>
  <si>
    <t>Zamorano, Marina Rita</t>
  </si>
  <si>
    <t>Marina Rita Zamorano</t>
  </si>
  <si>
    <t>…llez 50* Doña Isabel Gerónima Zamorano 100. D. Anto nio Ortiz Calvento 50. D. Pedro Josef Zamorano 160. Pedro Alfonso Clavijo i®. Doña Ana Sánchez 1®. Juan Caballero y su hijo 60. Doña Marina Rita Zamorano 150. D. Benito Molina 100-----La villa de Cañete las Tor res 5366. £1 convento de carmelitas calzados de Castro el Rio 3®. El de dominicos de Baena 1®. Ei convento de religiosas de S. Martin de Cabra 2®. El de religiosos de la Concepción de ídem 2®. El de rel…</t>
  </si>
  <si>
    <t>Zamorano, Miguel</t>
  </si>
  <si>
    <t>Miguel Zamorano</t>
  </si>
  <si>
    <t>…sta de su alcalde mayor D. Mateo Coro nado y Blanco, de los regidores D. Gabriel de Vega y D. Blas Herrera, del vicario eclesiástico D. Joaquín Rafael Gaitan, y de los presbíteros Don Miguel Zamorano y D. Antonio Sanz Pastor; y otra de la ciudad de Jaén representada por su corregidor D. Rafael Ainat, los cuales repitieron áS.M* y A. R. las mismas expresiones de respeto, amor y sumisión. Al dia siguiente habiéndose detenido S. M. y A. R. en la mis'ma, ciudad, se dignaron admitir t…</t>
  </si>
  <si>
    <t>Zamorano, Pedro Josef</t>
  </si>
  <si>
    <t>Pedro Josef Zamorano</t>
  </si>
  <si>
    <t>…0- Juan de Cam pos Ruiz 40. D. Francisco Bejar 40. Josef Beímar 40. Sebastian Moreno 40. Juan Espinosa Tellez 50* Doña Isabel Gerónima Zamorano 100. D. Anto nio Ortiz Calvento 50. D. Pedro Josef Zamorano 160. Pedro Alfonso Clavijo i®. Doña Ana Sánchez 1®. Juan Caballero y su hijo 60. Doña Marina Rita Zamorano 150. D. Benito Molina 100-----La villa de Cañete las Tor res 5366. £1 convento de carmelitas calzados de Castro el Rio 3®. El de dominicos de Baena 1®.…</t>
  </si>
  <si>
    <t>Zamorano, Rafael</t>
  </si>
  <si>
    <t>Rafael Zamorano</t>
  </si>
  <si>
    <t>…0. D. Bartolomé de Castro 400. D. Juan Blas Herrera, escribano de ayuntamiento, 100. D. Juan Luis Jurado 300. D. Martin de Castro 300. D. Josef de Prado 500. D. Andrés Jurado 200. D. Rafael Zamorano 200. D. Juan Zamorano 300. D. Alfonso Zamorano 300. D. Luis de Herrera 320. D. Juan López 200. D. Mateo del Prado 200. D. Sebastian de Castro Jura do 200. D. Andrés Antonio Herrera 300. D. Alfonso Jurado 100. D. Fran cisco Molina 100. D. Lorenzo Molino 100. D…</t>
  </si>
  <si>
    <t>Zaragoza, Manuel</t>
  </si>
  <si>
    <t>Manuel Zaragoza</t>
  </si>
  <si>
    <t>…idad, son los alféreces de na vio D. Manuel Mieres y D. Ramón Londoño, los de fragata D. Estéban Croquer, D. Antonio Tiscar, D. Joaquín Mozo, D. Juan de Arcos, Don Antonio Sotelo, D. Manuel Zaragoza y D. Felipe Roldan, y los guardias marinas D. Antonio Urzais y D. Juan Mesías. No me detendré en explicar la clase de méritos que han contraído , ni la recompensa que merecen sino me tomaré la libertad de recordar á V. E. que tal vez en los tiempos mo dernos es la primera ocasi…</t>
  </si>
  <si>
    <t>…29 de Mayo del año pasado de 1815 , D.-E legarlo, de los Cuetos, D. Josef Quesada , D. Esteban Croquer, D. Antonio Tiscar, D. Joaquín Mozo, D. Juan de Arcos , D. Antonio Sotelo , D. Manuel Zaragoza , D. Felipe Roldan , Don Antonio Urzais y D. Juan Mesías: el de alféreces de fragata á los guardias marinas D. Juan Mozo, D. Segundo Díaz Herrera, D. Victoriano López Llanos, D. Josef Salcedo, D. Francisco Osorio , D. Manuel Ibarra, D. Ma nuel Ortiz Canelas y…</t>
  </si>
  <si>
    <t>Zarain, Tomas de</t>
  </si>
  <si>
    <t>Tomas de Zarain</t>
  </si>
  <si>
    <t>…con obstinación apoderarse de aquel Real sitio: la de 9 del mismo en la re tirada que hicieron del cerco de Toledo las tropas de la quinta división del mando del mariscal de campo D. Tomas de Zarain, sostenida con una inte ligencia y firmeza que honró mucho á Zarain y á su división: la que en los vados de Añover ocurrió el mismo dia entre los regimientos de infantería de Toja y Alcalá», un destacamento del de Burgos, el regimiento de caballería</t>
  </si>
  <si>
    <t>Zavala, Josef Mariano</t>
  </si>
  <si>
    <t>Josef Mariano Zavala</t>
  </si>
  <si>
    <t>…l regimiento de Gra nada D. Fernando Gaver, el sargento mayor del regimiento de Badajoz Don Joaquín Gayón, el teniente coronel D. Luis Clouet, ei subteniente de dra gones retirado D. Josef Mariano Zavala, D. Juan Josef Echezuria, vecino de Caracas; el coronel del Real cuerpo de ingenieros D. Josef Parreño; Don Juan Antonio de Rojas Queipo, racionero de la santa iglesia de Caracas; Don Domingo de Mier y Mioño, maestrante de Sevilla; D. Ignacio Canivell, consej…</t>
  </si>
  <si>
    <t>Zemborain, Gerónimo</t>
  </si>
  <si>
    <t>Gerónimo Zemborain</t>
  </si>
  <si>
    <t>…uerte de D¡. Vicente Ramón del Vigo, á D. Matías Herrero Prieto, que lo era de la de Granada, con la an tigüedad que le corresponda: para la fiscalía de la audiencia de Canarias i D. Gerónimo Zemborain: para la plaza de alcaide mayor de la audiencia de Asturias á D. Angel Govantes Fernandez de Angulo: para la última plaza de oidor de la audiencia de Galicia á D. Manuel Losada Cadórniga: para la última plaza de alcalde dei crimen de Granada á D. Josef Ruiz C…</t>
  </si>
  <si>
    <t>Zequeira, Manuel</t>
  </si>
  <si>
    <t>Manuel Zequeira</t>
  </si>
  <si>
    <t>…em, D. Ildefonso de Sierra, teniente coronel del regimiento infantería de la Victoria , D. Rafael de Zúñiga, teniente coronel de milicias disciplina das de Sta. Marta, al teniente coronel D. Manuel Zequeira, gobernador in terino de Sra. Marta, y al de la misma clase D, Gonzalo de Aramendi , co mandante militar interino del Valle Dupar, el grado de coronel: á D. Ma nuel Carmona, capitán del regimiento infantería de la Victoria, D. Donato Ruiz de Sta. Cruz , idein…</t>
  </si>
  <si>
    <t>Zerella, Manuel de</t>
  </si>
  <si>
    <t>Manuel de Zerella</t>
  </si>
  <si>
    <t>…stinto de cuantos han salido hasta ahora, para que cualquier persona sepa arreglar sus relojes.sin necesidad de relojero, acompañado del modo de hacer una meridiana, compuesto por D. Manuel de Zerella, relojero de cáma ra de 8. M.: un cuadernito pequeño que puede ir en carta. Se hallará en la libre ría de Villareal, calle de las Carretas, á 3 rs. La Recompensa del arrepentimiento, drama en tres actos y en prosa por el Dr. D. A, M. y F&gt;., pensionado por S.…</t>
  </si>
  <si>
    <t>Zichi</t>
  </si>
  <si>
    <t>…jos debe salir el 26, y sus augus tos hijos la acompañarán ó saldrán pocos dias después. Mañana debe salir de aqui el Rey para Carlsbad, y también partirá para el mismo destino el conde Zichi, ministro de Austria ; durante cuya au sencia queda encargado de Negocios el barou de Werner, secretarlo de esta le gación , que llegó aqui hace poco. ALEMANIA. Badén 2$ de Julio. Se habla de algunas declaraciones importantes que se dicen hechas en Francfort…</t>
  </si>
  <si>
    <t>Zierbogel</t>
  </si>
  <si>
    <t>…la pérdida ha sido inmensa en muebles, vestidos y riquezas. PAIS ES-BAJOS-UNIDOS. Roterdam 2$ de Octubre. E! 17 de este mes llegó á la rada de Flesir.ga la fragata de S. M. Diana, capitán Zierbogel, procedente de Inglaterra. Este es uno de los buques que se distinguieron mas en el glorioso combate de Argel, pues colocado á corta distancia de las baterías montadas de cañones de 42, estuvo haciendo furgo hasta que npuró todas sus municiones, á cuyo tiempo…</t>
  </si>
  <si>
    <t>Zieten</t>
  </si>
  <si>
    <t>…disciplina de las tropas prusianas en Francia,que habién dose dicho que algún &gt;s regimientos iban á acantonarse, los maires de varios pueblos acudieron en nombre de sus vecinos al general Zieten á suplicarle que les conservasen unos huespedes, de cuya conducta no podían menos de hacer los mayores elogios. Hace tiempo qne se trata de formar una guardia Real, compuesta de di ferentes cuerpos de tropas de todas armas, y ahora se asegura que el plan bajo…</t>
  </si>
  <si>
    <t>Zor.il, Manuel</t>
  </si>
  <si>
    <t>Manuel Zor.il</t>
  </si>
  <si>
    <t>De orden del Sr. D. Joaquín Alma zan , del consejo de S. M., teni-nte corre gidor 'le esta villa, juez de la testamen taría de D. Manuel Zor.il;a de San Martin* qae fue del comercio de lienzos en esta corte, se llama y emplaza á los acreedores é interesados en ella, para que concurran á la junta que ha de celebrjrse en ia po sada del miamo señor el dia 26 de este mes á las ocho ante D. Juan Ra a , es…</t>
  </si>
  <si>
    <t>Zorraquin, Mariano</t>
  </si>
  <si>
    <t>Mariano Zorraquin</t>
  </si>
  <si>
    <t>…demas clases, la biblioteca, el gabinete de instrumentos, y finalmente la sala de dibujo, don de se le presentaron trabajos de toda especie, cuyo plan y estado explicó á S. M. el coronel D. Mariano Zorraquin , profesor de aquella clase. Sirviéronse á S. M. bebidas y refrescos propios de aquella hora, que se dignó aceptar con su natural bondad ; y con la misma dió á b sar su Real mano á los gefes, profesores y alumnos , manifestando con su afabilidad acos tumbrada…</t>
  </si>
  <si>
    <t>Zorrilla, Manuel Rufino García</t>
  </si>
  <si>
    <t>Manuel Rufino García Zorrilla</t>
  </si>
  <si>
    <t>…a del Ferrol ha nombrado S. M. al capitán de navio D. Joaquín Blanco Maldonado: para el corregi miento de Herrera del Rio Pisuerga á D. Eugenio María Alvarez: para el de Mayorga á D. Manuel Rufino García Zorrilla: para el de Trebujena á Don Josef Sánchez Rollan : para el de Valencia de Don Juan á D. Manuel de Quevedo y los Ríos : para el de Atienza á D. Juan Antonio Vergara: para el de Jadraque á D. Francisco García Ortiz : para el del valle de Soba-Ruesga y Villaverd…</t>
  </si>
  <si>
    <t>Zuaznavar, Josef María</t>
  </si>
  <si>
    <t>Josef María Zuaznavar</t>
  </si>
  <si>
    <t>…l referido término ante el expresado señor juez comisio nado, por la escribanía de cámara de la sala del cargo de D. Miguel Calvo García. Compendio de la historia de Canarias, por D. Josef María Zuaznavar, ministro del consejo de Navarra, é individuo de la Real academia de la Historia. Se hallará de venta, con otras obras del mismo autor concernientes á las islas Canarias , en la casa núrr. 2, cuarto segundo, calle del Olivar, esquina á la del Olmo. Varia come…</t>
  </si>
  <si>
    <t>Zúíriga, Mateo de Eezaera y</t>
  </si>
  <si>
    <t>Mateo de Eezaera y Zúíriga</t>
  </si>
  <si>
    <t>…ños que se decían hechos en montes del término del Espinar. Son interesados «eri esto los corregidores que fueron propietarios é interino de Segovia Don Antonio González Alameda, D. Mateo de Eezaera y Zúíriga y el conde de Sarrtibañez , el asesor , abogados y promotor D. Vicente Amonio de la Grandara, D. Francisco Alfonso Rodríguez, D. Sebastian-de la*- Peñas y D. Sebastian de Iglesias el alguacil mayar D. Tomas Aibarran , el escribano D~ Pedro J3Iazquez. Tova l,…</t>
  </si>
  <si>
    <t>Zuluaga, Ramón de</t>
  </si>
  <si>
    <t>Ramón de Zuluaga</t>
  </si>
  <si>
    <t>676 el coronel de los Reales egércítos y segundo teniente de Reales Guardias Es pañolas D. Ramón de Zuluaga , á nombre de la ciudad de Fuenterabía; aren gando el primero á S. M. en estos términos: „Señor : La muy noble, inuy leal, muy valerosa y muy siempre fiel ciudad de Fuenterabía, que en todos tiempos ha dado á V. M. y á sus ¿li gúeos Progenitores pruebas nada…</t>
  </si>
  <si>
    <t>Zúñiga, Luis Cirios y</t>
  </si>
  <si>
    <t>Luis Cirios y Zúñiga</t>
  </si>
  <si>
    <t>…endosos. Catecismo breve y sencillo de motivos de credibilidad cristiana, que hacen á la religión católica cierta y evidentemente creíble: obra útil á toda clase de personas, por D. Luis Cirios y Zúñiga, antes cura de Escalonilla, después de S. Luis de esta corte, y ahora canónigo de 1a santa iglesia primada de Toledo: un tomo en 8.® nnrqui!la de excelente impresión y papel. Se vende en la librería de Bailo, calle de las Carretas , á 9 rs. en rústica. Salter…</t>
  </si>
  <si>
    <t>Zúñiga, N.</t>
  </si>
  <si>
    <t>N. Zúñiga</t>
  </si>
  <si>
    <t>…uel y Leandro Salgado, nueve esclavos de la familia de Amador y uno de Pumbo, y el presbítero D. Santiago Mannet, con el vigía de la costa; y á bordo de la goleta Americana el Dr. D. N. Zúñiga. Con fecha 27 de Enero dicen de Fasto lo siguiente: De Popayan ?e ha recibido por conducto seguro una noticia exicta del estado del reino. En Chi ta, que está dos dias distante deTunja, atacó el general Calzada al insurgen te Urdaneta, quien perdió toda su ge…</t>
  </si>
  <si>
    <t>Zúñiga, Rafael de</t>
  </si>
  <si>
    <t>Rafael de Zúñiga</t>
  </si>
  <si>
    <t>…D. Manuel Barreiro", capitán de Artillería ídem , D. Juan Camacho, capitán de Ingenie ros ídem, D. Ildefonso de Sierra, teniente coronel del regimiento infantería de la Victoria , D. Rafael de Zúñiga, teniente coronel de milicias disciplina das de Sta. Marta, al teniente coronel D. Manuel Zequeira, gobernador in terino de Sra. Marta, y al de la misma clase D, Gonzalo de Aramendi , co mandante militar interino del Valle Dupar, el grado de coronel: á D. Ma…</t>
  </si>
  <si>
    <t>Zurita, Gerónimo de</t>
  </si>
  <si>
    <t>Gerónimo de Zurita</t>
  </si>
  <si>
    <t>…. Luis de Granada, Martin de Alpizcueta, Pedro Chacón, D. Bernardino de Rebolledo, y D. Luis de Góngora.= Cuaderno 6.°: D. Alonso Tostado, Luis Vives, D. Diego Hurtado de Mendoza, D. Gerónimo de Zurita, D. Diego de Saavedra Fajardo, y D. Alvaro Navia Osorio.—Cuaderno 7.0: D. Luis de Requesens, D. Bartolomé Leonardo de Argensola, D. Francisco Valles, D. Juan de Ribera, D. Juan de Palaíox y Mendoza, y el Mt ro. Fr. Luis Ponce de León. (iV continuará.') Por pr…</t>
  </si>
  <si>
    <t>Fuentes oficiales y criterio de elaboración · 1816</t>
  </si>
  <si>
    <t>161 archivos · 1359 páginas · enlaces al facsímil oficial</t>
  </si>
  <si>
    <t>Archivo</t>
  </si>
  <si>
    <t>Páginas PDF</t>
  </si>
  <si>
    <t>Registros del índice</t>
  </si>
  <si>
    <t>Facsímil completo</t>
  </si>
  <si>
    <t>GMD-1816-1.pdf</t>
  </si>
  <si>
    <t>GMD-1816-2.pdf</t>
  </si>
  <si>
    <t>GMD-1816-3.pdf</t>
  </si>
  <si>
    <t>GMD-1816-4.pdf</t>
  </si>
  <si>
    <t>GMD-1816-5.pdf</t>
  </si>
  <si>
    <t>GMD-1816-6.pdf</t>
  </si>
  <si>
    <t>GMD-1816-7.pdf</t>
  </si>
  <si>
    <t>GMD-1816-8.pdf</t>
  </si>
  <si>
    <t>GMD-1816-9.pdf</t>
  </si>
  <si>
    <t>GMD-1816-10.pdf</t>
  </si>
  <si>
    <t>GMD-1816-11.pdf</t>
  </si>
  <si>
    <t>GMD-1816-13E.pdf</t>
  </si>
  <si>
    <t>GMD-1816-14.pdf</t>
  </si>
  <si>
    <t>GMD-1816-15.pdf</t>
  </si>
  <si>
    <t>GMD-1816-16.pdf</t>
  </si>
  <si>
    <t>GMD-1816-17.pdf</t>
  </si>
  <si>
    <t>GMD-1816-18.pdf</t>
  </si>
  <si>
    <t>GMD-1816-19.pdf</t>
  </si>
  <si>
    <t>GMD-1816-20.pdf</t>
  </si>
  <si>
    <t>GMD-1816-21.pdf</t>
  </si>
  <si>
    <t>GMD-1816-22.pdf</t>
  </si>
  <si>
    <t>GMD-1816-23.pdf</t>
  </si>
  <si>
    <t>GMD-1816-24.pdf</t>
  </si>
  <si>
    <t>GMD-1816-25.pdf</t>
  </si>
  <si>
    <t>GMD-1816-26.pdf</t>
  </si>
  <si>
    <t>GMD-1816-27E.pdf</t>
  </si>
  <si>
    <t>GMD-1816-28.pdf</t>
  </si>
  <si>
    <t>GMD-1816-29.pdf</t>
  </si>
  <si>
    <t>GMD-1816-30.pdf</t>
  </si>
  <si>
    <t>GMD-1816-31.pdf</t>
  </si>
  <si>
    <t>GMD-1816-32.pdf</t>
  </si>
  <si>
    <t>GMD-1816-33.pdf</t>
  </si>
  <si>
    <t>GMD-1816-34.pdf</t>
  </si>
  <si>
    <t>GMD-1816-35.pdf</t>
  </si>
  <si>
    <t>GMD-1816-36E.pdf</t>
  </si>
  <si>
    <t>GMD-1816-37.pdf</t>
  </si>
  <si>
    <t>GMD-1816-38.pdf</t>
  </si>
  <si>
    <t>GMD-1816-39.pdf</t>
  </si>
  <si>
    <t>GMD-1816-40.pdf</t>
  </si>
  <si>
    <t>GMD-1816-41.pdf</t>
  </si>
  <si>
    <t>GMD-1816-42.pdf</t>
  </si>
  <si>
    <t>GMD-1816-43.pdf</t>
  </si>
  <si>
    <t>GMD-1816-44.pdf</t>
  </si>
  <si>
    <t>GMD-1816-45.pdf</t>
  </si>
  <si>
    <t>GMD-1816-46.pdf</t>
  </si>
  <si>
    <t>GMD-1816-47.pdf</t>
  </si>
  <si>
    <t>GMD-1816-48.pdf</t>
  </si>
  <si>
    <t>GMD-1816-49.pdf</t>
  </si>
  <si>
    <t>GMD-1816-50.pdf</t>
  </si>
  <si>
    <t>GMD-1816-51.pdf</t>
  </si>
  <si>
    <t>GMD-1816-52.pdf</t>
  </si>
  <si>
    <t>GMD-1816-53.pdf</t>
  </si>
  <si>
    <t>GMD-1816-54.pdf</t>
  </si>
  <si>
    <t>GMD-1816-55.pdf</t>
  </si>
  <si>
    <t>GMD-1816-56.pdf</t>
  </si>
  <si>
    <t>GMD-1816-57.pdf</t>
  </si>
  <si>
    <t>GMD-1816-58.pdf</t>
  </si>
  <si>
    <t>GMD-1816-59.pdf</t>
  </si>
  <si>
    <t>GMD-1816-60.pdf</t>
  </si>
  <si>
    <t>GMD-1816-61.pdf</t>
  </si>
  <si>
    <t>GMD-1816-62.pdf</t>
  </si>
  <si>
    <t>GMD-1816-63.pdf</t>
  </si>
  <si>
    <t>GMD-1816-64.pdf</t>
  </si>
  <si>
    <t>GMD-1816-65.pdf</t>
  </si>
  <si>
    <t>GMD-1816-66.pdf</t>
  </si>
  <si>
    <t>GMD-1816-67.pdf</t>
  </si>
  <si>
    <t>GMD-1816-68.pdf</t>
  </si>
  <si>
    <t>GMD-1816-69.pdf</t>
  </si>
  <si>
    <t>GMD-1816-70.pdf</t>
  </si>
  <si>
    <t>GMD-1816-71.pdf</t>
  </si>
  <si>
    <t>GMD-1816-72.pdf</t>
  </si>
  <si>
    <t>GMD-1816-73.pdf</t>
  </si>
  <si>
    <t>GMD-1816-74.pdf</t>
  </si>
  <si>
    <t>GMD-1816-75.pdf</t>
  </si>
  <si>
    <t>GMD-1816-76.pdf</t>
  </si>
  <si>
    <t>GMD-1816-77.pdf</t>
  </si>
  <si>
    <t>GMD-1816-78.pdf</t>
  </si>
  <si>
    <t>GMD-1816-79.pdf</t>
  </si>
  <si>
    <t>GMD-1816-80.pdf</t>
  </si>
  <si>
    <t>GMD-1816-81.pdf</t>
  </si>
  <si>
    <t>GMD-1816-82.pdf</t>
  </si>
  <si>
    <t>GMD-1816-83.pdf</t>
  </si>
  <si>
    <t>GMD-1816-84.pdf</t>
  </si>
  <si>
    <t>GMD-1816-85.pdf</t>
  </si>
  <si>
    <t>GMD-1816-86.pdf</t>
  </si>
  <si>
    <t>GMD-1816-87.pdf</t>
  </si>
  <si>
    <t>GMD-1816-88.pdf</t>
  </si>
  <si>
    <t>GMD-1816-89.pdf</t>
  </si>
  <si>
    <t>GMD-1816-90.pdf</t>
  </si>
  <si>
    <t>GMD-1816-91.pdf</t>
  </si>
  <si>
    <t>GMD-1816-92.pdf</t>
  </si>
  <si>
    <t>GMD-1816-93.pdf</t>
  </si>
  <si>
    <t>GMD-1816-94.pdf</t>
  </si>
  <si>
    <t>GMD-1816-95.pdf</t>
  </si>
  <si>
    <t>GMD-1816-96.pdf</t>
  </si>
  <si>
    <t>GMD-1816-97.pdf</t>
  </si>
  <si>
    <t>GMD-1816-98.pdf</t>
  </si>
  <si>
    <t>GMD-1816-99.pdf</t>
  </si>
  <si>
    <t>GMD-1816-100.pdf</t>
  </si>
  <si>
    <t>GMD-1816-101.pdf</t>
  </si>
  <si>
    <t>GMD-1816-102.pdf</t>
  </si>
  <si>
    <t>GMD-1816-103.pdf</t>
  </si>
  <si>
    <t>GMD-1816-104.pdf</t>
  </si>
  <si>
    <t>GMD-1816-105.pdf</t>
  </si>
  <si>
    <t>GMD-1816-106.pdf</t>
  </si>
  <si>
    <t>GMD-1816-107.pdf</t>
  </si>
  <si>
    <t>GMD-1816-108.pdf</t>
  </si>
  <si>
    <t>GMD-1816-109.pdf</t>
  </si>
  <si>
    <t>GMD-1816-110.pdf</t>
  </si>
  <si>
    <t>GMD-1816-111.pdf</t>
  </si>
  <si>
    <t>GMD-1816-112.pdf</t>
  </si>
  <si>
    <t>GMD-1816-113.pdf</t>
  </si>
  <si>
    <t>GMD-1816-114.pdf</t>
  </si>
  <si>
    <t>GMD-1816-115.pdf</t>
  </si>
  <si>
    <t>GMD-1816-116.pdf</t>
  </si>
  <si>
    <t>GMD-1816-117.pdf</t>
  </si>
  <si>
    <t>GMD-1816-118.pdf</t>
  </si>
  <si>
    <t>GMD-1816-119.pdf</t>
  </si>
  <si>
    <t>GMD-1816-120.pdf</t>
  </si>
  <si>
    <t>GMD-1816-121.pdf</t>
  </si>
  <si>
    <t>GMD-1816-122.pdf</t>
  </si>
  <si>
    <t>GMD-1816-123.pdf</t>
  </si>
  <si>
    <t>GMD-1816-124E.pdf</t>
  </si>
  <si>
    <t>GMD-1816-125.pdf</t>
  </si>
  <si>
    <t>GMD-1816-126.pdf</t>
  </si>
  <si>
    <t>GMD-1816-127.pdf</t>
  </si>
  <si>
    <t>GMD-1816-128E.pdf</t>
  </si>
  <si>
    <t>GMD-1816-129.pdf</t>
  </si>
  <si>
    <t>GMD-1816-130.pdf</t>
  </si>
  <si>
    <t>GMD-1816-131.pdf</t>
  </si>
  <si>
    <t>GMD-1816-132.pdf</t>
  </si>
  <si>
    <t>GMD-1816-133.pdf</t>
  </si>
  <si>
    <t>GMD-1816-134.pdf</t>
  </si>
  <si>
    <t>GMD-1816-135.pdf</t>
  </si>
  <si>
    <t>GMD-1816-136.pdf</t>
  </si>
  <si>
    <t>GMD-1816-137.pdf</t>
  </si>
  <si>
    <t>GMD-1816-138.pdf</t>
  </si>
  <si>
    <t>GMD-1816-139.pdf</t>
  </si>
  <si>
    <t>GMD-1816-140.pdf</t>
  </si>
  <si>
    <t>GMD-1816-141.pdf</t>
  </si>
  <si>
    <t>GMD-1816-142.pdf</t>
  </si>
  <si>
    <t>GMD-1816-143.pdf</t>
  </si>
  <si>
    <t>GMD-1816-144.pdf</t>
  </si>
  <si>
    <t>GMD-1816-145.pdf</t>
  </si>
  <si>
    <t>GMD-1816-146.pdf</t>
  </si>
  <si>
    <t>GMD-1816-147.pdf</t>
  </si>
  <si>
    <t>GMD-1816-148.pdf</t>
  </si>
  <si>
    <t>GMD-1816-149.pdf</t>
  </si>
  <si>
    <t>GMD-1816-150.pdf</t>
  </si>
  <si>
    <t>GMD-1816-151.pdf</t>
  </si>
  <si>
    <t>GMD-1816-152.pdf</t>
  </si>
  <si>
    <t>GMD-1816-153.pdf</t>
  </si>
  <si>
    <t>GMD-1816-154.pdf</t>
  </si>
  <si>
    <t>GMD-1816-155.pdf</t>
  </si>
  <si>
    <t>GMD-1816-156.pdf</t>
  </si>
  <si>
    <t>GMD-1816-157.pdf</t>
  </si>
  <si>
    <t>GMD-1816-158.pdf</t>
  </si>
  <si>
    <t>GMD-1816-159.pdf</t>
  </si>
  <si>
    <t>GMD-1816-160.pdf</t>
  </si>
  <si>
    <t>GMD-1816-161.pdf</t>
  </si>
  <si>
    <t>GMD-1816-162.pdf</t>
  </si>
  <si>
    <t>Criterios, alcance y limitaciones</t>
  </si>
  <si>
    <t>Cobertura</t>
  </si>
  <si>
    <t>Se incluyen los 161 archivos localizados en la hemeroteca oficial entre el 1 de enero y el 31 de diciembre de 1816, incluidas las ediciones extraordinarias.</t>
  </si>
  <si>
    <t>Cabeceras</t>
  </si>
  <si>
    <t>Gaceta de Madrid (161 archivos).</t>
  </si>
  <si>
    <t>Numeración</t>
  </si>
  <si>
    <t>Los reinicios de numeración y las ediciones extraordinarias se distinguen en la columna de publicación.</t>
  </si>
  <si>
    <t>Inclusión</t>
  </si>
  <si>
    <t>Se recogen nombres propios detectados tras tratamientos, cargos y títulos. Una misma persona puede aparecer varias veces en una página cuando el OCR ofrece variantes; dentro de cada página se eliminan duplicados idénticos.</t>
  </si>
  <si>
    <t>Orden</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</si>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</sst>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ont>
    <font>
      <sz val="11"/>
      <color rgb="FF1F1F1F"/>
      <name val="Calibri"/>
    </font>
    <font>
      <b/>
      <sz val="10"/>
      <color rgb="FF7F6000"/>
      <name val="Calibri"/>
    </font>
    <font>
      <b/>
      <sz val="10"/>
      <color rgb="FF375623"/>
      <name val="Calibri"/>
    </font>
    <font>
      <b/>
      <sz val="10"/>
      <color rgb="FFFFFFFF"/>
      <name val="Calibri"/>
    </font>
    <font>
      <sz val="9"/>
      <name val="Calibri"/>
    </font>
    <font>
      <sz val="11"/>
      <name val="Calibri"/>
    </font>
    <font>
      <b/>
      <sz val="11"/>
      <color rgb="FFFFFFFF"/>
      <name val="Arial"/>
    </font>
    <font>
      <b/>
      <sz val="10"/>
      <color rgb="FF1F4E78"/>
      <name val="Arial"/>
    </font>
    <font>
      <sz val="10"/>
      <color rgb="FF000000"/>
      <name val="Arial"/>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
      <patternFill patternType="solid">
        <fgColor rgb="FF4472C4"/>
      </patternFill>
    </fill>
    <fill>
      <patternFill patternType="solid">
        <fgColor rgb="FFDDEBF7"/>
      </patternFill>
    </fill>
    <fill>
      <patternFill patternType="solid">
        <fgColor rgb="FFFFFFFF"/>
      </patternFill>
    </fill>
  </fills>
  <borders count="5">
    <border>
      <left/>
      <right/>
      <top/>
      <bottom/>
      <diagonal/>
    </border>
    <border>
      <left style="thin">
        <color rgb="FF9DC3E6"/>
      </left>
      <right/>
      <top style="thin">
        <color rgb="FF9DC3E6"/>
      </top>
      <bottom style="thin">
        <color rgb="FF9DC3E6"/>
      </bottom>
      <diagonal/>
    </border>
    <border>
      <left/>
      <right/>
      <top style="thin">
        <color rgb="FF9DC3E6"/>
      </top>
      <bottom style="thin">
        <color rgb="FF9DC3E6"/>
      </bottom>
      <diagonal/>
    </border>
    <border>
      <left/>
      <right style="thin">
        <color rgb="FF9DC3E6"/>
      </right>
      <top style="thin">
        <color rgb="FF9DC3E6"/>
      </top>
      <bottom style="thin">
        <color rgb="FF9DC3E6"/>
      </bottom>
      <diagonal/>
    </border>
    <border>
      <left style="thin">
        <color rgb="FF9DC3E6"/>
      </left>
      <right style="thin">
        <color rgb="FF9DC3E6"/>
      </right>
      <top style="thin">
        <color rgb="FF9DC3E6"/>
      </top>
      <bottom style="thin">
        <color rgb="FF9DC3E6"/>
      </bottom>
      <diagonal/>
    </border>
  </borders>
  <cellStyleXfs count="1">
    <xf numFmtId="0" fontId="0" fillId="0" borderId="0"/>
  </cellStyleXfs>
  <cellXfs count="19">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vertical="top" wrapText="1"/>
    </xf>
    <xf numFmtId="14" fontId="6" fillId="0" borderId="0" xfId="0" applyNumberFormat="1" applyFont="1" applyAlignment="1">
      <alignment horizontal="center" vertical="top" wrapText="1"/>
    </xf>
    <xf numFmtId="14" fontId="6" fillId="0" borderId="0" xfId="0" applyNumberFormat="1" applyFont="1" applyAlignment="1">
      <alignment vertical="top" wrapText="1"/>
    </xf>
    <xf numFmtId="164" fontId="9" fillId="8" borderId="4" xfId="0" applyNumberFormat="1"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164" fontId="8" fillId="7" borderId="1" xfId="0" applyNumberFormat="1" applyFont="1" applyFill="1" applyBorder="1" applyAlignment="1">
      <alignment vertical="center" wrapText="1"/>
    </xf>
    <xf numFmtId="0" fontId="8" fillId="7" borderId="2" xfId="0" applyFont="1" applyFill="1" applyBorder="1" applyAlignment="1">
      <alignmen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10" fillId="9" borderId="4" xfId="0" applyFont="1" applyFill="1" applyBorder="1" applyAlignment="1">
      <alignment vertical="top" wrapText="1"/>
    </xf>
    <xf numFmtId="0" fontId="10" fillId="9" borderId="4" xfId="0" applyFont="1" applyFill="1" applyBorder="1" applyAlignment="1">
      <alignment horizontal="center"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16" displayName="IndiceOnomasticoAnual1816" ref="A6:K5041" totalsRowShown="0">
  <autoFilter ref="A6:K5041"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16" displayName="FuentesGacetaAnual1816" ref="A4:F165" totalsRowShown="0">
  <autoFilter ref="A4:F165"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8846"/>
  <sheetViews>
    <sheetView showGridLines="0" tabSelected="1" workbookViewId="0">
      <pane xSplit="2" ySplit="6" topLeftCell="C7" activePane="bottomRight" state="frozen"/>
      <selection pane="topRight"/>
      <selection pane="bottomLeft"/>
      <selection pane="bottomRight" activeCell="A4" sqref="A4:K4"/>
    </sheetView>
  </sheetViews>
  <sheetFormatPr baseColWidth="10" defaultColWidth="8.796875" defaultRowHeight="13.8"/>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8" t="s">
        <v>0</v>
      </c>
      <c r="B1" s="8"/>
      <c r="C1" s="8"/>
      <c r="D1" s="8"/>
      <c r="E1" s="8"/>
      <c r="F1" s="8"/>
      <c r="G1" s="8"/>
      <c r="H1" s="8"/>
      <c r="I1" s="8"/>
      <c r="J1" s="8"/>
      <c r="K1" s="8"/>
    </row>
    <row r="2" spans="1:11" ht="22.05" customHeight="1">
      <c r="A2" s="9" t="s">
        <v>1</v>
      </c>
      <c r="B2" s="9"/>
      <c r="C2" s="9"/>
      <c r="D2" s="9"/>
      <c r="E2" s="9"/>
      <c r="F2" s="9"/>
      <c r="G2" s="9"/>
      <c r="H2" s="9"/>
      <c r="I2" s="9"/>
      <c r="J2" s="9"/>
      <c r="K2" s="9"/>
    </row>
    <row r="3" spans="1:11" ht="34.049999999999997" customHeight="1">
      <c r="A3" s="10" t="s">
        <v>2</v>
      </c>
      <c r="B3" s="10"/>
      <c r="C3" s="10"/>
      <c r="D3" s="10"/>
      <c r="E3" s="10"/>
      <c r="F3" s="10"/>
      <c r="G3" s="10"/>
      <c r="H3" s="10"/>
      <c r="I3" s="10"/>
      <c r="J3" s="10"/>
      <c r="K3" s="10"/>
    </row>
    <row r="4" spans="1:11" ht="22.05" customHeight="1">
      <c r="A4" s="11" t="s">
        <v>3</v>
      </c>
      <c r="B4" s="11"/>
      <c r="C4" s="11"/>
      <c r="D4" s="11"/>
      <c r="E4" s="11"/>
      <c r="F4" s="11"/>
      <c r="G4" s="11"/>
      <c r="H4" s="11"/>
      <c r="I4" s="11"/>
      <c r="J4" s="11"/>
      <c r="K4" s="11"/>
    </row>
    <row r="6" spans="1:11" ht="31.95"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16</v>
      </c>
      <c r="C7" s="2" t="s">
        <v>17</v>
      </c>
      <c r="D7" s="2" t="s">
        <v>18</v>
      </c>
      <c r="E7" s="5">
        <v>-30674</v>
      </c>
      <c r="F7" s="3" t="s">
        <v>19</v>
      </c>
      <c r="G7" s="3" t="s">
        <v>20</v>
      </c>
      <c r="H7" s="2" t="s">
        <v>21</v>
      </c>
      <c r="I7" s="2" t="s">
        <v>22</v>
      </c>
      <c r="J7" s="3" t="str">
        <f>HYPERLINK("https://www.boe.es/gazeta/dias/1816/01/06/pdfs/GMD-1816-3.pdf#page=8","Abrir facsímil")</f>
        <v>Abrir facsímil</v>
      </c>
      <c r="K7" s="3" t="s">
        <v>23</v>
      </c>
    </row>
    <row r="8" spans="1:11" ht="42" customHeight="1">
      <c r="A8" s="2" t="s">
        <v>24</v>
      </c>
      <c r="B8" s="2" t="s">
        <v>25</v>
      </c>
      <c r="C8" s="2" t="s">
        <v>26</v>
      </c>
      <c r="D8" s="2" t="s">
        <v>18</v>
      </c>
      <c r="E8" s="5">
        <v>-30622</v>
      </c>
      <c r="F8" s="3" t="s">
        <v>27</v>
      </c>
      <c r="G8" s="3" t="s">
        <v>28</v>
      </c>
      <c r="H8" s="2" t="s">
        <v>29</v>
      </c>
      <c r="I8" s="2" t="s">
        <v>30</v>
      </c>
      <c r="J8" s="3" t="str">
        <f>HYPERLINK("https://www.boe.es/gazeta/dias/1816/02/27/pdfs/GMD-1816-26.pdf#page=6","Abrir facsímil")</f>
        <v>Abrir facsímil</v>
      </c>
      <c r="K8" s="3" t="s">
        <v>31</v>
      </c>
    </row>
    <row r="9" spans="1:11" ht="42" customHeight="1">
      <c r="A9" s="2" t="s">
        <v>32</v>
      </c>
      <c r="B9" s="2" t="s">
        <v>33</v>
      </c>
      <c r="C9" s="2" t="s">
        <v>34</v>
      </c>
      <c r="D9" s="2" t="s">
        <v>35</v>
      </c>
      <c r="E9" s="5">
        <v>-30508</v>
      </c>
      <c r="F9" s="3" t="s">
        <v>36</v>
      </c>
      <c r="G9" s="3" t="s">
        <v>37</v>
      </c>
      <c r="H9" s="2" t="s">
        <v>29</v>
      </c>
      <c r="I9" s="2" t="s">
        <v>38</v>
      </c>
      <c r="J9" s="3" t="str">
        <f>HYPERLINK("https://www.boe.es/gazeta/dias/1816/06/20/pdfs/GMD-1816-77.pdf#page=7","Abrir facsímil")</f>
        <v>Abrir facsímil</v>
      </c>
      <c r="K9" s="3" t="s">
        <v>31</v>
      </c>
    </row>
    <row r="10" spans="1:11" ht="42" customHeight="1">
      <c r="A10" s="2" t="s">
        <v>39</v>
      </c>
      <c r="B10" s="2" t="s">
        <v>40</v>
      </c>
      <c r="C10" s="2" t="s">
        <v>41</v>
      </c>
      <c r="D10" s="2" t="s">
        <v>18</v>
      </c>
      <c r="E10" s="5">
        <v>-30508</v>
      </c>
      <c r="F10" s="3" t="s">
        <v>36</v>
      </c>
      <c r="G10" s="3" t="s">
        <v>42</v>
      </c>
      <c r="H10" s="2" t="s">
        <v>29</v>
      </c>
      <c r="I10" s="2" t="s">
        <v>43</v>
      </c>
      <c r="J10" s="3" t="str">
        <f>HYPERLINK("https://www.boe.es/gazeta/dias/1816/06/20/pdfs/GMD-1816-77.pdf#page=8","Abrir facsímil")</f>
        <v>Abrir facsímil</v>
      </c>
      <c r="K10" s="3" t="s">
        <v>31</v>
      </c>
    </row>
    <row r="11" spans="1:11" ht="42" customHeight="1">
      <c r="A11" s="2" t="s">
        <v>44</v>
      </c>
      <c r="B11" s="2" t="s">
        <v>45</v>
      </c>
      <c r="C11" s="2" t="s">
        <v>34</v>
      </c>
      <c r="D11" s="2" t="s">
        <v>35</v>
      </c>
      <c r="E11" s="5">
        <v>-30324</v>
      </c>
      <c r="F11" s="3" t="s">
        <v>46</v>
      </c>
      <c r="G11" s="3" t="s">
        <v>47</v>
      </c>
      <c r="H11" s="2" t="s">
        <v>29</v>
      </c>
      <c r="I11" s="2" t="s">
        <v>48</v>
      </c>
      <c r="J11" s="3" t="str">
        <f>HYPERLINK("https://www.boe.es/gazeta/dias/1816/12/21/pdfs/GMD-1816-158.pdf#page=5","Abrir facsímil")</f>
        <v>Abrir facsímil</v>
      </c>
      <c r="K11" s="3" t="s">
        <v>31</v>
      </c>
    </row>
    <row r="12" spans="1:11" ht="42" customHeight="1">
      <c r="A12" s="2" t="s">
        <v>49</v>
      </c>
      <c r="B12" s="2" t="s">
        <v>50</v>
      </c>
      <c r="C12" s="2" t="s">
        <v>41</v>
      </c>
      <c r="D12" s="2" t="s">
        <v>18</v>
      </c>
      <c r="E12" s="5">
        <v>-30445</v>
      </c>
      <c r="F12" s="3" t="s">
        <v>51</v>
      </c>
      <c r="G12" s="3" t="s">
        <v>52</v>
      </c>
      <c r="H12" s="2" t="s">
        <v>29</v>
      </c>
      <c r="I12" s="2" t="s">
        <v>53</v>
      </c>
      <c r="J12" s="3" t="str">
        <f>HYPERLINK("https://www.boe.es/gazeta/dias/1816/08/22/pdfs/GMD-1816-104.pdf#page=12","Abrir facsímil")</f>
        <v>Abrir facsímil</v>
      </c>
      <c r="K12" s="3" t="s">
        <v>31</v>
      </c>
    </row>
    <row r="13" spans="1:11" ht="42" customHeight="1">
      <c r="A13" s="2" t="s">
        <v>54</v>
      </c>
      <c r="B13" s="2" t="s">
        <v>55</v>
      </c>
      <c r="C13" s="2" t="s">
        <v>41</v>
      </c>
      <c r="D13" s="2" t="s">
        <v>56</v>
      </c>
      <c r="E13" s="5">
        <v>-30399</v>
      </c>
      <c r="F13" s="3" t="s">
        <v>57</v>
      </c>
      <c r="G13" s="3" t="s">
        <v>58</v>
      </c>
      <c r="H13" s="2" t="s">
        <v>29</v>
      </c>
      <c r="I13" s="2" t="s">
        <v>59</v>
      </c>
      <c r="J13" s="3" t="str">
        <f>HYPERLINK("https://www.boe.es/gazeta/dias/1816/10/07/pdfs/GMD-1816-124E.pdf#page=1","Abrir facsímil")</f>
        <v>Abrir facsímil</v>
      </c>
      <c r="K13" s="3" t="s">
        <v>31</v>
      </c>
    </row>
    <row r="14" spans="1:11" ht="42" customHeight="1">
      <c r="A14" s="2" t="s">
        <v>60</v>
      </c>
      <c r="B14" s="2" t="s">
        <v>61</v>
      </c>
      <c r="C14" s="2" t="s">
        <v>34</v>
      </c>
      <c r="D14" s="2" t="s">
        <v>35</v>
      </c>
      <c r="E14" s="5">
        <v>-30417</v>
      </c>
      <c r="F14" s="3" t="s">
        <v>62</v>
      </c>
      <c r="G14" s="3" t="s">
        <v>63</v>
      </c>
      <c r="H14" s="2" t="s">
        <v>29</v>
      </c>
      <c r="I14" s="2" t="s">
        <v>64</v>
      </c>
      <c r="J14" s="3" t="str">
        <f>HYPERLINK("https://www.boe.es/gazeta/dias/1816/09/19/pdfs/GMD-1816-116.pdf#page=8","Abrir facsímil")</f>
        <v>Abrir facsímil</v>
      </c>
      <c r="K14" s="3" t="s">
        <v>31</v>
      </c>
    </row>
    <row r="15" spans="1:11" ht="42" customHeight="1">
      <c r="A15" s="2" t="s">
        <v>65</v>
      </c>
      <c r="B15" s="2" t="s">
        <v>66</v>
      </c>
      <c r="C15" s="2" t="s">
        <v>67</v>
      </c>
      <c r="D15" s="2" t="s">
        <v>18</v>
      </c>
      <c r="E15" s="5">
        <v>-30354</v>
      </c>
      <c r="F15" s="3" t="s">
        <v>68</v>
      </c>
      <c r="G15" s="3" t="s">
        <v>42</v>
      </c>
      <c r="H15" s="2" t="s">
        <v>29</v>
      </c>
      <c r="I15" s="2" t="s">
        <v>69</v>
      </c>
      <c r="J15" s="3" t="str">
        <f>HYPERLINK("https://www.boe.es/gazeta/dias/1816/11/21/pdfs/GMD-1816-145.pdf#page=8","Abrir facsímil")</f>
        <v>Abrir facsímil</v>
      </c>
      <c r="K15" s="3" t="s">
        <v>31</v>
      </c>
    </row>
    <row r="16" spans="1:11" ht="42" customHeight="1">
      <c r="A16" s="2" t="s">
        <v>70</v>
      </c>
      <c r="B16" s="2" t="s">
        <v>71</v>
      </c>
      <c r="C16" s="2" t="s">
        <v>26</v>
      </c>
      <c r="D16" s="2" t="s">
        <v>18</v>
      </c>
      <c r="E16" s="5">
        <v>-30354</v>
      </c>
      <c r="F16" s="3" t="s">
        <v>68</v>
      </c>
      <c r="G16" s="3" t="s">
        <v>72</v>
      </c>
      <c r="H16" s="2" t="s">
        <v>21</v>
      </c>
      <c r="I16" s="2" t="s">
        <v>73</v>
      </c>
      <c r="J16" s="3" t="str">
        <f>HYPERLINK("https://www.boe.es/gazeta/dias/1816/11/21/pdfs/GMD-1816-145.pdf#page=7","Abrir facsímil")</f>
        <v>Abrir facsímil</v>
      </c>
      <c r="K16" s="3" t="s">
        <v>23</v>
      </c>
    </row>
    <row r="17" spans="1:11" ht="42" customHeight="1">
      <c r="A17" s="2" t="s">
        <v>74</v>
      </c>
      <c r="B17" s="2" t="s">
        <v>75</v>
      </c>
      <c r="C17" s="2" t="s">
        <v>34</v>
      </c>
      <c r="D17" s="2" t="s">
        <v>35</v>
      </c>
      <c r="E17" s="5">
        <v>-30678</v>
      </c>
      <c r="F17" s="3" t="s">
        <v>76</v>
      </c>
      <c r="G17" s="3" t="s">
        <v>77</v>
      </c>
      <c r="H17" s="2" t="s">
        <v>21</v>
      </c>
      <c r="I17" s="2" t="s">
        <v>78</v>
      </c>
      <c r="J17" s="3" t="str">
        <f>HYPERLINK("https://www.boe.es/gazeta/dias/1816/01/02/pdfs/GMD-1816-1.pdf#page=8","Abrir facsímil")</f>
        <v>Abrir facsímil</v>
      </c>
      <c r="K17" s="3" t="s">
        <v>23</v>
      </c>
    </row>
    <row r="18" spans="1:11" ht="42" customHeight="1">
      <c r="A18" s="2" t="s">
        <v>79</v>
      </c>
      <c r="B18" s="2" t="s">
        <v>80</v>
      </c>
      <c r="C18" s="2" t="s">
        <v>81</v>
      </c>
      <c r="D18" s="2" t="s">
        <v>18</v>
      </c>
      <c r="E18" s="5">
        <v>-30636</v>
      </c>
      <c r="F18" s="3" t="s">
        <v>82</v>
      </c>
      <c r="G18" s="3" t="s">
        <v>83</v>
      </c>
      <c r="H18" s="2" t="s">
        <v>21</v>
      </c>
      <c r="I18" s="2" t="s">
        <v>84</v>
      </c>
      <c r="J18" s="3" t="str">
        <f>HYPERLINK("https://www.boe.es/gazeta/dias/1816/02/13/pdfs/GMD-1816-20.pdf#page=8","Abrir facsímil")</f>
        <v>Abrir facsímil</v>
      </c>
      <c r="K18" s="3" t="s">
        <v>23</v>
      </c>
    </row>
    <row r="19" spans="1:11" ht="42" customHeight="1">
      <c r="A19" s="2" t="s">
        <v>85</v>
      </c>
      <c r="B19" s="2" t="s">
        <v>86</v>
      </c>
      <c r="C19" s="2" t="s">
        <v>34</v>
      </c>
      <c r="D19" s="2" t="s">
        <v>35</v>
      </c>
      <c r="E19" s="5">
        <v>-30639</v>
      </c>
      <c r="F19" s="3" t="s">
        <v>87</v>
      </c>
      <c r="G19" s="3" t="s">
        <v>47</v>
      </c>
      <c r="H19" s="2" t="s">
        <v>21</v>
      </c>
      <c r="I19" s="2" t="s">
        <v>88</v>
      </c>
      <c r="J19" s="3" t="str">
        <f>HYPERLINK("https://www.boe.es/gazeta/dias/1816/02/10/pdfs/GMD-1816-19.pdf#page=5","Abrir facsímil")</f>
        <v>Abrir facsímil</v>
      </c>
      <c r="K19" s="3" t="s">
        <v>23</v>
      </c>
    </row>
    <row r="20" spans="1:11" ht="42" customHeight="1">
      <c r="A20" s="2" t="s">
        <v>85</v>
      </c>
      <c r="B20" s="2" t="s">
        <v>86</v>
      </c>
      <c r="C20" s="2" t="s">
        <v>34</v>
      </c>
      <c r="D20" s="2" t="s">
        <v>35</v>
      </c>
      <c r="E20" s="5">
        <v>-30632</v>
      </c>
      <c r="F20" s="3" t="s">
        <v>89</v>
      </c>
      <c r="G20" s="3" t="s">
        <v>72</v>
      </c>
      <c r="H20" s="2" t="s">
        <v>21</v>
      </c>
      <c r="I20" s="2" t="s">
        <v>90</v>
      </c>
      <c r="J20" s="3" t="str">
        <f>HYPERLINK("https://www.boe.es/gazeta/dias/1816/02/17/pdfs/GMD-1816-22.pdf#page=7","Abrir facsímil")</f>
        <v>Abrir facsímil</v>
      </c>
      <c r="K20" s="3" t="s">
        <v>23</v>
      </c>
    </row>
    <row r="21" spans="1:11" ht="42" customHeight="1">
      <c r="A21" s="2" t="s">
        <v>85</v>
      </c>
      <c r="B21" s="2" t="s">
        <v>86</v>
      </c>
      <c r="C21" s="2" t="s">
        <v>34</v>
      </c>
      <c r="D21" s="2" t="s">
        <v>35</v>
      </c>
      <c r="E21" s="5">
        <v>-30578</v>
      </c>
      <c r="F21" s="3" t="s">
        <v>91</v>
      </c>
      <c r="G21" s="3" t="s">
        <v>92</v>
      </c>
      <c r="H21" s="2" t="s">
        <v>21</v>
      </c>
      <c r="I21" s="2" t="s">
        <v>93</v>
      </c>
      <c r="J21" s="3" t="str">
        <f>HYPERLINK("https://www.boe.es/gazeta/dias/1816/04/11/pdfs/GMD-1816-47.pdf#page=9","Abrir facsímil")</f>
        <v>Abrir facsímil</v>
      </c>
      <c r="K21" s="3" t="s">
        <v>23</v>
      </c>
    </row>
    <row r="22" spans="1:11" ht="42" customHeight="1">
      <c r="A22" s="2" t="s">
        <v>85</v>
      </c>
      <c r="B22" s="2" t="s">
        <v>86</v>
      </c>
      <c r="C22" s="2" t="s">
        <v>34</v>
      </c>
      <c r="D22" s="2" t="s">
        <v>35</v>
      </c>
      <c r="E22" s="5">
        <v>-30543</v>
      </c>
      <c r="F22" s="3" t="s">
        <v>94</v>
      </c>
      <c r="G22" s="3" t="s">
        <v>47</v>
      </c>
      <c r="H22" s="2" t="s">
        <v>21</v>
      </c>
      <c r="I22" s="2" t="s">
        <v>95</v>
      </c>
      <c r="J22" s="3" t="str">
        <f>HYPERLINK("https://www.boe.es/gazeta/dias/1816/05/16/pdfs/GMD-1816-62.pdf#page=5","Abrir facsímil")</f>
        <v>Abrir facsímil</v>
      </c>
      <c r="K22" s="3" t="s">
        <v>23</v>
      </c>
    </row>
    <row r="23" spans="1:11" ht="42" customHeight="1">
      <c r="A23" s="2" t="s">
        <v>85</v>
      </c>
      <c r="B23" s="2" t="s">
        <v>86</v>
      </c>
      <c r="C23" s="2" t="s">
        <v>34</v>
      </c>
      <c r="D23" s="2" t="s">
        <v>35</v>
      </c>
      <c r="E23" s="5">
        <v>-30541</v>
      </c>
      <c r="F23" s="3" t="s">
        <v>96</v>
      </c>
      <c r="G23" s="3" t="s">
        <v>28</v>
      </c>
      <c r="H23" s="2" t="s">
        <v>21</v>
      </c>
      <c r="I23" s="2" t="s">
        <v>97</v>
      </c>
      <c r="J23" s="3" t="str">
        <f>HYPERLINK("https://www.boe.es/gazeta/dias/1816/05/18/pdfs/GMD-1816-63.pdf#page=6","Abrir facsímil")</f>
        <v>Abrir facsímil</v>
      </c>
      <c r="K23" s="3" t="s">
        <v>23</v>
      </c>
    </row>
    <row r="24" spans="1:11" ht="42" customHeight="1">
      <c r="A24" s="2" t="s">
        <v>85</v>
      </c>
      <c r="B24" s="2" t="s">
        <v>86</v>
      </c>
      <c r="C24" s="2" t="s">
        <v>34</v>
      </c>
      <c r="D24" s="2" t="s">
        <v>35</v>
      </c>
      <c r="E24" s="5">
        <v>-30524</v>
      </c>
      <c r="F24" s="3" t="s">
        <v>98</v>
      </c>
      <c r="G24" s="3" t="s">
        <v>72</v>
      </c>
      <c r="H24" s="2" t="s">
        <v>21</v>
      </c>
      <c r="I24" s="2" t="s">
        <v>99</v>
      </c>
      <c r="J24" s="3" t="str">
        <f>HYPERLINK("https://www.boe.es/gazeta/dias/1816/06/04/pdfs/GMD-1816-70.pdf#page=7","Abrir facsímil")</f>
        <v>Abrir facsímil</v>
      </c>
      <c r="K24" s="3" t="s">
        <v>23</v>
      </c>
    </row>
    <row r="25" spans="1:11" ht="42" customHeight="1">
      <c r="A25" s="2" t="s">
        <v>100</v>
      </c>
      <c r="B25" s="2" t="s">
        <v>101</v>
      </c>
      <c r="C25" s="2" t="s">
        <v>26</v>
      </c>
      <c r="D25" s="2" t="s">
        <v>18</v>
      </c>
      <c r="E25" s="5">
        <v>-30436</v>
      </c>
      <c r="F25" s="3" t="s">
        <v>102</v>
      </c>
      <c r="G25" s="3" t="s">
        <v>103</v>
      </c>
      <c r="H25" s="2" t="s">
        <v>21</v>
      </c>
      <c r="I25" s="2" t="s">
        <v>104</v>
      </c>
      <c r="J25" s="3" t="str">
        <f>HYPERLINK("https://www.boe.es/gazeta/dias/1816/08/31/pdfs/GMD-1816-108.pdf#page=4","Abrir facsímil")</f>
        <v>Abrir facsímil</v>
      </c>
      <c r="K25" s="3" t="s">
        <v>23</v>
      </c>
    </row>
    <row r="26" spans="1:11" ht="42" customHeight="1">
      <c r="A26" s="2" t="s">
        <v>105</v>
      </c>
      <c r="B26" s="2" t="s">
        <v>106</v>
      </c>
      <c r="C26" s="2" t="s">
        <v>26</v>
      </c>
      <c r="D26" s="2" t="s">
        <v>18</v>
      </c>
      <c r="E26" s="5">
        <v>-30580</v>
      </c>
      <c r="F26" s="3" t="s">
        <v>107</v>
      </c>
      <c r="G26" s="3" t="s">
        <v>72</v>
      </c>
      <c r="H26" s="2" t="s">
        <v>21</v>
      </c>
      <c r="I26" s="2" t="s">
        <v>108</v>
      </c>
      <c r="J26" s="3" t="str">
        <f>HYPERLINK("https://www.boe.es/gazeta/dias/1816/04/09/pdfs/GMD-1816-46.pdf#page=7","Abrir facsímil")</f>
        <v>Abrir facsímil</v>
      </c>
      <c r="K26" s="3" t="s">
        <v>23</v>
      </c>
    </row>
    <row r="27" spans="1:11" ht="42" customHeight="1">
      <c r="A27" s="2" t="s">
        <v>109</v>
      </c>
      <c r="B27" s="2" t="s">
        <v>110</v>
      </c>
      <c r="C27" s="2" t="s">
        <v>111</v>
      </c>
      <c r="D27" s="2" t="s">
        <v>112</v>
      </c>
      <c r="E27" s="5">
        <v>-30566</v>
      </c>
      <c r="F27" s="3" t="s">
        <v>113</v>
      </c>
      <c r="G27" s="3" t="s">
        <v>72</v>
      </c>
      <c r="H27" s="2" t="s">
        <v>21</v>
      </c>
      <c r="I27" s="2" t="s">
        <v>114</v>
      </c>
      <c r="J27" s="3" t="str">
        <f>HYPERLINK("https://www.boe.es/gazeta/dias/1816/04/23/pdfs/GMD-1816-52.pdf#page=7","Abrir facsímil")</f>
        <v>Abrir facsímil</v>
      </c>
      <c r="K27" s="3" t="s">
        <v>23</v>
      </c>
    </row>
    <row r="28" spans="1:11" ht="42" customHeight="1">
      <c r="A28" s="2" t="s">
        <v>115</v>
      </c>
      <c r="B28" s="2" t="s">
        <v>115</v>
      </c>
      <c r="C28" s="2" t="s">
        <v>34</v>
      </c>
      <c r="D28" s="2" t="s">
        <v>35</v>
      </c>
      <c r="E28" s="5">
        <v>-30342</v>
      </c>
      <c r="F28" s="3" t="s">
        <v>116</v>
      </c>
      <c r="G28" s="3" t="s">
        <v>103</v>
      </c>
      <c r="H28" s="2" t="s">
        <v>21</v>
      </c>
      <c r="I28" s="2" t="s">
        <v>117</v>
      </c>
      <c r="J28" s="3" t="str">
        <f>HYPERLINK("https://www.boe.es/gazeta/dias/1816/12/03/pdfs/GMD-1816-150.pdf#page=4","Abrir facsímil")</f>
        <v>Abrir facsímil</v>
      </c>
      <c r="K28" s="3" t="s">
        <v>23</v>
      </c>
    </row>
    <row r="29" spans="1:11" ht="42" customHeight="1">
      <c r="A29" s="2" t="s">
        <v>118</v>
      </c>
      <c r="B29" s="2" t="s">
        <v>119</v>
      </c>
      <c r="C29" s="2" t="s">
        <v>34</v>
      </c>
      <c r="D29" s="2" t="s">
        <v>35</v>
      </c>
      <c r="E29" s="5">
        <v>-30342</v>
      </c>
      <c r="F29" s="3" t="s">
        <v>116</v>
      </c>
      <c r="G29" s="3" t="s">
        <v>103</v>
      </c>
      <c r="H29" s="2" t="s">
        <v>21</v>
      </c>
      <c r="I29" s="2" t="s">
        <v>120</v>
      </c>
      <c r="J29" s="3" t="str">
        <f>HYPERLINK("https://www.boe.es/gazeta/dias/1816/12/03/pdfs/GMD-1816-150.pdf#page=4","Abrir facsímil")</f>
        <v>Abrir facsímil</v>
      </c>
      <c r="K29" s="3" t="s">
        <v>23</v>
      </c>
    </row>
    <row r="30" spans="1:11" ht="42" customHeight="1">
      <c r="A30" s="2" t="s">
        <v>121</v>
      </c>
      <c r="B30" s="2" t="s">
        <v>122</v>
      </c>
      <c r="C30" s="2" t="s">
        <v>26</v>
      </c>
      <c r="D30" s="2" t="s">
        <v>18</v>
      </c>
      <c r="E30" s="5">
        <v>-30478</v>
      </c>
      <c r="F30" s="3" t="s">
        <v>123</v>
      </c>
      <c r="G30" s="3" t="s">
        <v>28</v>
      </c>
      <c r="H30" s="2" t="s">
        <v>21</v>
      </c>
      <c r="I30" s="2" t="s">
        <v>124</v>
      </c>
      <c r="J30" s="3" t="str">
        <f>HYPERLINK("https://www.boe.es/gazeta/dias/1816/07/20/pdfs/GMD-1816-90.pdf#page=6","Abrir facsímil")</f>
        <v>Abrir facsímil</v>
      </c>
      <c r="K30" s="3" t="s">
        <v>23</v>
      </c>
    </row>
    <row r="31" spans="1:11" ht="42" customHeight="1">
      <c r="A31" s="2" t="s">
        <v>125</v>
      </c>
      <c r="B31" s="2" t="s">
        <v>126</v>
      </c>
      <c r="C31" s="2" t="s">
        <v>34</v>
      </c>
      <c r="D31" s="2" t="s">
        <v>35</v>
      </c>
      <c r="E31" s="5">
        <v>-30545</v>
      </c>
      <c r="F31" s="3" t="s">
        <v>127</v>
      </c>
      <c r="G31" s="3" t="s">
        <v>72</v>
      </c>
      <c r="H31" s="2" t="s">
        <v>29</v>
      </c>
      <c r="I31" s="2" t="s">
        <v>128</v>
      </c>
      <c r="J31" s="3" t="str">
        <f>HYPERLINK("https://www.boe.es/gazeta/dias/1816/05/14/pdfs/GMD-1816-61.pdf#page=7","Abrir facsímil")</f>
        <v>Abrir facsímil</v>
      </c>
      <c r="K31" s="3" t="s">
        <v>31</v>
      </c>
    </row>
    <row r="32" spans="1:11" ht="42" customHeight="1">
      <c r="A32" s="2" t="s">
        <v>129</v>
      </c>
      <c r="B32" s="2" t="s">
        <v>130</v>
      </c>
      <c r="C32" s="2" t="s">
        <v>111</v>
      </c>
      <c r="D32" s="2" t="s">
        <v>112</v>
      </c>
      <c r="E32" s="5">
        <v>-30319</v>
      </c>
      <c r="F32" s="3" t="s">
        <v>131</v>
      </c>
      <c r="G32" s="3" t="s">
        <v>132</v>
      </c>
      <c r="H32" s="2" t="s">
        <v>21</v>
      </c>
      <c r="I32" s="2" t="s">
        <v>133</v>
      </c>
      <c r="J32" s="3" t="str">
        <f>HYPERLINK("https://www.boe.es/gazeta/dias/1816/12/26/pdfs/GMD-1816-160.pdf#page=6","Abrir facsímil")</f>
        <v>Abrir facsímil</v>
      </c>
      <c r="K32" s="3" t="s">
        <v>23</v>
      </c>
    </row>
    <row r="33" spans="1:11" ht="42" customHeight="1">
      <c r="A33" s="2" t="s">
        <v>134</v>
      </c>
      <c r="B33" s="2" t="s">
        <v>135</v>
      </c>
      <c r="C33" s="2" t="s">
        <v>34</v>
      </c>
      <c r="D33" s="2" t="s">
        <v>35</v>
      </c>
      <c r="E33" s="5">
        <v>-30627</v>
      </c>
      <c r="F33" s="3" t="s">
        <v>136</v>
      </c>
      <c r="G33" s="3" t="s">
        <v>47</v>
      </c>
      <c r="H33" s="2" t="s">
        <v>21</v>
      </c>
      <c r="I33" s="2" t="s">
        <v>137</v>
      </c>
      <c r="J33" s="3" t="str">
        <f>HYPERLINK("https://www.boe.es/gazeta/dias/1816/02/22/pdfs/GMD-1816-24.pdf#page=5","Abrir facsímil")</f>
        <v>Abrir facsímil</v>
      </c>
      <c r="K33" s="3" t="s">
        <v>23</v>
      </c>
    </row>
    <row r="34" spans="1:11" ht="42" customHeight="1">
      <c r="A34" s="2" t="s">
        <v>134</v>
      </c>
      <c r="B34" s="2" t="s">
        <v>135</v>
      </c>
      <c r="C34" s="2" t="s">
        <v>34</v>
      </c>
      <c r="D34" s="2" t="s">
        <v>35</v>
      </c>
      <c r="E34" s="5">
        <v>-30377</v>
      </c>
      <c r="F34" s="3" t="s">
        <v>138</v>
      </c>
      <c r="G34" s="3" t="s">
        <v>47</v>
      </c>
      <c r="H34" s="2" t="s">
        <v>21</v>
      </c>
      <c r="I34" s="2" t="s">
        <v>139</v>
      </c>
      <c r="J34" s="3" t="str">
        <f>HYPERLINK("https://www.boe.es/gazeta/dias/1816/10/29/pdfs/GMD-1816-135.pdf#page=5","Abrir facsímil")</f>
        <v>Abrir facsímil</v>
      </c>
      <c r="K34" s="3" t="s">
        <v>23</v>
      </c>
    </row>
    <row r="35" spans="1:11" ht="42" customHeight="1">
      <c r="A35" s="2" t="s">
        <v>140</v>
      </c>
      <c r="B35" s="2" t="s">
        <v>141</v>
      </c>
      <c r="C35" s="2" t="s">
        <v>26</v>
      </c>
      <c r="D35" s="2" t="s">
        <v>18</v>
      </c>
      <c r="E35" s="5">
        <v>-30424</v>
      </c>
      <c r="F35" s="3" t="s">
        <v>142</v>
      </c>
      <c r="G35" s="3" t="s">
        <v>143</v>
      </c>
      <c r="H35" s="2" t="s">
        <v>21</v>
      </c>
      <c r="I35" s="2" t="s">
        <v>144</v>
      </c>
      <c r="J35" s="3" t="str">
        <f>HYPERLINK("https://www.boe.es/gazeta/dias/1816/09/12/pdfs/GMD-1816-113.pdf#page=4","Abrir facsímil")</f>
        <v>Abrir facsímil</v>
      </c>
      <c r="K35" s="3" t="s">
        <v>23</v>
      </c>
    </row>
    <row r="36" spans="1:11" ht="42" customHeight="1">
      <c r="A36" s="2" t="s">
        <v>145</v>
      </c>
      <c r="B36" s="2" t="s">
        <v>146</v>
      </c>
      <c r="C36" s="2" t="s">
        <v>111</v>
      </c>
      <c r="D36" s="2" t="s">
        <v>112</v>
      </c>
      <c r="E36" s="5">
        <v>-30480</v>
      </c>
      <c r="F36" s="3" t="s">
        <v>147</v>
      </c>
      <c r="G36" s="3" t="s">
        <v>42</v>
      </c>
      <c r="H36" s="2" t="s">
        <v>21</v>
      </c>
      <c r="I36" s="2" t="s">
        <v>148</v>
      </c>
      <c r="J36" s="3" t="str">
        <f>HYPERLINK("https://www.boe.es/gazeta/dias/1816/07/18/pdfs/GMD-1816-89.pdf#page=8","Abrir facsímil")</f>
        <v>Abrir facsímil</v>
      </c>
      <c r="K36" s="3" t="s">
        <v>23</v>
      </c>
    </row>
    <row r="37" spans="1:11" ht="42" customHeight="1">
      <c r="A37" s="2" t="s">
        <v>149</v>
      </c>
      <c r="B37" s="2" t="s">
        <v>150</v>
      </c>
      <c r="C37" s="2" t="s">
        <v>111</v>
      </c>
      <c r="D37" s="2" t="s">
        <v>112</v>
      </c>
      <c r="E37" s="5">
        <v>-30447</v>
      </c>
      <c r="F37" s="3" t="s">
        <v>151</v>
      </c>
      <c r="G37" s="3" t="s">
        <v>152</v>
      </c>
      <c r="H37" s="2" t="s">
        <v>21</v>
      </c>
      <c r="I37" s="2" t="s">
        <v>153</v>
      </c>
      <c r="J37" s="3" t="str">
        <f>HYPERLINK("https://www.boe.es/gazeta/dias/1816/08/20/pdfs/GMD-1816-103.pdf#page=8","Abrir facsímil")</f>
        <v>Abrir facsímil</v>
      </c>
      <c r="K37" s="3" t="s">
        <v>23</v>
      </c>
    </row>
    <row r="38" spans="1:11" ht="42" customHeight="1">
      <c r="A38" s="2" t="s">
        <v>154</v>
      </c>
      <c r="B38" s="2" t="s">
        <v>155</v>
      </c>
      <c r="C38" s="2" t="s">
        <v>34</v>
      </c>
      <c r="D38" s="2" t="s">
        <v>35</v>
      </c>
      <c r="E38" s="5">
        <v>-30485</v>
      </c>
      <c r="F38" s="3" t="s">
        <v>156</v>
      </c>
      <c r="G38" s="3" t="s">
        <v>157</v>
      </c>
      <c r="H38" s="2" t="s">
        <v>21</v>
      </c>
      <c r="I38" s="2" t="s">
        <v>158</v>
      </c>
      <c r="J38" s="3" t="str">
        <f>HYPERLINK("https://www.boe.es/gazeta/dias/1816/07/13/pdfs/GMD-1816-87.pdf#page=5","Abrir facsímil")</f>
        <v>Abrir facsímil</v>
      </c>
      <c r="K38" s="3" t="s">
        <v>23</v>
      </c>
    </row>
    <row r="39" spans="1:11" ht="42" customHeight="1">
      <c r="A39" s="2" t="s">
        <v>159</v>
      </c>
      <c r="B39" s="2" t="s">
        <v>160</v>
      </c>
      <c r="C39" s="2" t="s">
        <v>111</v>
      </c>
      <c r="D39" s="2" t="s">
        <v>112</v>
      </c>
      <c r="E39" s="5">
        <v>-30485</v>
      </c>
      <c r="F39" s="3" t="s">
        <v>156</v>
      </c>
      <c r="G39" s="3" t="s">
        <v>161</v>
      </c>
      <c r="H39" s="2" t="s">
        <v>21</v>
      </c>
      <c r="I39" s="2" t="s">
        <v>162</v>
      </c>
      <c r="J39" s="3" t="str">
        <f>HYPERLINK("https://www.boe.es/gazeta/dias/1816/07/13/pdfs/GMD-1816-87.pdf#page=4","Abrir facsímil")</f>
        <v>Abrir facsímil</v>
      </c>
      <c r="K39" s="3" t="s">
        <v>23</v>
      </c>
    </row>
    <row r="40" spans="1:11" ht="42" customHeight="1">
      <c r="A40" s="2" t="s">
        <v>163</v>
      </c>
      <c r="B40" s="2" t="s">
        <v>164</v>
      </c>
      <c r="C40" s="2" t="s">
        <v>111</v>
      </c>
      <c r="D40" s="2" t="s">
        <v>112</v>
      </c>
      <c r="E40" s="5">
        <v>-30559</v>
      </c>
      <c r="F40" s="3" t="s">
        <v>165</v>
      </c>
      <c r="G40" s="3" t="s">
        <v>166</v>
      </c>
      <c r="H40" s="2" t="s">
        <v>21</v>
      </c>
      <c r="I40" s="2" t="s">
        <v>167</v>
      </c>
      <c r="J40" s="3" t="str">
        <f>HYPERLINK("https://www.boe.es/gazeta/dias/1816/04/30/pdfs/GMD-1816-55.pdf#page=7","Abrir facsímil")</f>
        <v>Abrir facsímil</v>
      </c>
      <c r="K40" s="3" t="s">
        <v>23</v>
      </c>
    </row>
    <row r="41" spans="1:11" ht="42" customHeight="1">
      <c r="A41" s="2" t="s">
        <v>168</v>
      </c>
      <c r="B41" s="2" t="s">
        <v>169</v>
      </c>
      <c r="C41" s="2" t="s">
        <v>26</v>
      </c>
      <c r="D41" s="2" t="s">
        <v>18</v>
      </c>
      <c r="E41" s="5">
        <v>-30655</v>
      </c>
      <c r="F41" s="3" t="s">
        <v>170</v>
      </c>
      <c r="G41" s="3" t="s">
        <v>72</v>
      </c>
      <c r="H41" s="2" t="s">
        <v>21</v>
      </c>
      <c r="I41" s="2" t="s">
        <v>171</v>
      </c>
      <c r="J41" s="3" t="str">
        <f>HYPERLINK("https://www.boe.es/gazeta/dias/1816/01/25/pdfs/GMD-1816-11.pdf#page=7","Abrir facsímil")</f>
        <v>Abrir facsímil</v>
      </c>
      <c r="K41" s="3" t="s">
        <v>23</v>
      </c>
    </row>
    <row r="42" spans="1:11" ht="42" customHeight="1">
      <c r="A42" s="2" t="s">
        <v>172</v>
      </c>
      <c r="B42" s="2" t="s">
        <v>173</v>
      </c>
      <c r="C42" s="2" t="s">
        <v>26</v>
      </c>
      <c r="D42" s="2" t="s">
        <v>18</v>
      </c>
      <c r="E42" s="5">
        <v>-30494</v>
      </c>
      <c r="F42" s="3" t="s">
        <v>174</v>
      </c>
      <c r="G42" s="3" t="s">
        <v>175</v>
      </c>
      <c r="H42" s="2" t="s">
        <v>21</v>
      </c>
      <c r="I42" s="2" t="s">
        <v>176</v>
      </c>
      <c r="J42" s="3" t="str">
        <f>HYPERLINK("https://www.boe.es/gazeta/dias/1816/07/04/pdfs/GMD-1816-83.pdf#page=11","Abrir facsímil")</f>
        <v>Abrir facsímil</v>
      </c>
      <c r="K42" s="3" t="s">
        <v>23</v>
      </c>
    </row>
    <row r="43" spans="1:11" ht="42" customHeight="1">
      <c r="A43" s="2" t="s">
        <v>177</v>
      </c>
      <c r="B43" s="2" t="s">
        <v>178</v>
      </c>
      <c r="C43" s="2" t="s">
        <v>81</v>
      </c>
      <c r="D43" s="2" t="s">
        <v>18</v>
      </c>
      <c r="E43" s="5">
        <v>-30366</v>
      </c>
      <c r="F43" s="3" t="s">
        <v>179</v>
      </c>
      <c r="G43" s="3" t="s">
        <v>180</v>
      </c>
      <c r="H43" s="2" t="s">
        <v>21</v>
      </c>
      <c r="I43" s="2" t="s">
        <v>181</v>
      </c>
      <c r="J43" s="3" t="str">
        <f>HYPERLINK("https://www.boe.es/gazeta/dias/1816/11/09/pdfs/GMD-1816-140.pdf#page=10","Abrir facsímil")</f>
        <v>Abrir facsímil</v>
      </c>
      <c r="K43" s="3" t="s">
        <v>23</v>
      </c>
    </row>
    <row r="44" spans="1:11" ht="42" customHeight="1">
      <c r="A44" s="2" t="s">
        <v>182</v>
      </c>
      <c r="B44" s="2" t="s">
        <v>183</v>
      </c>
      <c r="C44" s="2" t="s">
        <v>34</v>
      </c>
      <c r="D44" s="2" t="s">
        <v>35</v>
      </c>
      <c r="E44" s="5">
        <v>-30622</v>
      </c>
      <c r="F44" s="3" t="s">
        <v>27</v>
      </c>
      <c r="G44" s="3" t="s">
        <v>184</v>
      </c>
      <c r="H44" s="2" t="s">
        <v>21</v>
      </c>
      <c r="I44" s="2" t="s">
        <v>185</v>
      </c>
      <c r="J44" s="3" t="str">
        <f>HYPERLINK("https://www.boe.es/gazeta/dias/1816/02/27/pdfs/GMD-1816-26.pdf#page=3","Abrir facsímil")</f>
        <v>Abrir facsímil</v>
      </c>
      <c r="K44" s="3" t="s">
        <v>23</v>
      </c>
    </row>
    <row r="45" spans="1:11" ht="42" customHeight="1">
      <c r="A45" s="2" t="s">
        <v>186</v>
      </c>
      <c r="B45" s="2" t="s">
        <v>187</v>
      </c>
      <c r="C45" s="2" t="s">
        <v>41</v>
      </c>
      <c r="D45" s="2" t="s">
        <v>18</v>
      </c>
      <c r="E45" s="5">
        <v>-30454</v>
      </c>
      <c r="F45" s="3" t="s">
        <v>188</v>
      </c>
      <c r="G45" s="3" t="s">
        <v>52</v>
      </c>
      <c r="H45" s="2" t="s">
        <v>21</v>
      </c>
      <c r="I45" s="2" t="s">
        <v>189</v>
      </c>
      <c r="J45" s="3" t="str">
        <f>HYPERLINK("https://www.boe.es/gazeta/dias/1816/08/13/pdfs/GMD-1816-100.pdf#page=12","Abrir facsímil")</f>
        <v>Abrir facsímil</v>
      </c>
      <c r="K45" s="3" t="s">
        <v>23</v>
      </c>
    </row>
    <row r="46" spans="1:11" ht="42" customHeight="1">
      <c r="A46" s="2" t="s">
        <v>190</v>
      </c>
      <c r="B46" s="2" t="s">
        <v>191</v>
      </c>
      <c r="C46" s="2" t="s">
        <v>26</v>
      </c>
      <c r="D46" s="2" t="s">
        <v>18</v>
      </c>
      <c r="E46" s="5">
        <v>-30641</v>
      </c>
      <c r="F46" s="3" t="s">
        <v>192</v>
      </c>
      <c r="G46" s="3" t="s">
        <v>42</v>
      </c>
      <c r="H46" s="2" t="s">
        <v>21</v>
      </c>
      <c r="I46" s="2" t="s">
        <v>193</v>
      </c>
      <c r="J46" s="3" t="str">
        <f>HYPERLINK("https://www.boe.es/gazeta/dias/1816/02/08/pdfs/GMD-1816-18.pdf#page=8","Abrir facsímil")</f>
        <v>Abrir facsímil</v>
      </c>
      <c r="K46" s="3" t="s">
        <v>23</v>
      </c>
    </row>
    <row r="47" spans="1:11" ht="42" customHeight="1">
      <c r="A47" s="2" t="s">
        <v>194</v>
      </c>
      <c r="B47" s="2" t="s">
        <v>194</v>
      </c>
      <c r="C47" s="2" t="s">
        <v>41</v>
      </c>
      <c r="D47" s="2" t="s">
        <v>18</v>
      </c>
      <c r="E47" s="5">
        <v>-30590</v>
      </c>
      <c r="F47" s="3" t="s">
        <v>195</v>
      </c>
      <c r="G47" s="3" t="s">
        <v>42</v>
      </c>
      <c r="H47" s="2" t="s">
        <v>21</v>
      </c>
      <c r="I47" s="2" t="s">
        <v>196</v>
      </c>
      <c r="J47" s="3" t="str">
        <f>HYPERLINK("https://www.boe.es/gazeta/dias/1816/03/30/pdfs/GMD-1816-42.pdf#page=8","Abrir facsímil")</f>
        <v>Abrir facsímil</v>
      </c>
      <c r="K47" s="3" t="s">
        <v>23</v>
      </c>
    </row>
    <row r="48" spans="1:11" ht="42" customHeight="1">
      <c r="A48" s="2" t="s">
        <v>197</v>
      </c>
      <c r="B48" s="2" t="s">
        <v>197</v>
      </c>
      <c r="C48" s="2" t="s">
        <v>34</v>
      </c>
      <c r="D48" s="2" t="s">
        <v>35</v>
      </c>
      <c r="E48" s="5">
        <v>-30508</v>
      </c>
      <c r="F48" s="3" t="s">
        <v>36</v>
      </c>
      <c r="G48" s="3" t="s">
        <v>198</v>
      </c>
      <c r="H48" s="2" t="s">
        <v>21</v>
      </c>
      <c r="I48" s="2" t="s">
        <v>199</v>
      </c>
      <c r="J48" s="3" t="str">
        <f>HYPERLINK("https://www.boe.es/gazeta/dias/1816/06/20/pdfs/GMD-1816-77.pdf#page=3","Abrir facsímil")</f>
        <v>Abrir facsímil</v>
      </c>
      <c r="K48" s="3" t="s">
        <v>23</v>
      </c>
    </row>
    <row r="49" spans="1:11" ht="42" customHeight="1">
      <c r="A49" s="2" t="s">
        <v>200</v>
      </c>
      <c r="B49" s="2" t="s">
        <v>201</v>
      </c>
      <c r="C49" s="2" t="s">
        <v>26</v>
      </c>
      <c r="D49" s="2" t="s">
        <v>56</v>
      </c>
      <c r="E49" s="5">
        <v>-30393</v>
      </c>
      <c r="F49" s="3" t="s">
        <v>202</v>
      </c>
      <c r="G49" s="3" t="s">
        <v>203</v>
      </c>
      <c r="H49" s="2" t="s">
        <v>21</v>
      </c>
      <c r="I49" s="2" t="s">
        <v>204</v>
      </c>
      <c r="J49" s="3" t="str">
        <f>HYPERLINK("https://www.boe.es/gazeta/dias/1816/10/13/pdfs/GMD-1816-128E.pdf#page=7","Abrir facsímil")</f>
        <v>Abrir facsímil</v>
      </c>
      <c r="K49" s="3" t="s">
        <v>23</v>
      </c>
    </row>
    <row r="50" spans="1:11" ht="42" customHeight="1">
      <c r="A50" s="2" t="s">
        <v>205</v>
      </c>
      <c r="B50" s="2" t="s">
        <v>206</v>
      </c>
      <c r="C50" s="2" t="s">
        <v>34</v>
      </c>
      <c r="D50" s="2" t="s">
        <v>35</v>
      </c>
      <c r="E50" s="5">
        <v>-30618</v>
      </c>
      <c r="F50" s="3" t="s">
        <v>207</v>
      </c>
      <c r="G50" s="3" t="s">
        <v>72</v>
      </c>
      <c r="H50" s="2" t="s">
        <v>21</v>
      </c>
      <c r="I50" s="2" t="s">
        <v>208</v>
      </c>
      <c r="J50" s="3" t="str">
        <f>HYPERLINK("https://www.boe.es/gazeta/dias/1816/03/02/pdfs/GMD-1816-29.pdf#page=7","Abrir facsímil")</f>
        <v>Abrir facsímil</v>
      </c>
      <c r="K50" s="3" t="s">
        <v>23</v>
      </c>
    </row>
    <row r="51" spans="1:11" ht="42" customHeight="1">
      <c r="A51" s="2" t="s">
        <v>209</v>
      </c>
      <c r="B51" s="2" t="s">
        <v>210</v>
      </c>
      <c r="C51" s="2" t="s">
        <v>81</v>
      </c>
      <c r="D51" s="2" t="s">
        <v>18</v>
      </c>
      <c r="E51" s="5">
        <v>-30611</v>
      </c>
      <c r="F51" s="3" t="s">
        <v>211</v>
      </c>
      <c r="G51" s="3" t="s">
        <v>42</v>
      </c>
      <c r="H51" s="2" t="s">
        <v>29</v>
      </c>
      <c r="I51" s="2" t="s">
        <v>212</v>
      </c>
      <c r="J51" s="3" t="str">
        <f>HYPERLINK("https://www.boe.es/gazeta/dias/1816/03/09/pdfs/GMD-1816-32.pdf#page=8","Abrir facsímil")</f>
        <v>Abrir facsímil</v>
      </c>
      <c r="K51" s="3" t="s">
        <v>31</v>
      </c>
    </row>
    <row r="52" spans="1:11" ht="42" customHeight="1">
      <c r="A52" s="2" t="s">
        <v>213</v>
      </c>
      <c r="B52" s="2" t="s">
        <v>214</v>
      </c>
      <c r="C52" s="2" t="s">
        <v>111</v>
      </c>
      <c r="D52" s="2" t="s">
        <v>112</v>
      </c>
      <c r="E52" s="5">
        <v>-30464</v>
      </c>
      <c r="F52" s="3" t="s">
        <v>215</v>
      </c>
      <c r="G52" s="3" t="s">
        <v>216</v>
      </c>
      <c r="H52" s="2" t="s">
        <v>21</v>
      </c>
      <c r="I52" s="2" t="s">
        <v>217</v>
      </c>
      <c r="J52" s="3" t="str">
        <f>HYPERLINK("https://www.boe.es/gazeta/dias/1816/08/03/pdfs/GMD-1816-96.pdf#page=4","Abrir facsímil")</f>
        <v>Abrir facsímil</v>
      </c>
      <c r="K52" s="3" t="s">
        <v>23</v>
      </c>
    </row>
    <row r="53" spans="1:11" ht="42" customHeight="1">
      <c r="A53" s="2" t="s">
        <v>218</v>
      </c>
      <c r="B53" s="2" t="s">
        <v>219</v>
      </c>
      <c r="C53" s="2" t="s">
        <v>34</v>
      </c>
      <c r="D53" s="2" t="s">
        <v>35</v>
      </c>
      <c r="E53" s="5">
        <v>-30506</v>
      </c>
      <c r="F53" s="3" t="s">
        <v>220</v>
      </c>
      <c r="G53" s="3" t="s">
        <v>42</v>
      </c>
      <c r="H53" s="2" t="s">
        <v>21</v>
      </c>
      <c r="I53" s="2" t="s">
        <v>221</v>
      </c>
      <c r="J53" s="3" t="str">
        <f>HYPERLINK("https://www.boe.es/gazeta/dias/1816/06/22/pdfs/GMD-1816-78.pdf#page=8","Abrir facsímil")</f>
        <v>Abrir facsímil</v>
      </c>
      <c r="K53" s="3" t="s">
        <v>23</v>
      </c>
    </row>
    <row r="54" spans="1:11" ht="42" customHeight="1">
      <c r="A54" s="2" t="s">
        <v>222</v>
      </c>
      <c r="B54" s="2" t="s">
        <v>223</v>
      </c>
      <c r="C54" s="2" t="s">
        <v>41</v>
      </c>
      <c r="D54" s="2" t="s">
        <v>18</v>
      </c>
      <c r="E54" s="5">
        <v>-30387</v>
      </c>
      <c r="F54" s="3" t="s">
        <v>224</v>
      </c>
      <c r="G54" s="3" t="s">
        <v>28</v>
      </c>
      <c r="H54" s="2" t="s">
        <v>29</v>
      </c>
      <c r="I54" s="2" t="s">
        <v>225</v>
      </c>
      <c r="J54" s="3" t="str">
        <f>HYPERLINK("https://www.boe.es/gazeta/dias/1816/10/19/pdfs/GMD-1816-131.pdf#page=6","Abrir facsímil")</f>
        <v>Abrir facsímil</v>
      </c>
      <c r="K54" s="3" t="s">
        <v>31</v>
      </c>
    </row>
    <row r="55" spans="1:11" ht="42" customHeight="1">
      <c r="A55" s="2" t="s">
        <v>226</v>
      </c>
      <c r="B55" s="2" t="s">
        <v>227</v>
      </c>
      <c r="C55" s="2" t="s">
        <v>41</v>
      </c>
      <c r="D55" s="2" t="s">
        <v>18</v>
      </c>
      <c r="E55" s="5">
        <v>-30578</v>
      </c>
      <c r="F55" s="3" t="s">
        <v>91</v>
      </c>
      <c r="G55" s="3" t="s">
        <v>72</v>
      </c>
      <c r="H55" s="2" t="s">
        <v>21</v>
      </c>
      <c r="I55" s="2" t="s">
        <v>228</v>
      </c>
      <c r="J55" s="3" t="str">
        <f>HYPERLINK("https://www.boe.es/gazeta/dias/1816/04/11/pdfs/GMD-1816-47.pdf#page=7","Abrir facsímil")</f>
        <v>Abrir facsímil</v>
      </c>
      <c r="K55" s="3" t="s">
        <v>23</v>
      </c>
    </row>
    <row r="56" spans="1:11" ht="42" customHeight="1">
      <c r="A56" s="2" t="s">
        <v>229</v>
      </c>
      <c r="B56" s="2" t="s">
        <v>230</v>
      </c>
      <c r="C56" s="2" t="s">
        <v>26</v>
      </c>
      <c r="D56" s="2" t="s">
        <v>56</v>
      </c>
      <c r="E56" s="5">
        <v>-30393</v>
      </c>
      <c r="F56" s="3" t="s">
        <v>202</v>
      </c>
      <c r="G56" s="3" t="s">
        <v>42</v>
      </c>
      <c r="H56" s="2" t="s">
        <v>21</v>
      </c>
      <c r="I56" s="2" t="s">
        <v>231</v>
      </c>
      <c r="J56" s="3" t="str">
        <f>HYPERLINK("https://www.boe.es/gazeta/dias/1816/10/13/pdfs/GMD-1816-128E.pdf#page=8","Abrir facsímil")</f>
        <v>Abrir facsímil</v>
      </c>
      <c r="K56" s="3" t="s">
        <v>23</v>
      </c>
    </row>
    <row r="57" spans="1:11" ht="42" customHeight="1">
      <c r="A57" s="2" t="s">
        <v>232</v>
      </c>
      <c r="B57" s="2" t="s">
        <v>233</v>
      </c>
      <c r="C57" s="2" t="s">
        <v>34</v>
      </c>
      <c r="D57" s="2" t="s">
        <v>35</v>
      </c>
      <c r="E57" s="5">
        <v>-30594</v>
      </c>
      <c r="F57" s="3" t="s">
        <v>234</v>
      </c>
      <c r="G57" s="3" t="s">
        <v>42</v>
      </c>
      <c r="H57" s="2" t="s">
        <v>21</v>
      </c>
      <c r="I57" s="2" t="s">
        <v>235</v>
      </c>
      <c r="J57" s="3" t="str">
        <f>HYPERLINK("https://www.boe.es/gazeta/dias/1816/03/26/pdfs/GMD-1816-40.pdf#page=8","Abrir facsímil")</f>
        <v>Abrir facsímil</v>
      </c>
      <c r="K57" s="3" t="s">
        <v>23</v>
      </c>
    </row>
    <row r="58" spans="1:11" ht="42" customHeight="1">
      <c r="A58" s="2" t="s">
        <v>232</v>
      </c>
      <c r="B58" s="2" t="s">
        <v>233</v>
      </c>
      <c r="C58" s="2" t="s">
        <v>26</v>
      </c>
      <c r="D58" s="2" t="s">
        <v>18</v>
      </c>
      <c r="E58" s="5">
        <v>-30592</v>
      </c>
      <c r="F58" s="3" t="s">
        <v>236</v>
      </c>
      <c r="G58" s="3" t="s">
        <v>92</v>
      </c>
      <c r="H58" s="2" t="s">
        <v>21</v>
      </c>
      <c r="I58" s="2" t="s">
        <v>237</v>
      </c>
      <c r="J58" s="3" t="str">
        <f>HYPERLINK("https://www.boe.es/gazeta/dias/1816/03/28/pdfs/GMD-1816-41.pdf#page=9","Abrir facsímil")</f>
        <v>Abrir facsímil</v>
      </c>
      <c r="K58" s="3" t="s">
        <v>23</v>
      </c>
    </row>
    <row r="59" spans="1:11" ht="42" customHeight="1">
      <c r="A59" s="2" t="s">
        <v>232</v>
      </c>
      <c r="B59" s="2" t="s">
        <v>233</v>
      </c>
      <c r="C59" s="2" t="s">
        <v>34</v>
      </c>
      <c r="D59" s="2" t="s">
        <v>35</v>
      </c>
      <c r="E59" s="5">
        <v>-30580</v>
      </c>
      <c r="F59" s="3" t="s">
        <v>107</v>
      </c>
      <c r="G59" s="3" t="s">
        <v>72</v>
      </c>
      <c r="H59" s="2" t="s">
        <v>21</v>
      </c>
      <c r="I59" s="2" t="s">
        <v>238</v>
      </c>
      <c r="J59" s="3" t="str">
        <f>HYPERLINK("https://www.boe.es/gazeta/dias/1816/04/09/pdfs/GMD-1816-46.pdf#page=7","Abrir facsímil")</f>
        <v>Abrir facsímil</v>
      </c>
      <c r="K59" s="3" t="s">
        <v>23</v>
      </c>
    </row>
    <row r="60" spans="1:11" ht="42" customHeight="1">
      <c r="A60" s="2" t="s">
        <v>239</v>
      </c>
      <c r="B60" s="2" t="s">
        <v>240</v>
      </c>
      <c r="C60" s="2" t="s">
        <v>34</v>
      </c>
      <c r="D60" s="2" t="s">
        <v>35</v>
      </c>
      <c r="E60" s="5">
        <v>-30583</v>
      </c>
      <c r="F60" s="3" t="s">
        <v>241</v>
      </c>
      <c r="G60" s="3" t="s">
        <v>72</v>
      </c>
      <c r="H60" s="2" t="s">
        <v>21</v>
      </c>
      <c r="I60" s="2" t="s">
        <v>242</v>
      </c>
      <c r="J60" s="3" t="str">
        <f>HYPERLINK("https://www.boe.es/gazeta/dias/1816/04/06/pdfs/GMD-1816-45.pdf#page=7","Abrir facsímil")</f>
        <v>Abrir facsímil</v>
      </c>
      <c r="K60" s="3" t="s">
        <v>23</v>
      </c>
    </row>
    <row r="61" spans="1:11" ht="42" customHeight="1">
      <c r="A61" s="2" t="s">
        <v>243</v>
      </c>
      <c r="B61" s="2" t="s">
        <v>244</v>
      </c>
      <c r="C61" s="2" t="s">
        <v>67</v>
      </c>
      <c r="D61" s="2" t="s">
        <v>56</v>
      </c>
      <c r="E61" s="5">
        <v>-30393</v>
      </c>
      <c r="F61" s="3" t="s">
        <v>202</v>
      </c>
      <c r="G61" s="3" t="s">
        <v>58</v>
      </c>
      <c r="H61" s="2" t="s">
        <v>21</v>
      </c>
      <c r="I61" s="2" t="s">
        <v>245</v>
      </c>
      <c r="J61" s="3" t="str">
        <f>HYPERLINK("https://www.boe.es/gazeta/dias/1816/10/13/pdfs/GMD-1816-128E.pdf#page=1","Abrir facsímil")</f>
        <v>Abrir facsímil</v>
      </c>
      <c r="K61" s="3" t="s">
        <v>23</v>
      </c>
    </row>
    <row r="62" spans="1:11" ht="42" customHeight="1">
      <c r="A62" s="2" t="s">
        <v>246</v>
      </c>
      <c r="B62" s="2" t="s">
        <v>247</v>
      </c>
      <c r="C62" s="2" t="s">
        <v>26</v>
      </c>
      <c r="D62" s="2" t="s">
        <v>18</v>
      </c>
      <c r="E62" s="5">
        <v>-30492</v>
      </c>
      <c r="F62" s="3" t="s">
        <v>248</v>
      </c>
      <c r="G62" s="3" t="s">
        <v>103</v>
      </c>
      <c r="H62" s="2" t="s">
        <v>21</v>
      </c>
      <c r="I62" s="2" t="s">
        <v>249</v>
      </c>
      <c r="J62" s="3" t="str">
        <f>HYPERLINK("https://www.boe.es/gazeta/dias/1816/07/06/pdfs/GMD-1816-84.pdf#page=4","Abrir facsímil")</f>
        <v>Abrir facsímil</v>
      </c>
      <c r="K62" s="3" t="s">
        <v>23</v>
      </c>
    </row>
    <row r="63" spans="1:11" ht="42" customHeight="1">
      <c r="A63" s="2" t="s">
        <v>250</v>
      </c>
      <c r="B63" s="2" t="s">
        <v>251</v>
      </c>
      <c r="C63" s="2" t="s">
        <v>34</v>
      </c>
      <c r="D63" s="2" t="s">
        <v>56</v>
      </c>
      <c r="E63" s="5">
        <v>-30393</v>
      </c>
      <c r="F63" s="3" t="s">
        <v>202</v>
      </c>
      <c r="G63" s="3" t="s">
        <v>184</v>
      </c>
      <c r="H63" s="2" t="s">
        <v>21</v>
      </c>
      <c r="I63" s="2" t="s">
        <v>252</v>
      </c>
      <c r="J63" s="3" t="str">
        <f>HYPERLINK("https://www.boe.es/gazeta/dias/1816/10/13/pdfs/GMD-1816-128E.pdf#page=3","Abrir facsímil")</f>
        <v>Abrir facsímil</v>
      </c>
      <c r="K63" s="3" t="s">
        <v>23</v>
      </c>
    </row>
    <row r="64" spans="1:11" ht="42" customHeight="1">
      <c r="A64" s="2" t="s">
        <v>250</v>
      </c>
      <c r="B64" s="2" t="s">
        <v>251</v>
      </c>
      <c r="C64" s="2" t="s">
        <v>34</v>
      </c>
      <c r="D64" s="2" t="s">
        <v>35</v>
      </c>
      <c r="E64" s="5">
        <v>-30387</v>
      </c>
      <c r="F64" s="3" t="s">
        <v>224</v>
      </c>
      <c r="G64" s="3" t="s">
        <v>42</v>
      </c>
      <c r="H64" s="2" t="s">
        <v>21</v>
      </c>
      <c r="I64" s="2" t="s">
        <v>253</v>
      </c>
      <c r="J64" s="3" t="str">
        <f>HYPERLINK("https://www.boe.es/gazeta/dias/1816/10/19/pdfs/GMD-1816-131.pdf#page=8","Abrir facsímil")</f>
        <v>Abrir facsímil</v>
      </c>
      <c r="K64" s="3" t="s">
        <v>23</v>
      </c>
    </row>
    <row r="65" spans="1:11" ht="42" customHeight="1">
      <c r="A65" s="2" t="s">
        <v>254</v>
      </c>
      <c r="B65" s="2" t="s">
        <v>255</v>
      </c>
      <c r="C65" s="2" t="s">
        <v>111</v>
      </c>
      <c r="D65" s="2" t="s">
        <v>112</v>
      </c>
      <c r="E65" s="5">
        <v>-30543</v>
      </c>
      <c r="F65" s="3" t="s">
        <v>94</v>
      </c>
      <c r="G65" s="3" t="s">
        <v>103</v>
      </c>
      <c r="H65" s="2" t="s">
        <v>21</v>
      </c>
      <c r="I65" s="2" t="s">
        <v>256</v>
      </c>
      <c r="J65" s="3" t="str">
        <f>HYPERLINK("https://www.boe.es/gazeta/dias/1816/05/16/pdfs/GMD-1816-62.pdf#page=4","Abrir facsímil")</f>
        <v>Abrir facsímil</v>
      </c>
      <c r="K65" s="3" t="s">
        <v>23</v>
      </c>
    </row>
    <row r="66" spans="1:11" ht="42" customHeight="1">
      <c r="A66" s="2" t="s">
        <v>257</v>
      </c>
      <c r="B66" s="2" t="s">
        <v>258</v>
      </c>
      <c r="C66" s="2" t="s">
        <v>34</v>
      </c>
      <c r="D66" s="2" t="s">
        <v>35</v>
      </c>
      <c r="E66" s="5">
        <v>-30443</v>
      </c>
      <c r="F66" s="3" t="s">
        <v>259</v>
      </c>
      <c r="G66" s="3" t="s">
        <v>260</v>
      </c>
      <c r="H66" s="2" t="s">
        <v>21</v>
      </c>
      <c r="I66" s="2" t="s">
        <v>261</v>
      </c>
      <c r="J66" s="3" t="str">
        <f>HYPERLINK("https://www.boe.es/gazeta/dias/1816/08/24/pdfs/GMD-1816-105.pdf#page=8","Abrir facsímil")</f>
        <v>Abrir facsímil</v>
      </c>
      <c r="K66" s="3" t="s">
        <v>23</v>
      </c>
    </row>
    <row r="67" spans="1:11" ht="42" customHeight="1">
      <c r="A67" s="2" t="s">
        <v>262</v>
      </c>
      <c r="B67" s="2" t="s">
        <v>263</v>
      </c>
      <c r="C67" s="2" t="s">
        <v>111</v>
      </c>
      <c r="D67" s="2" t="s">
        <v>56</v>
      </c>
      <c r="E67" s="5">
        <v>-30393</v>
      </c>
      <c r="F67" s="3" t="s">
        <v>202</v>
      </c>
      <c r="G67" s="3" t="s">
        <v>203</v>
      </c>
      <c r="H67" s="2" t="s">
        <v>21</v>
      </c>
      <c r="I67" s="2" t="s">
        <v>264</v>
      </c>
      <c r="J67" s="3" t="str">
        <f>HYPERLINK("https://www.boe.es/gazeta/dias/1816/10/13/pdfs/GMD-1816-128E.pdf#page=7","Abrir facsímil")</f>
        <v>Abrir facsímil</v>
      </c>
      <c r="K67" s="3" t="s">
        <v>23</v>
      </c>
    </row>
    <row r="68" spans="1:11" ht="42" customHeight="1">
      <c r="A68" s="2" t="s">
        <v>265</v>
      </c>
      <c r="B68" s="2" t="s">
        <v>266</v>
      </c>
      <c r="C68" s="2" t="s">
        <v>26</v>
      </c>
      <c r="D68" s="2" t="s">
        <v>18</v>
      </c>
      <c r="E68" s="5">
        <v>-30655</v>
      </c>
      <c r="F68" s="3" t="s">
        <v>170</v>
      </c>
      <c r="G68" s="3" t="s">
        <v>72</v>
      </c>
      <c r="H68" s="2" t="s">
        <v>21</v>
      </c>
      <c r="I68" s="2" t="s">
        <v>267</v>
      </c>
      <c r="J68" s="3" t="str">
        <f>HYPERLINK("https://www.boe.es/gazeta/dias/1816/01/25/pdfs/GMD-1816-11.pdf#page=7","Abrir facsímil")</f>
        <v>Abrir facsímil</v>
      </c>
      <c r="K68" s="3" t="s">
        <v>23</v>
      </c>
    </row>
    <row r="69" spans="1:11" ht="42" customHeight="1">
      <c r="A69" s="2" t="s">
        <v>268</v>
      </c>
      <c r="B69" s="2" t="s">
        <v>269</v>
      </c>
      <c r="C69" s="2" t="s">
        <v>41</v>
      </c>
      <c r="D69" s="2" t="s">
        <v>56</v>
      </c>
      <c r="E69" s="5">
        <v>-30393</v>
      </c>
      <c r="F69" s="3" t="s">
        <v>202</v>
      </c>
      <c r="G69" s="3" t="s">
        <v>270</v>
      </c>
      <c r="H69" s="2" t="s">
        <v>21</v>
      </c>
      <c r="I69" s="2" t="s">
        <v>271</v>
      </c>
      <c r="J69" s="3" t="str">
        <f>HYPERLINK("https://www.boe.es/gazeta/dias/1816/10/13/pdfs/GMD-1816-128E.pdf#page=2","Abrir facsímil")</f>
        <v>Abrir facsímil</v>
      </c>
      <c r="K69" s="3" t="s">
        <v>23</v>
      </c>
    </row>
    <row r="70" spans="1:11" ht="42" customHeight="1">
      <c r="A70" s="2" t="s">
        <v>272</v>
      </c>
      <c r="B70" s="2" t="s">
        <v>273</v>
      </c>
      <c r="C70" s="2" t="s">
        <v>34</v>
      </c>
      <c r="D70" s="2" t="s">
        <v>35</v>
      </c>
      <c r="E70" s="5">
        <v>-30534</v>
      </c>
      <c r="F70" s="3" t="s">
        <v>274</v>
      </c>
      <c r="G70" s="3" t="s">
        <v>47</v>
      </c>
      <c r="H70" s="2" t="s">
        <v>21</v>
      </c>
      <c r="I70" s="2" t="s">
        <v>275</v>
      </c>
      <c r="J70" s="3" t="str">
        <f>HYPERLINK("https://www.boe.es/gazeta/dias/1816/05/25/pdfs/GMD-1816-66.pdf#page=5","Abrir facsímil")</f>
        <v>Abrir facsímil</v>
      </c>
      <c r="K70" s="3" t="s">
        <v>23</v>
      </c>
    </row>
    <row r="71" spans="1:11" ht="42" customHeight="1">
      <c r="A71" s="2" t="s">
        <v>276</v>
      </c>
      <c r="B71" s="2" t="s">
        <v>277</v>
      </c>
      <c r="C71" s="2" t="s">
        <v>34</v>
      </c>
      <c r="D71" s="2" t="s">
        <v>35</v>
      </c>
      <c r="E71" s="5">
        <v>-30639</v>
      </c>
      <c r="F71" s="3" t="s">
        <v>87</v>
      </c>
      <c r="G71" s="3" t="s">
        <v>28</v>
      </c>
      <c r="H71" s="2" t="s">
        <v>21</v>
      </c>
      <c r="I71" s="2" t="s">
        <v>278</v>
      </c>
      <c r="J71" s="3" t="str">
        <f>HYPERLINK("https://www.boe.es/gazeta/dias/1816/02/10/pdfs/GMD-1816-19.pdf#page=6","Abrir facsímil")</f>
        <v>Abrir facsímil</v>
      </c>
      <c r="K71" s="3" t="s">
        <v>23</v>
      </c>
    </row>
    <row r="72" spans="1:11" ht="42" customHeight="1">
      <c r="A72" s="2" t="s">
        <v>276</v>
      </c>
      <c r="B72" s="2" t="s">
        <v>277</v>
      </c>
      <c r="C72" s="2" t="s">
        <v>34</v>
      </c>
      <c r="D72" s="2" t="s">
        <v>35</v>
      </c>
      <c r="E72" s="5">
        <v>-30534</v>
      </c>
      <c r="F72" s="3" t="s">
        <v>274</v>
      </c>
      <c r="G72" s="3" t="s">
        <v>47</v>
      </c>
      <c r="H72" s="2" t="s">
        <v>21</v>
      </c>
      <c r="I72" s="2" t="s">
        <v>279</v>
      </c>
      <c r="J72" s="3" t="str">
        <f>HYPERLINK("https://www.boe.es/gazeta/dias/1816/05/25/pdfs/GMD-1816-66.pdf#page=5","Abrir facsímil")</f>
        <v>Abrir facsímil</v>
      </c>
      <c r="K72" s="3" t="s">
        <v>23</v>
      </c>
    </row>
    <row r="73" spans="1:11" ht="42" customHeight="1">
      <c r="A73" s="2" t="s">
        <v>280</v>
      </c>
      <c r="B73" s="2" t="s">
        <v>281</v>
      </c>
      <c r="C73" s="2" t="s">
        <v>111</v>
      </c>
      <c r="D73" s="2" t="s">
        <v>112</v>
      </c>
      <c r="E73" s="5">
        <v>-30522</v>
      </c>
      <c r="F73" s="3" t="s">
        <v>282</v>
      </c>
      <c r="G73" s="3" t="s">
        <v>47</v>
      </c>
      <c r="H73" s="2" t="s">
        <v>21</v>
      </c>
      <c r="I73" s="2" t="s">
        <v>283</v>
      </c>
      <c r="J73" s="3" t="str">
        <f>HYPERLINK("https://www.boe.es/gazeta/dias/1816/06/06/pdfs/GMD-1816-71.pdf#page=5","Abrir facsímil")</f>
        <v>Abrir facsímil</v>
      </c>
      <c r="K73" s="3" t="s">
        <v>23</v>
      </c>
    </row>
    <row r="74" spans="1:11" ht="42" customHeight="1">
      <c r="A74" s="2" t="s">
        <v>284</v>
      </c>
      <c r="B74" s="2" t="s">
        <v>285</v>
      </c>
      <c r="C74" s="2" t="s">
        <v>34</v>
      </c>
      <c r="D74" s="2" t="s">
        <v>35</v>
      </c>
      <c r="E74" s="5">
        <v>-30578</v>
      </c>
      <c r="F74" s="3" t="s">
        <v>91</v>
      </c>
      <c r="G74" s="3" t="s">
        <v>286</v>
      </c>
      <c r="H74" s="2" t="s">
        <v>21</v>
      </c>
      <c r="I74" s="2" t="s">
        <v>287</v>
      </c>
      <c r="J74" s="3" t="str">
        <f>HYPERLINK("https://www.boe.es/gazeta/dias/1816/04/11/pdfs/GMD-1816-47.pdf#page=11","Abrir facsímil")</f>
        <v>Abrir facsímil</v>
      </c>
      <c r="K74" s="3" t="s">
        <v>23</v>
      </c>
    </row>
    <row r="75" spans="1:11" ht="42" customHeight="1">
      <c r="A75" s="2" t="s">
        <v>288</v>
      </c>
      <c r="B75" s="2" t="s">
        <v>288</v>
      </c>
      <c r="C75" s="2" t="s">
        <v>111</v>
      </c>
      <c r="D75" s="2" t="s">
        <v>112</v>
      </c>
      <c r="E75" s="5">
        <v>-30632</v>
      </c>
      <c r="F75" s="3" t="s">
        <v>89</v>
      </c>
      <c r="G75" s="3" t="s">
        <v>72</v>
      </c>
      <c r="H75" s="2" t="s">
        <v>21</v>
      </c>
      <c r="I75" s="2" t="s">
        <v>289</v>
      </c>
      <c r="J75" s="3" t="str">
        <f>HYPERLINK("https://www.boe.es/gazeta/dias/1816/02/17/pdfs/GMD-1816-22.pdf#page=7","Abrir facsímil")</f>
        <v>Abrir facsímil</v>
      </c>
      <c r="K75" s="3" t="s">
        <v>23</v>
      </c>
    </row>
    <row r="76" spans="1:11" ht="42" customHeight="1">
      <c r="A76" s="2" t="s">
        <v>288</v>
      </c>
      <c r="B76" s="2" t="s">
        <v>288</v>
      </c>
      <c r="C76" s="2" t="s">
        <v>41</v>
      </c>
      <c r="D76" s="2" t="s">
        <v>18</v>
      </c>
      <c r="E76" s="5">
        <v>-30496</v>
      </c>
      <c r="F76" s="3" t="s">
        <v>290</v>
      </c>
      <c r="G76" s="3" t="s">
        <v>291</v>
      </c>
      <c r="H76" s="2" t="s">
        <v>21</v>
      </c>
      <c r="I76" s="2" t="s">
        <v>292</v>
      </c>
      <c r="J76" s="3" t="str">
        <f>HYPERLINK("https://www.boe.es/gazeta/dias/1816/07/02/pdfs/GMD-1816-82.pdf#page=7","Abrir facsímil")</f>
        <v>Abrir facsímil</v>
      </c>
      <c r="K76" s="3" t="s">
        <v>23</v>
      </c>
    </row>
    <row r="77" spans="1:11" ht="42" customHeight="1">
      <c r="A77" s="2" t="s">
        <v>293</v>
      </c>
      <c r="B77" s="2" t="s">
        <v>294</v>
      </c>
      <c r="C77" s="2" t="s">
        <v>34</v>
      </c>
      <c r="D77" s="2" t="s">
        <v>35</v>
      </c>
      <c r="E77" s="5">
        <v>-30408</v>
      </c>
      <c r="F77" s="3" t="s">
        <v>295</v>
      </c>
      <c r="G77" s="3" t="s">
        <v>184</v>
      </c>
      <c r="H77" s="2" t="s">
        <v>21</v>
      </c>
      <c r="I77" s="2" t="s">
        <v>296</v>
      </c>
      <c r="J77" s="3" t="str">
        <f>HYPERLINK("https://www.boe.es/gazeta/dias/1816/09/28/pdfs/GMD-1816-120.pdf#page=3","Abrir facsímil")</f>
        <v>Abrir facsímil</v>
      </c>
      <c r="K77" s="3" t="s">
        <v>23</v>
      </c>
    </row>
    <row r="78" spans="1:11" ht="42" customHeight="1">
      <c r="A78" s="2" t="s">
        <v>297</v>
      </c>
      <c r="B78" s="2" t="s">
        <v>298</v>
      </c>
      <c r="C78" s="2" t="s">
        <v>26</v>
      </c>
      <c r="D78" s="2" t="s">
        <v>18</v>
      </c>
      <c r="E78" s="5">
        <v>-30438</v>
      </c>
      <c r="F78" s="3" t="s">
        <v>299</v>
      </c>
      <c r="G78" s="3" t="s">
        <v>300</v>
      </c>
      <c r="H78" s="2" t="s">
        <v>21</v>
      </c>
      <c r="I78" s="2" t="s">
        <v>301</v>
      </c>
      <c r="J78" s="3" t="str">
        <f>HYPERLINK("https://www.boe.es/gazeta/dias/1816/08/29/pdfs/GMD-1816-107.pdf#page=12","Abrir facsímil")</f>
        <v>Abrir facsímil</v>
      </c>
      <c r="K78" s="3" t="s">
        <v>23</v>
      </c>
    </row>
    <row r="79" spans="1:11" ht="42" customHeight="1">
      <c r="A79" s="2" t="s">
        <v>302</v>
      </c>
      <c r="B79" s="2" t="s">
        <v>303</v>
      </c>
      <c r="C79" s="2" t="s">
        <v>34</v>
      </c>
      <c r="D79" s="2" t="s">
        <v>35</v>
      </c>
      <c r="E79" s="5">
        <v>-30527</v>
      </c>
      <c r="F79" s="3" t="s">
        <v>304</v>
      </c>
      <c r="G79" s="3" t="s">
        <v>47</v>
      </c>
      <c r="H79" s="2" t="s">
        <v>21</v>
      </c>
      <c r="I79" s="2" t="s">
        <v>305</v>
      </c>
      <c r="J79" s="3" t="str">
        <f>HYPERLINK("https://www.boe.es/gazeta/dias/1816/06/01/pdfs/GMD-1816-69.pdf#page=5","Abrir facsímil")</f>
        <v>Abrir facsímil</v>
      </c>
      <c r="K79" s="3" t="s">
        <v>23</v>
      </c>
    </row>
    <row r="80" spans="1:11" ht="42" customHeight="1">
      <c r="A80" s="2" t="s">
        <v>306</v>
      </c>
      <c r="B80" s="2" t="s">
        <v>307</v>
      </c>
      <c r="C80" s="2" t="s">
        <v>111</v>
      </c>
      <c r="D80" s="2" t="s">
        <v>112</v>
      </c>
      <c r="E80" s="5">
        <v>-30601</v>
      </c>
      <c r="F80" s="3" t="s">
        <v>308</v>
      </c>
      <c r="G80" s="3" t="s">
        <v>72</v>
      </c>
      <c r="H80" s="2" t="s">
        <v>21</v>
      </c>
      <c r="I80" s="2" t="s">
        <v>309</v>
      </c>
      <c r="J80" s="3" t="str">
        <f>HYPERLINK("https://www.boe.es/gazeta/dias/1816/03/19/pdfs/GMD-1816-37.pdf#page=7","Abrir facsímil")</f>
        <v>Abrir facsímil</v>
      </c>
      <c r="K80" s="3" t="s">
        <v>23</v>
      </c>
    </row>
    <row r="81" spans="1:11" ht="42" customHeight="1">
      <c r="A81" s="2" t="s">
        <v>310</v>
      </c>
      <c r="B81" s="2" t="s">
        <v>311</v>
      </c>
      <c r="C81" s="2" t="s">
        <v>81</v>
      </c>
      <c r="D81" s="2" t="s">
        <v>18</v>
      </c>
      <c r="E81" s="5">
        <v>-30438</v>
      </c>
      <c r="F81" s="3" t="s">
        <v>299</v>
      </c>
      <c r="G81" s="3" t="s">
        <v>300</v>
      </c>
      <c r="H81" s="2" t="s">
        <v>21</v>
      </c>
      <c r="I81" s="2" t="s">
        <v>312</v>
      </c>
      <c r="J81" s="3" t="str">
        <f>HYPERLINK("https://www.boe.es/gazeta/dias/1816/08/29/pdfs/GMD-1816-107.pdf#page=12","Abrir facsímil")</f>
        <v>Abrir facsímil</v>
      </c>
      <c r="K81" s="3" t="s">
        <v>23</v>
      </c>
    </row>
    <row r="82" spans="1:11" ht="42" customHeight="1">
      <c r="A82" s="2" t="s">
        <v>313</v>
      </c>
      <c r="B82" s="2" t="s">
        <v>314</v>
      </c>
      <c r="C82" s="2" t="s">
        <v>34</v>
      </c>
      <c r="D82" s="2" t="s">
        <v>35</v>
      </c>
      <c r="E82" s="5">
        <v>-30331</v>
      </c>
      <c r="F82" s="3" t="s">
        <v>315</v>
      </c>
      <c r="G82" s="3" t="s">
        <v>42</v>
      </c>
      <c r="H82" s="2" t="s">
        <v>21</v>
      </c>
      <c r="I82" s="2" t="s">
        <v>316</v>
      </c>
      <c r="J82" s="3" t="str">
        <f>HYPERLINK("https://www.boe.es/gazeta/dias/1816/12/14/pdfs/GMD-1816-155.pdf#page=8","Abrir facsímil")</f>
        <v>Abrir facsímil</v>
      </c>
      <c r="K82" s="3" t="s">
        <v>23</v>
      </c>
    </row>
    <row r="83" spans="1:11" ht="42" customHeight="1">
      <c r="A83" s="2" t="s">
        <v>317</v>
      </c>
      <c r="B83" s="2" t="s">
        <v>318</v>
      </c>
      <c r="C83" s="2" t="s">
        <v>111</v>
      </c>
      <c r="D83" s="2" t="s">
        <v>112</v>
      </c>
      <c r="E83" s="5">
        <v>-30475</v>
      </c>
      <c r="F83" s="3" t="s">
        <v>319</v>
      </c>
      <c r="G83" s="3" t="s">
        <v>103</v>
      </c>
      <c r="H83" s="2" t="s">
        <v>21</v>
      </c>
      <c r="I83" s="2" t="s">
        <v>320</v>
      </c>
      <c r="J83" s="3" t="str">
        <f>HYPERLINK("https://www.boe.es/gazeta/dias/1816/07/23/pdfs/GMD-1816-91.pdf#page=4","Abrir facsímil")</f>
        <v>Abrir facsímil</v>
      </c>
      <c r="K83" s="3" t="s">
        <v>23</v>
      </c>
    </row>
    <row r="84" spans="1:11" ht="42" customHeight="1">
      <c r="A84" s="2" t="s">
        <v>321</v>
      </c>
      <c r="B84" s="2" t="s">
        <v>322</v>
      </c>
      <c r="C84" s="2" t="s">
        <v>26</v>
      </c>
      <c r="D84" s="2" t="s">
        <v>18</v>
      </c>
      <c r="E84" s="5">
        <v>-30387</v>
      </c>
      <c r="F84" s="3" t="s">
        <v>224</v>
      </c>
      <c r="G84" s="3" t="s">
        <v>72</v>
      </c>
      <c r="H84" s="2" t="s">
        <v>21</v>
      </c>
      <c r="I84" s="2" t="s">
        <v>323</v>
      </c>
      <c r="J84" s="3" t="str">
        <f>HYPERLINK("https://www.boe.es/gazeta/dias/1816/10/19/pdfs/GMD-1816-131.pdf#page=7","Abrir facsímil")</f>
        <v>Abrir facsímil</v>
      </c>
      <c r="K84" s="3" t="s">
        <v>23</v>
      </c>
    </row>
    <row r="85" spans="1:11" ht="42" customHeight="1">
      <c r="A85" s="2" t="s">
        <v>324</v>
      </c>
      <c r="B85" s="2" t="s">
        <v>325</v>
      </c>
      <c r="C85" s="2" t="s">
        <v>26</v>
      </c>
      <c r="D85" s="2" t="s">
        <v>18</v>
      </c>
      <c r="E85" s="5">
        <v>-30382</v>
      </c>
      <c r="F85" s="3" t="s">
        <v>326</v>
      </c>
      <c r="G85" s="3" t="s">
        <v>47</v>
      </c>
      <c r="H85" s="2" t="s">
        <v>21</v>
      </c>
      <c r="I85" s="2" t="s">
        <v>327</v>
      </c>
      <c r="J85" s="3" t="str">
        <f>HYPERLINK("https://www.boe.es/gazeta/dias/1816/10/24/pdfs/GMD-1816-133.pdf#page=5","Abrir facsímil")</f>
        <v>Abrir facsímil</v>
      </c>
      <c r="K85" s="3" t="s">
        <v>23</v>
      </c>
    </row>
    <row r="86" spans="1:11" ht="42" customHeight="1">
      <c r="A86" s="2" t="s">
        <v>328</v>
      </c>
      <c r="B86" s="2" t="s">
        <v>329</v>
      </c>
      <c r="C86" s="2" t="s">
        <v>26</v>
      </c>
      <c r="D86" s="2" t="s">
        <v>18</v>
      </c>
      <c r="E86" s="5">
        <v>-30445</v>
      </c>
      <c r="F86" s="3" t="s">
        <v>51</v>
      </c>
      <c r="G86" s="3" t="s">
        <v>175</v>
      </c>
      <c r="H86" s="2" t="s">
        <v>21</v>
      </c>
      <c r="I86" s="2" t="s">
        <v>330</v>
      </c>
      <c r="J86" s="3" t="str">
        <f>HYPERLINK("https://www.boe.es/gazeta/dias/1816/08/22/pdfs/GMD-1816-104.pdf#page=11","Abrir facsímil")</f>
        <v>Abrir facsímil</v>
      </c>
      <c r="K86" s="3" t="s">
        <v>23</v>
      </c>
    </row>
    <row r="87" spans="1:11" ht="42" customHeight="1">
      <c r="A87" s="2" t="s">
        <v>331</v>
      </c>
      <c r="B87" s="2" t="s">
        <v>332</v>
      </c>
      <c r="C87" s="2" t="s">
        <v>81</v>
      </c>
      <c r="D87" s="2" t="s">
        <v>18</v>
      </c>
      <c r="E87" s="5">
        <v>-30636</v>
      </c>
      <c r="F87" s="3" t="s">
        <v>82</v>
      </c>
      <c r="G87" s="3" t="s">
        <v>83</v>
      </c>
      <c r="H87" s="2" t="s">
        <v>29</v>
      </c>
      <c r="I87" s="2" t="s">
        <v>333</v>
      </c>
      <c r="J87" s="3" t="str">
        <f>HYPERLINK("https://www.boe.es/gazeta/dias/1816/02/13/pdfs/GMD-1816-20.pdf#page=8","Abrir facsímil")</f>
        <v>Abrir facsímil</v>
      </c>
      <c r="K87" s="3" t="s">
        <v>31</v>
      </c>
    </row>
    <row r="88" spans="1:11" ht="42" customHeight="1">
      <c r="A88" s="2" t="s">
        <v>334</v>
      </c>
      <c r="B88" s="2" t="s">
        <v>335</v>
      </c>
      <c r="C88" s="2" t="s">
        <v>34</v>
      </c>
      <c r="D88" s="2" t="s">
        <v>35</v>
      </c>
      <c r="E88" s="5">
        <v>-30473</v>
      </c>
      <c r="F88" s="3" t="s">
        <v>336</v>
      </c>
      <c r="G88" s="3" t="s">
        <v>337</v>
      </c>
      <c r="H88" s="2" t="s">
        <v>21</v>
      </c>
      <c r="I88" s="2" t="s">
        <v>338</v>
      </c>
      <c r="J88" s="3" t="str">
        <f>HYPERLINK("https://www.boe.es/gazeta/dias/1816/07/25/pdfs/GMD-1816-92.pdf#page=3","Abrir facsímil")</f>
        <v>Abrir facsímil</v>
      </c>
      <c r="K88" s="3" t="s">
        <v>23</v>
      </c>
    </row>
    <row r="89" spans="1:11" ht="42" customHeight="1">
      <c r="A89" s="2" t="s">
        <v>339</v>
      </c>
      <c r="B89" s="2" t="s">
        <v>340</v>
      </c>
      <c r="C89" s="2" t="s">
        <v>34</v>
      </c>
      <c r="D89" s="2" t="s">
        <v>35</v>
      </c>
      <c r="E89" s="5">
        <v>-30587</v>
      </c>
      <c r="F89" s="3" t="s">
        <v>341</v>
      </c>
      <c r="G89" s="3" t="s">
        <v>72</v>
      </c>
      <c r="H89" s="2" t="s">
        <v>21</v>
      </c>
      <c r="I89" s="2" t="s">
        <v>342</v>
      </c>
      <c r="J89" s="3" t="str">
        <f>HYPERLINK("https://www.boe.es/gazeta/dias/1816/04/02/pdfs/GMD-1816-43.pdf#page=7","Abrir facsímil")</f>
        <v>Abrir facsímil</v>
      </c>
      <c r="K89" s="3" t="s">
        <v>23</v>
      </c>
    </row>
    <row r="90" spans="1:11" ht="42" customHeight="1">
      <c r="A90" s="2" t="s">
        <v>343</v>
      </c>
      <c r="B90" s="2" t="s">
        <v>344</v>
      </c>
      <c r="C90" s="2" t="s">
        <v>111</v>
      </c>
      <c r="D90" s="2" t="s">
        <v>112</v>
      </c>
      <c r="E90" s="5">
        <v>-30555</v>
      </c>
      <c r="F90" s="3" t="s">
        <v>345</v>
      </c>
      <c r="G90" s="3" t="s">
        <v>42</v>
      </c>
      <c r="H90" s="2" t="s">
        <v>21</v>
      </c>
      <c r="I90" s="2" t="s">
        <v>346</v>
      </c>
      <c r="J90" s="3" t="str">
        <f>HYPERLINK("https://www.boe.es/gazeta/dias/1816/05/04/pdfs/GMD-1816-57.pdf#page=8","Abrir facsímil")</f>
        <v>Abrir facsímil</v>
      </c>
      <c r="K90" s="3" t="s">
        <v>23</v>
      </c>
    </row>
    <row r="91" spans="1:11" ht="42" customHeight="1">
      <c r="A91" s="2" t="s">
        <v>347</v>
      </c>
      <c r="B91" s="2" t="s">
        <v>348</v>
      </c>
      <c r="C91" s="2" t="s">
        <v>111</v>
      </c>
      <c r="D91" s="2" t="s">
        <v>112</v>
      </c>
      <c r="E91" s="5">
        <v>-30450</v>
      </c>
      <c r="F91" s="3" t="s">
        <v>349</v>
      </c>
      <c r="G91" s="3" t="s">
        <v>42</v>
      </c>
      <c r="H91" s="2" t="s">
        <v>21</v>
      </c>
      <c r="I91" s="2" t="s">
        <v>350</v>
      </c>
      <c r="J91" s="3" t="str">
        <f>HYPERLINK("https://www.boe.es/gazeta/dias/1816/08/17/pdfs/GMD-1816-102.pdf#page=8","Abrir facsímil")</f>
        <v>Abrir facsímil</v>
      </c>
      <c r="K91" s="3" t="s">
        <v>23</v>
      </c>
    </row>
    <row r="92" spans="1:11" ht="42" customHeight="1">
      <c r="A92" s="2" t="s">
        <v>351</v>
      </c>
      <c r="B92" s="2" t="s">
        <v>352</v>
      </c>
      <c r="C92" s="2" t="s">
        <v>26</v>
      </c>
      <c r="D92" s="2" t="s">
        <v>18</v>
      </c>
      <c r="E92" s="5">
        <v>-30576</v>
      </c>
      <c r="F92" s="3" t="s">
        <v>353</v>
      </c>
      <c r="G92" s="3" t="s">
        <v>72</v>
      </c>
      <c r="H92" s="2" t="s">
        <v>21</v>
      </c>
      <c r="I92" s="2" t="s">
        <v>354</v>
      </c>
      <c r="J92" s="3" t="str">
        <f>HYPERLINK("https://www.boe.es/gazeta/dias/1816/04/13/pdfs/GMD-1816-48.pdf#page=7","Abrir facsímil")</f>
        <v>Abrir facsímil</v>
      </c>
      <c r="K92" s="3" t="s">
        <v>23</v>
      </c>
    </row>
    <row r="93" spans="1:11" ht="42" customHeight="1">
      <c r="A93" s="2" t="s">
        <v>355</v>
      </c>
      <c r="B93" s="2" t="s">
        <v>356</v>
      </c>
      <c r="C93" s="2" t="s">
        <v>26</v>
      </c>
      <c r="D93" s="2" t="s">
        <v>18</v>
      </c>
      <c r="E93" s="5">
        <v>-30424</v>
      </c>
      <c r="F93" s="3" t="s">
        <v>142</v>
      </c>
      <c r="G93" s="3" t="s">
        <v>175</v>
      </c>
      <c r="H93" s="2" t="s">
        <v>21</v>
      </c>
      <c r="I93" s="2" t="s">
        <v>357</v>
      </c>
      <c r="J93" s="3" t="str">
        <f>HYPERLINK("https://www.boe.es/gazeta/dias/1816/09/12/pdfs/GMD-1816-113.pdf#page=11","Abrir facsímil")</f>
        <v>Abrir facsímil</v>
      </c>
      <c r="K93" s="3" t="s">
        <v>23</v>
      </c>
    </row>
    <row r="94" spans="1:11" ht="42" customHeight="1">
      <c r="A94" s="2" t="s">
        <v>358</v>
      </c>
      <c r="B94" s="2" t="s">
        <v>359</v>
      </c>
      <c r="C94" s="2" t="s">
        <v>34</v>
      </c>
      <c r="D94" s="2" t="s">
        <v>35</v>
      </c>
      <c r="E94" s="5">
        <v>-30349</v>
      </c>
      <c r="F94" s="3" t="s">
        <v>360</v>
      </c>
      <c r="G94" s="3" t="s">
        <v>103</v>
      </c>
      <c r="H94" s="2" t="s">
        <v>21</v>
      </c>
      <c r="I94" s="2" t="s">
        <v>361</v>
      </c>
      <c r="J94" s="3" t="str">
        <f>HYPERLINK("https://www.boe.es/gazeta/dias/1816/11/26/pdfs/GMD-1816-147.pdf#page=4","Abrir facsímil")</f>
        <v>Abrir facsímil</v>
      </c>
      <c r="K94" s="3" t="s">
        <v>23</v>
      </c>
    </row>
    <row r="95" spans="1:11" ht="42" customHeight="1">
      <c r="A95" s="2" t="s">
        <v>362</v>
      </c>
      <c r="B95" s="2" t="s">
        <v>363</v>
      </c>
      <c r="C95" s="2" t="s">
        <v>26</v>
      </c>
      <c r="D95" s="2" t="s">
        <v>18</v>
      </c>
      <c r="E95" s="5">
        <v>-30478</v>
      </c>
      <c r="F95" s="3" t="s">
        <v>123</v>
      </c>
      <c r="G95" s="3" t="s">
        <v>28</v>
      </c>
      <c r="H95" s="2" t="s">
        <v>21</v>
      </c>
      <c r="I95" s="2" t="s">
        <v>364</v>
      </c>
      <c r="J95" s="3" t="str">
        <f>HYPERLINK("https://www.boe.es/gazeta/dias/1816/07/20/pdfs/GMD-1816-90.pdf#page=6","Abrir facsímil")</f>
        <v>Abrir facsímil</v>
      </c>
      <c r="K95" s="3" t="s">
        <v>23</v>
      </c>
    </row>
    <row r="96" spans="1:11" ht="42" customHeight="1">
      <c r="A96" s="2" t="s">
        <v>365</v>
      </c>
      <c r="B96" s="2" t="s">
        <v>366</v>
      </c>
      <c r="C96" s="2" t="s">
        <v>26</v>
      </c>
      <c r="D96" s="2" t="s">
        <v>18</v>
      </c>
      <c r="E96" s="5">
        <v>-30601</v>
      </c>
      <c r="F96" s="3" t="s">
        <v>308</v>
      </c>
      <c r="G96" s="3" t="s">
        <v>72</v>
      </c>
      <c r="H96" s="2" t="s">
        <v>21</v>
      </c>
      <c r="I96" s="2" t="s">
        <v>367</v>
      </c>
      <c r="J96" s="3" t="str">
        <f>HYPERLINK("https://www.boe.es/gazeta/dias/1816/03/19/pdfs/GMD-1816-37.pdf#page=7","Abrir facsímil")</f>
        <v>Abrir facsímil</v>
      </c>
      <c r="K96" s="3" t="s">
        <v>23</v>
      </c>
    </row>
    <row r="97" spans="1:11" ht="42" customHeight="1">
      <c r="A97" s="2" t="s">
        <v>368</v>
      </c>
      <c r="B97" s="2" t="s">
        <v>369</v>
      </c>
      <c r="C97" s="2" t="s">
        <v>67</v>
      </c>
      <c r="D97" s="2" t="s">
        <v>18</v>
      </c>
      <c r="E97" s="5">
        <v>-30482</v>
      </c>
      <c r="F97" s="3" t="s">
        <v>370</v>
      </c>
      <c r="G97" s="3" t="s">
        <v>103</v>
      </c>
      <c r="H97" s="2" t="s">
        <v>21</v>
      </c>
      <c r="I97" s="2" t="s">
        <v>371</v>
      </c>
      <c r="J97" s="3" t="str">
        <f>HYPERLINK("https://www.boe.es/gazeta/dias/1816/07/16/pdfs/GMD-1816-88.pdf#page=4","Abrir facsímil")</f>
        <v>Abrir facsímil</v>
      </c>
      <c r="K97" s="3" t="s">
        <v>23</v>
      </c>
    </row>
    <row r="98" spans="1:11" ht="42" customHeight="1">
      <c r="A98" s="2" t="s">
        <v>372</v>
      </c>
      <c r="B98" s="2" t="s">
        <v>373</v>
      </c>
      <c r="C98" s="2" t="s">
        <v>111</v>
      </c>
      <c r="D98" s="2" t="s">
        <v>112</v>
      </c>
      <c r="E98" s="5">
        <v>-30349</v>
      </c>
      <c r="F98" s="3" t="s">
        <v>360</v>
      </c>
      <c r="G98" s="3" t="s">
        <v>103</v>
      </c>
      <c r="H98" s="2" t="s">
        <v>29</v>
      </c>
      <c r="I98" s="2" t="s">
        <v>374</v>
      </c>
      <c r="J98" s="3" t="str">
        <f>HYPERLINK("https://www.boe.es/gazeta/dias/1816/11/26/pdfs/GMD-1816-147.pdf#page=4","Abrir facsímil")</f>
        <v>Abrir facsímil</v>
      </c>
      <c r="K98" s="3" t="s">
        <v>31</v>
      </c>
    </row>
    <row r="99" spans="1:11" ht="42" customHeight="1">
      <c r="A99" s="2" t="s">
        <v>375</v>
      </c>
      <c r="B99" s="2" t="s">
        <v>376</v>
      </c>
      <c r="C99" s="2" t="s">
        <v>34</v>
      </c>
      <c r="D99" s="2" t="s">
        <v>35</v>
      </c>
      <c r="E99" s="5">
        <v>-30326</v>
      </c>
      <c r="F99" s="3" t="s">
        <v>377</v>
      </c>
      <c r="G99" s="3" t="s">
        <v>184</v>
      </c>
      <c r="H99" s="2" t="s">
        <v>21</v>
      </c>
      <c r="I99" s="2" t="s">
        <v>378</v>
      </c>
      <c r="J99" s="3" t="str">
        <f>HYPERLINK("https://www.boe.es/gazeta/dias/1816/12/19/pdfs/GMD-1816-157.pdf#page=3","Abrir facsímil")</f>
        <v>Abrir facsímil</v>
      </c>
      <c r="K99" s="3" t="s">
        <v>23</v>
      </c>
    </row>
    <row r="100" spans="1:11" ht="42" customHeight="1">
      <c r="A100" s="2" t="s">
        <v>379</v>
      </c>
      <c r="B100" s="2" t="s">
        <v>380</v>
      </c>
      <c r="C100" s="2" t="s">
        <v>26</v>
      </c>
      <c r="D100" s="2" t="s">
        <v>56</v>
      </c>
      <c r="E100" s="5">
        <v>-30393</v>
      </c>
      <c r="F100" s="3" t="s">
        <v>202</v>
      </c>
      <c r="G100" s="3" t="s">
        <v>203</v>
      </c>
      <c r="H100" s="2" t="s">
        <v>21</v>
      </c>
      <c r="I100" s="2" t="s">
        <v>381</v>
      </c>
      <c r="J100" s="3" t="str">
        <f>HYPERLINK("https://www.boe.es/gazeta/dias/1816/10/13/pdfs/GMD-1816-128E.pdf#page=7","Abrir facsímil")</f>
        <v>Abrir facsímil</v>
      </c>
      <c r="K100" s="3" t="s">
        <v>23</v>
      </c>
    </row>
    <row r="101" spans="1:11" ht="42" customHeight="1">
      <c r="A101" s="2" t="s">
        <v>382</v>
      </c>
      <c r="B101" s="2" t="s">
        <v>382</v>
      </c>
      <c r="C101" s="2" t="s">
        <v>34</v>
      </c>
      <c r="D101" s="2" t="s">
        <v>35</v>
      </c>
      <c r="E101" s="5">
        <v>-30468</v>
      </c>
      <c r="F101" s="3" t="s">
        <v>383</v>
      </c>
      <c r="G101" s="3" t="s">
        <v>184</v>
      </c>
      <c r="H101" s="2" t="s">
        <v>21</v>
      </c>
      <c r="I101" s="2" t="s">
        <v>384</v>
      </c>
      <c r="J101" s="3" t="str">
        <f>HYPERLINK("https://www.boe.es/gazeta/dias/1816/07/30/pdfs/GMD-1816-94.pdf#page=3","Abrir facsímil")</f>
        <v>Abrir facsímil</v>
      </c>
      <c r="K101" s="3" t="s">
        <v>23</v>
      </c>
    </row>
    <row r="102" spans="1:11" ht="42" customHeight="1">
      <c r="A102" s="2" t="s">
        <v>385</v>
      </c>
      <c r="B102" s="2" t="s">
        <v>386</v>
      </c>
      <c r="C102" s="2" t="s">
        <v>387</v>
      </c>
      <c r="D102" s="2" t="s">
        <v>18</v>
      </c>
      <c r="E102" s="5">
        <v>-30412</v>
      </c>
      <c r="F102" s="3" t="s">
        <v>388</v>
      </c>
      <c r="G102" s="3" t="s">
        <v>389</v>
      </c>
      <c r="H102" s="2" t="s">
        <v>21</v>
      </c>
      <c r="I102" s="2" t="s">
        <v>390</v>
      </c>
      <c r="J102" s="3" t="str">
        <f>HYPERLINK("https://www.boe.es/gazeta/dias/1816/09/24/pdfs/GMD-1816-118.pdf#page=4","Abrir facsímil")</f>
        <v>Abrir facsímil</v>
      </c>
      <c r="K102" s="3" t="s">
        <v>23</v>
      </c>
    </row>
    <row r="103" spans="1:11" ht="42" customHeight="1">
      <c r="A103" s="2" t="s">
        <v>391</v>
      </c>
      <c r="B103" s="2" t="s">
        <v>391</v>
      </c>
      <c r="C103" s="2" t="s">
        <v>34</v>
      </c>
      <c r="D103" s="2" t="s">
        <v>35</v>
      </c>
      <c r="E103" s="5">
        <v>-30613</v>
      </c>
      <c r="F103" s="3" t="s">
        <v>392</v>
      </c>
      <c r="G103" s="3" t="s">
        <v>393</v>
      </c>
      <c r="H103" s="2" t="s">
        <v>21</v>
      </c>
      <c r="I103" s="2" t="s">
        <v>394</v>
      </c>
      <c r="J103" s="3" t="str">
        <f>HYPERLINK("https://www.boe.es/gazeta/dias/1816/03/07/pdfs/GMD-1816-31.pdf#page=2","Abrir facsímil")</f>
        <v>Abrir facsímil</v>
      </c>
      <c r="K103" s="3" t="s">
        <v>23</v>
      </c>
    </row>
    <row r="104" spans="1:11" ht="42" customHeight="1">
      <c r="A104" s="2" t="s">
        <v>395</v>
      </c>
      <c r="B104" s="2" t="s">
        <v>396</v>
      </c>
      <c r="C104" s="2" t="s">
        <v>34</v>
      </c>
      <c r="D104" s="2" t="s">
        <v>35</v>
      </c>
      <c r="E104" s="5">
        <v>-30487</v>
      </c>
      <c r="F104" s="3" t="s">
        <v>397</v>
      </c>
      <c r="G104" s="3" t="s">
        <v>58</v>
      </c>
      <c r="H104" s="2" t="s">
        <v>21</v>
      </c>
      <c r="I104" s="2" t="s">
        <v>398</v>
      </c>
      <c r="J104" s="3" t="str">
        <f>HYPERLINK("https://www.boe.es/gazeta/dias/1816/07/11/pdfs/GMD-1816-86.pdf#page=1","Abrir facsímil")</f>
        <v>Abrir facsímil</v>
      </c>
      <c r="K104" s="3" t="s">
        <v>23</v>
      </c>
    </row>
    <row r="105" spans="1:11" ht="42" customHeight="1">
      <c r="A105" s="2" t="s">
        <v>399</v>
      </c>
      <c r="B105" s="2" t="s">
        <v>400</v>
      </c>
      <c r="C105" s="2" t="s">
        <v>17</v>
      </c>
      <c r="D105" s="2" t="s">
        <v>18</v>
      </c>
      <c r="E105" s="5">
        <v>-30438</v>
      </c>
      <c r="F105" s="3" t="s">
        <v>299</v>
      </c>
      <c r="G105" s="3" t="s">
        <v>92</v>
      </c>
      <c r="H105" s="2" t="s">
        <v>21</v>
      </c>
      <c r="I105" s="2" t="s">
        <v>401</v>
      </c>
      <c r="J105" s="3" t="str">
        <f>HYPERLINK("https://www.boe.es/gazeta/dias/1816/08/29/pdfs/GMD-1816-107.pdf#page=9","Abrir facsímil")</f>
        <v>Abrir facsímil</v>
      </c>
      <c r="K105" s="3" t="s">
        <v>23</v>
      </c>
    </row>
    <row r="106" spans="1:11" ht="42" customHeight="1">
      <c r="A106" s="2" t="s">
        <v>402</v>
      </c>
      <c r="B106" s="2" t="s">
        <v>403</v>
      </c>
      <c r="C106" s="2" t="s">
        <v>34</v>
      </c>
      <c r="D106" s="2" t="s">
        <v>35</v>
      </c>
      <c r="E106" s="5">
        <v>-30375</v>
      </c>
      <c r="F106" s="3" t="s">
        <v>404</v>
      </c>
      <c r="G106" s="3" t="s">
        <v>405</v>
      </c>
      <c r="H106" s="2" t="s">
        <v>21</v>
      </c>
      <c r="I106" s="2" t="s">
        <v>406</v>
      </c>
      <c r="J106" s="3" t="str">
        <f>HYPERLINK("https://www.boe.es/gazeta/dias/1816/10/31/pdfs/GMD-1816-136.pdf#page=6","Abrir facsímil")</f>
        <v>Abrir facsímil</v>
      </c>
      <c r="K106" s="3" t="s">
        <v>23</v>
      </c>
    </row>
    <row r="107" spans="1:11" ht="42" customHeight="1">
      <c r="A107" s="2" t="s">
        <v>402</v>
      </c>
      <c r="B107" s="2" t="s">
        <v>403</v>
      </c>
      <c r="C107" s="2" t="s">
        <v>111</v>
      </c>
      <c r="D107" s="2" t="s">
        <v>112</v>
      </c>
      <c r="E107" s="5">
        <v>-30352</v>
      </c>
      <c r="F107" s="3" t="s">
        <v>407</v>
      </c>
      <c r="G107" s="3" t="s">
        <v>184</v>
      </c>
      <c r="H107" s="2" t="s">
        <v>21</v>
      </c>
      <c r="I107" s="2" t="s">
        <v>408</v>
      </c>
      <c r="J107" s="3" t="str">
        <f>HYPERLINK("https://www.boe.es/gazeta/dias/1816/11/23/pdfs/GMD-1816-146.pdf#page=3","Abrir facsímil")</f>
        <v>Abrir facsímil</v>
      </c>
      <c r="K107" s="3" t="s">
        <v>23</v>
      </c>
    </row>
    <row r="108" spans="1:11" ht="42" customHeight="1">
      <c r="A108" s="2" t="s">
        <v>409</v>
      </c>
      <c r="B108" s="2" t="s">
        <v>410</v>
      </c>
      <c r="C108" s="2" t="s">
        <v>67</v>
      </c>
      <c r="D108" s="2" t="s">
        <v>18</v>
      </c>
      <c r="E108" s="5">
        <v>-30450</v>
      </c>
      <c r="F108" s="3" t="s">
        <v>349</v>
      </c>
      <c r="G108" s="3" t="s">
        <v>47</v>
      </c>
      <c r="H108" s="2" t="s">
        <v>21</v>
      </c>
      <c r="I108" s="2" t="s">
        <v>411</v>
      </c>
      <c r="J108" s="3" t="str">
        <f>HYPERLINK("https://www.boe.es/gazeta/dias/1816/08/17/pdfs/GMD-1816-102.pdf#page=5","Abrir facsímil")</f>
        <v>Abrir facsímil</v>
      </c>
      <c r="K108" s="3" t="s">
        <v>23</v>
      </c>
    </row>
    <row r="109" spans="1:11" ht="42" customHeight="1">
      <c r="A109" s="2" t="s">
        <v>412</v>
      </c>
      <c r="B109" s="2" t="s">
        <v>413</v>
      </c>
      <c r="C109" s="2" t="s">
        <v>34</v>
      </c>
      <c r="D109" s="2" t="s">
        <v>35</v>
      </c>
      <c r="E109" s="5">
        <v>-30382</v>
      </c>
      <c r="F109" s="3" t="s">
        <v>326</v>
      </c>
      <c r="G109" s="3" t="s">
        <v>47</v>
      </c>
      <c r="H109" s="2" t="s">
        <v>21</v>
      </c>
      <c r="I109" s="2" t="s">
        <v>414</v>
      </c>
      <c r="J109" s="3" t="str">
        <f>HYPERLINK("https://www.boe.es/gazeta/dias/1816/10/24/pdfs/GMD-1816-133.pdf#page=5","Abrir facsímil")</f>
        <v>Abrir facsímil</v>
      </c>
      <c r="K109" s="3" t="s">
        <v>23</v>
      </c>
    </row>
    <row r="110" spans="1:11" ht="42" customHeight="1">
      <c r="A110" s="2" t="s">
        <v>415</v>
      </c>
      <c r="B110" s="2" t="s">
        <v>416</v>
      </c>
      <c r="C110" s="2" t="s">
        <v>111</v>
      </c>
      <c r="D110" s="2" t="s">
        <v>112</v>
      </c>
      <c r="E110" s="5">
        <v>-30412</v>
      </c>
      <c r="F110" s="3" t="s">
        <v>388</v>
      </c>
      <c r="G110" s="3" t="s">
        <v>72</v>
      </c>
      <c r="H110" s="2" t="s">
        <v>21</v>
      </c>
      <c r="I110" s="2" t="s">
        <v>417</v>
      </c>
      <c r="J110" s="3" t="str">
        <f>HYPERLINK("https://www.boe.es/gazeta/dias/1816/09/24/pdfs/GMD-1816-118.pdf#page=7","Abrir facsímil")</f>
        <v>Abrir facsímil</v>
      </c>
      <c r="K110" s="3" t="s">
        <v>23</v>
      </c>
    </row>
    <row r="111" spans="1:11" ht="42" customHeight="1">
      <c r="A111" s="2" t="s">
        <v>418</v>
      </c>
      <c r="B111" s="2" t="s">
        <v>419</v>
      </c>
      <c r="C111" s="2" t="s">
        <v>26</v>
      </c>
      <c r="D111" s="2" t="s">
        <v>18</v>
      </c>
      <c r="E111" s="5">
        <v>-30438</v>
      </c>
      <c r="F111" s="3" t="s">
        <v>299</v>
      </c>
      <c r="G111" s="3" t="s">
        <v>300</v>
      </c>
      <c r="H111" s="2" t="s">
        <v>21</v>
      </c>
      <c r="I111" s="2" t="s">
        <v>420</v>
      </c>
      <c r="J111" s="3" t="str">
        <f>HYPERLINK("https://www.boe.es/gazeta/dias/1816/08/29/pdfs/GMD-1816-107.pdf#page=12","Abrir facsímil")</f>
        <v>Abrir facsímil</v>
      </c>
      <c r="K111" s="3" t="s">
        <v>23</v>
      </c>
    </row>
    <row r="112" spans="1:11" ht="42" customHeight="1">
      <c r="A112" s="2" t="s">
        <v>421</v>
      </c>
      <c r="B112" s="2" t="s">
        <v>422</v>
      </c>
      <c r="C112" s="2" t="s">
        <v>26</v>
      </c>
      <c r="D112" s="2" t="s">
        <v>56</v>
      </c>
      <c r="E112" s="5">
        <v>-30393</v>
      </c>
      <c r="F112" s="3" t="s">
        <v>202</v>
      </c>
      <c r="G112" s="3" t="s">
        <v>47</v>
      </c>
      <c r="H112" s="2" t="s">
        <v>21</v>
      </c>
      <c r="I112" s="2" t="s">
        <v>423</v>
      </c>
      <c r="J112" s="3" t="str">
        <f>HYPERLINK("https://www.boe.es/gazeta/dias/1816/10/13/pdfs/GMD-1816-128E.pdf#page=5","Abrir facsímil")</f>
        <v>Abrir facsímil</v>
      </c>
      <c r="K112" s="3" t="s">
        <v>23</v>
      </c>
    </row>
    <row r="113" spans="1:11" ht="42" customHeight="1">
      <c r="A113" s="2" t="s">
        <v>424</v>
      </c>
      <c r="B113" s="2" t="s">
        <v>425</v>
      </c>
      <c r="C113" s="2" t="s">
        <v>34</v>
      </c>
      <c r="D113" s="2" t="s">
        <v>56</v>
      </c>
      <c r="E113" s="5">
        <v>-30393</v>
      </c>
      <c r="F113" s="3" t="s">
        <v>202</v>
      </c>
      <c r="G113" s="3" t="s">
        <v>270</v>
      </c>
      <c r="H113" s="2" t="s">
        <v>21</v>
      </c>
      <c r="I113" s="2" t="s">
        <v>426</v>
      </c>
      <c r="J113" s="3" t="str">
        <f>HYPERLINK("https://www.boe.es/gazeta/dias/1816/10/13/pdfs/GMD-1816-128E.pdf#page=2","Abrir facsímil")</f>
        <v>Abrir facsímil</v>
      </c>
      <c r="K113" s="3" t="s">
        <v>23</v>
      </c>
    </row>
    <row r="114" spans="1:11" ht="42" customHeight="1">
      <c r="A114" s="2" t="s">
        <v>427</v>
      </c>
      <c r="B114" s="2" t="s">
        <v>428</v>
      </c>
      <c r="C114" s="2" t="s">
        <v>34</v>
      </c>
      <c r="D114" s="2" t="s">
        <v>35</v>
      </c>
      <c r="E114" s="5">
        <v>-30527</v>
      </c>
      <c r="F114" s="3" t="s">
        <v>304</v>
      </c>
      <c r="G114" s="3" t="s">
        <v>103</v>
      </c>
      <c r="H114" s="2" t="s">
        <v>21</v>
      </c>
      <c r="I114" s="2" t="s">
        <v>429</v>
      </c>
      <c r="J114" s="3" t="str">
        <f>HYPERLINK("https://www.boe.es/gazeta/dias/1816/06/01/pdfs/GMD-1816-69.pdf#page=4","Abrir facsímil")</f>
        <v>Abrir facsímil</v>
      </c>
      <c r="K114" s="3" t="s">
        <v>23</v>
      </c>
    </row>
    <row r="115" spans="1:11" ht="42" customHeight="1">
      <c r="A115" s="2" t="s">
        <v>430</v>
      </c>
      <c r="B115" s="2" t="s">
        <v>431</v>
      </c>
      <c r="C115" s="2" t="s">
        <v>81</v>
      </c>
      <c r="D115" s="2" t="s">
        <v>18</v>
      </c>
      <c r="E115" s="5">
        <v>-30529</v>
      </c>
      <c r="F115" s="3" t="s">
        <v>432</v>
      </c>
      <c r="G115" s="3" t="s">
        <v>72</v>
      </c>
      <c r="H115" s="2" t="s">
        <v>21</v>
      </c>
      <c r="I115" s="2" t="s">
        <v>433</v>
      </c>
      <c r="J115" s="3" t="str">
        <f>HYPERLINK("https://www.boe.es/gazeta/dias/1816/05/30/pdfs/GMD-1816-68.pdf#page=7","Abrir facsímil")</f>
        <v>Abrir facsímil</v>
      </c>
      <c r="K115" s="3" t="s">
        <v>23</v>
      </c>
    </row>
    <row r="116" spans="1:11" ht="42" customHeight="1">
      <c r="A116" s="2" t="s">
        <v>434</v>
      </c>
      <c r="B116" s="2" t="s">
        <v>434</v>
      </c>
      <c r="C116" s="2" t="s">
        <v>17</v>
      </c>
      <c r="D116" s="2" t="s">
        <v>18</v>
      </c>
      <c r="E116" s="5">
        <v>-30550</v>
      </c>
      <c r="F116" s="3" t="s">
        <v>435</v>
      </c>
      <c r="G116" s="3" t="s">
        <v>103</v>
      </c>
      <c r="H116" s="2" t="s">
        <v>21</v>
      </c>
      <c r="I116" s="2" t="s">
        <v>436</v>
      </c>
      <c r="J116" s="3" t="str">
        <f>HYPERLINK("https://www.boe.es/gazeta/dias/1816/05/09/pdfs/GMD-1816-59.pdf#page=4","Abrir facsímil")</f>
        <v>Abrir facsímil</v>
      </c>
      <c r="K116" s="3" t="s">
        <v>23</v>
      </c>
    </row>
    <row r="117" spans="1:11" ht="42" customHeight="1">
      <c r="A117" s="2" t="s">
        <v>437</v>
      </c>
      <c r="B117" s="2" t="s">
        <v>438</v>
      </c>
      <c r="C117" s="2" t="s">
        <v>111</v>
      </c>
      <c r="D117" s="2" t="s">
        <v>112</v>
      </c>
      <c r="E117" s="5">
        <v>-30550</v>
      </c>
      <c r="F117" s="3" t="s">
        <v>435</v>
      </c>
      <c r="G117" s="3" t="s">
        <v>103</v>
      </c>
      <c r="H117" s="2" t="s">
        <v>21</v>
      </c>
      <c r="I117" s="2" t="s">
        <v>439</v>
      </c>
      <c r="J117" s="3" t="str">
        <f>HYPERLINK("https://www.boe.es/gazeta/dias/1816/05/09/pdfs/GMD-1816-59.pdf#page=4","Abrir facsímil")</f>
        <v>Abrir facsímil</v>
      </c>
      <c r="K117" s="3" t="s">
        <v>23</v>
      </c>
    </row>
    <row r="118" spans="1:11" ht="42" customHeight="1">
      <c r="A118" s="2" t="s">
        <v>440</v>
      </c>
      <c r="B118" s="2" t="s">
        <v>441</v>
      </c>
      <c r="C118" s="2" t="s">
        <v>111</v>
      </c>
      <c r="D118" s="2" t="s">
        <v>112</v>
      </c>
      <c r="E118" s="5">
        <v>-30527</v>
      </c>
      <c r="F118" s="3" t="s">
        <v>304</v>
      </c>
      <c r="G118" s="3" t="s">
        <v>42</v>
      </c>
      <c r="H118" s="2" t="s">
        <v>21</v>
      </c>
      <c r="I118" s="2" t="s">
        <v>442</v>
      </c>
      <c r="J118" s="3" t="str">
        <f>HYPERLINK("https://www.boe.es/gazeta/dias/1816/06/01/pdfs/GMD-1816-69.pdf#page=8","Abrir facsímil")</f>
        <v>Abrir facsímil</v>
      </c>
      <c r="K118" s="3" t="s">
        <v>23</v>
      </c>
    </row>
    <row r="119" spans="1:11" ht="42" customHeight="1">
      <c r="A119" s="2" t="s">
        <v>440</v>
      </c>
      <c r="B119" s="2" t="s">
        <v>441</v>
      </c>
      <c r="C119" s="2" t="s">
        <v>67</v>
      </c>
      <c r="D119" s="2" t="s">
        <v>18</v>
      </c>
      <c r="E119" s="5">
        <v>-30492</v>
      </c>
      <c r="F119" s="3" t="s">
        <v>248</v>
      </c>
      <c r="G119" s="3" t="s">
        <v>443</v>
      </c>
      <c r="H119" s="2" t="s">
        <v>21</v>
      </c>
      <c r="I119" s="2" t="s">
        <v>444</v>
      </c>
      <c r="J119" s="3" t="str">
        <f>HYPERLINK("https://www.boe.es/gazeta/dias/1816/07/06/pdfs/GMD-1816-84.pdf#page=12","Abrir facsímil")</f>
        <v>Abrir facsímil</v>
      </c>
      <c r="K119" s="3" t="s">
        <v>23</v>
      </c>
    </row>
    <row r="120" spans="1:11" ht="42" customHeight="1">
      <c r="A120" s="2" t="s">
        <v>445</v>
      </c>
      <c r="B120" s="2" t="s">
        <v>446</v>
      </c>
      <c r="C120" s="2" t="s">
        <v>111</v>
      </c>
      <c r="D120" s="2" t="s">
        <v>112</v>
      </c>
      <c r="E120" s="5">
        <v>-30398</v>
      </c>
      <c r="F120" s="3" t="s">
        <v>447</v>
      </c>
      <c r="G120" s="3" t="s">
        <v>42</v>
      </c>
      <c r="H120" s="2" t="s">
        <v>21</v>
      </c>
      <c r="I120" s="2" t="s">
        <v>448</v>
      </c>
      <c r="J120" s="3" t="str">
        <f>HYPERLINK("https://www.boe.es/gazeta/dias/1816/10/08/pdfs/GMD-1816-125.pdf#page=8","Abrir facsímil")</f>
        <v>Abrir facsímil</v>
      </c>
      <c r="K120" s="3" t="s">
        <v>23</v>
      </c>
    </row>
    <row r="121" spans="1:11" ht="42" customHeight="1">
      <c r="A121" s="2" t="s">
        <v>449</v>
      </c>
      <c r="B121" s="2" t="s">
        <v>449</v>
      </c>
      <c r="C121" s="2" t="s">
        <v>34</v>
      </c>
      <c r="D121" s="2" t="s">
        <v>35</v>
      </c>
      <c r="E121" s="5">
        <v>-30510</v>
      </c>
      <c r="F121" s="3" t="s">
        <v>450</v>
      </c>
      <c r="G121" s="3" t="s">
        <v>451</v>
      </c>
      <c r="H121" s="2" t="s">
        <v>21</v>
      </c>
      <c r="I121" s="2" t="s">
        <v>452</v>
      </c>
      <c r="J121" s="3" t="str">
        <f>HYPERLINK("https://www.boe.es/gazeta/dias/1816/06/18/pdfs/GMD-1816-76.pdf#page=8","Abrir facsímil")</f>
        <v>Abrir facsímil</v>
      </c>
      <c r="K121" s="3" t="s">
        <v>23</v>
      </c>
    </row>
    <row r="122" spans="1:11" ht="42" customHeight="1">
      <c r="A122" s="2" t="s">
        <v>453</v>
      </c>
      <c r="B122" s="2" t="s">
        <v>454</v>
      </c>
      <c r="C122" s="2" t="s">
        <v>26</v>
      </c>
      <c r="D122" s="2" t="s">
        <v>18</v>
      </c>
      <c r="E122" s="5">
        <v>-30487</v>
      </c>
      <c r="F122" s="3" t="s">
        <v>397</v>
      </c>
      <c r="G122" s="3" t="s">
        <v>455</v>
      </c>
      <c r="H122" s="2" t="s">
        <v>21</v>
      </c>
      <c r="I122" s="2" t="s">
        <v>456</v>
      </c>
      <c r="J122" s="3" t="str">
        <f>HYPERLINK("https://www.boe.es/gazeta/dias/1816/07/11/pdfs/GMD-1816-86.pdf#page=7","Abrir facsímil")</f>
        <v>Abrir facsímil</v>
      </c>
      <c r="K122" s="3" t="s">
        <v>23</v>
      </c>
    </row>
    <row r="123" spans="1:11" ht="42" customHeight="1">
      <c r="A123" s="2" t="s">
        <v>453</v>
      </c>
      <c r="B123" s="2" t="s">
        <v>454</v>
      </c>
      <c r="C123" s="2" t="s">
        <v>26</v>
      </c>
      <c r="D123" s="2" t="s">
        <v>18</v>
      </c>
      <c r="E123" s="5">
        <v>-30408</v>
      </c>
      <c r="F123" s="3" t="s">
        <v>295</v>
      </c>
      <c r="G123" s="3" t="s">
        <v>42</v>
      </c>
      <c r="H123" s="2" t="s">
        <v>21</v>
      </c>
      <c r="I123" s="2" t="s">
        <v>457</v>
      </c>
      <c r="J123" s="3" t="str">
        <f>HYPERLINK("https://www.boe.es/gazeta/dias/1816/09/28/pdfs/GMD-1816-120.pdf#page=8","Abrir facsímil")</f>
        <v>Abrir facsímil</v>
      </c>
      <c r="K123" s="3" t="s">
        <v>23</v>
      </c>
    </row>
    <row r="124" spans="1:11" ht="42" customHeight="1">
      <c r="A124" s="2" t="s">
        <v>458</v>
      </c>
      <c r="B124" s="2" t="s">
        <v>459</v>
      </c>
      <c r="C124" s="2" t="s">
        <v>111</v>
      </c>
      <c r="D124" s="2" t="s">
        <v>112</v>
      </c>
      <c r="E124" s="5">
        <v>-30384</v>
      </c>
      <c r="F124" s="3" t="s">
        <v>460</v>
      </c>
      <c r="G124" s="3" t="s">
        <v>42</v>
      </c>
      <c r="H124" s="2" t="s">
        <v>21</v>
      </c>
      <c r="I124" s="2" t="s">
        <v>461</v>
      </c>
      <c r="J124" s="3" t="str">
        <f>HYPERLINK("https://www.boe.es/gazeta/dias/1816/10/22/pdfs/GMD-1816-132.pdf#page=8","Abrir facsímil")</f>
        <v>Abrir facsímil</v>
      </c>
      <c r="K124" s="3" t="s">
        <v>23</v>
      </c>
    </row>
    <row r="125" spans="1:11" ht="42" customHeight="1">
      <c r="A125" s="2" t="s">
        <v>462</v>
      </c>
      <c r="B125" s="2" t="s">
        <v>463</v>
      </c>
      <c r="C125" s="2" t="s">
        <v>34</v>
      </c>
      <c r="D125" s="2" t="s">
        <v>35</v>
      </c>
      <c r="E125" s="5">
        <v>-30338</v>
      </c>
      <c r="F125" s="3" t="s">
        <v>464</v>
      </c>
      <c r="G125" s="3" t="s">
        <v>72</v>
      </c>
      <c r="H125" s="2" t="s">
        <v>21</v>
      </c>
      <c r="I125" s="2" t="s">
        <v>465</v>
      </c>
      <c r="J125" s="3" t="str">
        <f>HYPERLINK("https://www.boe.es/gazeta/dias/1816/12/07/pdfs/GMD-1816-152.pdf#page=7","Abrir facsímil")</f>
        <v>Abrir facsímil</v>
      </c>
      <c r="K125" s="3" t="s">
        <v>23</v>
      </c>
    </row>
    <row r="126" spans="1:11" ht="42" customHeight="1">
      <c r="A126" s="2" t="s">
        <v>466</v>
      </c>
      <c r="B126" s="2" t="s">
        <v>467</v>
      </c>
      <c r="C126" s="2" t="s">
        <v>34</v>
      </c>
      <c r="D126" s="2" t="s">
        <v>35</v>
      </c>
      <c r="E126" s="5">
        <v>-30335</v>
      </c>
      <c r="F126" s="3" t="s">
        <v>468</v>
      </c>
      <c r="G126" s="3" t="s">
        <v>47</v>
      </c>
      <c r="H126" s="2" t="s">
        <v>21</v>
      </c>
      <c r="I126" s="2" t="s">
        <v>469</v>
      </c>
      <c r="J126" s="3" t="str">
        <f>HYPERLINK("https://www.boe.es/gazeta/dias/1816/12/10/pdfs/GMD-1816-153.pdf#page=5","Abrir facsímil")</f>
        <v>Abrir facsímil</v>
      </c>
      <c r="K126" s="3" t="s">
        <v>23</v>
      </c>
    </row>
    <row r="127" spans="1:11" ht="42" customHeight="1">
      <c r="A127" s="2" t="s">
        <v>470</v>
      </c>
      <c r="B127" s="2" t="s">
        <v>471</v>
      </c>
      <c r="C127" s="2" t="s">
        <v>26</v>
      </c>
      <c r="D127" s="2" t="s">
        <v>18</v>
      </c>
      <c r="E127" s="5">
        <v>-30548</v>
      </c>
      <c r="F127" s="3" t="s">
        <v>472</v>
      </c>
      <c r="G127" s="3" t="s">
        <v>47</v>
      </c>
      <c r="H127" s="2" t="s">
        <v>29</v>
      </c>
      <c r="I127" s="2" t="s">
        <v>473</v>
      </c>
      <c r="J127" s="3" t="str">
        <f>HYPERLINK("https://www.boe.es/gazeta/dias/1816/05/11/pdfs/GMD-1816-60.pdf#page=5","Abrir facsímil")</f>
        <v>Abrir facsímil</v>
      </c>
      <c r="K127" s="3" t="s">
        <v>31</v>
      </c>
    </row>
    <row r="128" spans="1:11" ht="42" customHeight="1">
      <c r="A128" s="2" t="s">
        <v>474</v>
      </c>
      <c r="B128" s="2" t="s">
        <v>474</v>
      </c>
      <c r="C128" s="2" t="s">
        <v>111</v>
      </c>
      <c r="D128" s="2" t="s">
        <v>112</v>
      </c>
      <c r="E128" s="5">
        <v>-30501</v>
      </c>
      <c r="F128" s="3" t="s">
        <v>475</v>
      </c>
      <c r="G128" s="3" t="s">
        <v>28</v>
      </c>
      <c r="H128" s="2" t="s">
        <v>21</v>
      </c>
      <c r="I128" s="2" t="s">
        <v>476</v>
      </c>
      <c r="J128" s="3" t="str">
        <f>HYPERLINK("https://www.boe.es/gazeta/dias/1816/06/27/pdfs/GMD-1816-80.pdf#page=6","Abrir facsímil")</f>
        <v>Abrir facsímil</v>
      </c>
      <c r="K128" s="3" t="s">
        <v>23</v>
      </c>
    </row>
    <row r="129" spans="1:11" ht="42" customHeight="1">
      <c r="A129" s="2" t="s">
        <v>477</v>
      </c>
      <c r="B129" s="2" t="s">
        <v>478</v>
      </c>
      <c r="C129" s="2" t="s">
        <v>26</v>
      </c>
      <c r="D129" s="2" t="s">
        <v>18</v>
      </c>
      <c r="E129" s="5">
        <v>-30424</v>
      </c>
      <c r="F129" s="3" t="s">
        <v>142</v>
      </c>
      <c r="G129" s="3" t="s">
        <v>175</v>
      </c>
      <c r="H129" s="2" t="s">
        <v>21</v>
      </c>
      <c r="I129" s="2" t="s">
        <v>479</v>
      </c>
      <c r="J129" s="3" t="str">
        <f>HYPERLINK("https://www.boe.es/gazeta/dias/1816/09/12/pdfs/GMD-1816-113.pdf#page=11","Abrir facsímil")</f>
        <v>Abrir facsímil</v>
      </c>
      <c r="K129" s="3" t="s">
        <v>23</v>
      </c>
    </row>
    <row r="130" spans="1:11" ht="42" customHeight="1">
      <c r="A130" s="2" t="s">
        <v>480</v>
      </c>
      <c r="B130" s="2" t="s">
        <v>481</v>
      </c>
      <c r="C130" s="2" t="s">
        <v>81</v>
      </c>
      <c r="D130" s="2" t="s">
        <v>18</v>
      </c>
      <c r="E130" s="5">
        <v>-30391</v>
      </c>
      <c r="F130" s="3" t="s">
        <v>482</v>
      </c>
      <c r="G130" s="3" t="s">
        <v>72</v>
      </c>
      <c r="H130" s="2" t="s">
        <v>21</v>
      </c>
      <c r="I130" s="2" t="s">
        <v>483</v>
      </c>
      <c r="J130" s="3" t="str">
        <f>HYPERLINK("https://www.boe.es/gazeta/dias/1816/10/15/pdfs/GMD-1816-129.pdf#page=7","Abrir facsímil")</f>
        <v>Abrir facsímil</v>
      </c>
      <c r="K130" s="3" t="s">
        <v>23</v>
      </c>
    </row>
    <row r="131" spans="1:11" ht="42" customHeight="1">
      <c r="A131" s="2" t="s">
        <v>484</v>
      </c>
      <c r="B131" s="2" t="s">
        <v>484</v>
      </c>
      <c r="C131" s="2" t="s">
        <v>34</v>
      </c>
      <c r="D131" s="2" t="s">
        <v>35</v>
      </c>
      <c r="E131" s="5">
        <v>-30662</v>
      </c>
      <c r="F131" s="3" t="s">
        <v>485</v>
      </c>
      <c r="G131" s="3" t="s">
        <v>72</v>
      </c>
      <c r="H131" s="2" t="s">
        <v>21</v>
      </c>
      <c r="I131" s="2" t="s">
        <v>486</v>
      </c>
      <c r="J131" s="3" t="str">
        <f>HYPERLINK("https://www.boe.es/gazeta/dias/1816/01/18/pdfs/GMD-1816-8.pdf#page=7","Abrir facsímil")</f>
        <v>Abrir facsímil</v>
      </c>
      <c r="K131" s="3" t="s">
        <v>23</v>
      </c>
    </row>
    <row r="132" spans="1:11" ht="42" customHeight="1">
      <c r="A132" s="2" t="s">
        <v>487</v>
      </c>
      <c r="B132" s="2" t="s">
        <v>487</v>
      </c>
      <c r="C132" s="2" t="s">
        <v>34</v>
      </c>
      <c r="D132" s="2" t="s">
        <v>35</v>
      </c>
      <c r="E132" s="5">
        <v>-30604</v>
      </c>
      <c r="F132" s="3" t="s">
        <v>488</v>
      </c>
      <c r="G132" s="3" t="s">
        <v>489</v>
      </c>
      <c r="H132" s="2" t="s">
        <v>21</v>
      </c>
      <c r="I132" s="2" t="s">
        <v>490</v>
      </c>
      <c r="J132" s="3" t="str">
        <f>HYPERLINK("https://www.boe.es/gazeta/dias/1816/03/16/pdfs/GMD-1816-35.pdf#page=4","Abrir facsímil")</f>
        <v>Abrir facsímil</v>
      </c>
      <c r="K132" s="3" t="s">
        <v>23</v>
      </c>
    </row>
    <row r="133" spans="1:11" ht="42" customHeight="1">
      <c r="A133" s="2" t="s">
        <v>491</v>
      </c>
      <c r="B133" s="2" t="s">
        <v>492</v>
      </c>
      <c r="C133" s="2" t="s">
        <v>26</v>
      </c>
      <c r="D133" s="2" t="s">
        <v>18</v>
      </c>
      <c r="E133" s="5">
        <v>-30387</v>
      </c>
      <c r="F133" s="3" t="s">
        <v>224</v>
      </c>
      <c r="G133" s="3" t="s">
        <v>184</v>
      </c>
      <c r="H133" s="2" t="s">
        <v>21</v>
      </c>
      <c r="I133" s="2" t="s">
        <v>493</v>
      </c>
      <c r="J133" s="3" t="str">
        <f>HYPERLINK("https://www.boe.es/gazeta/dias/1816/10/19/pdfs/GMD-1816-131.pdf#page=3","Abrir facsímil")</f>
        <v>Abrir facsímil</v>
      </c>
      <c r="K133" s="3" t="s">
        <v>23</v>
      </c>
    </row>
    <row r="134" spans="1:11" ht="42" customHeight="1">
      <c r="A134" s="2" t="s">
        <v>494</v>
      </c>
      <c r="B134" s="2" t="s">
        <v>495</v>
      </c>
      <c r="C134" s="2" t="s">
        <v>111</v>
      </c>
      <c r="D134" s="2" t="s">
        <v>112</v>
      </c>
      <c r="E134" s="5">
        <v>-30538</v>
      </c>
      <c r="F134" s="3" t="s">
        <v>496</v>
      </c>
      <c r="G134" s="3" t="s">
        <v>42</v>
      </c>
      <c r="H134" s="2" t="s">
        <v>21</v>
      </c>
      <c r="I134" s="2" t="s">
        <v>497</v>
      </c>
      <c r="J134" s="3" t="str">
        <f>HYPERLINK("https://www.boe.es/gazeta/dias/1816/05/21/pdfs/GMD-1816-64.pdf#page=8","Abrir facsímil")</f>
        <v>Abrir facsímil</v>
      </c>
      <c r="K134" s="3" t="s">
        <v>23</v>
      </c>
    </row>
    <row r="135" spans="1:11" ht="42" customHeight="1">
      <c r="A135" s="2" t="s">
        <v>494</v>
      </c>
      <c r="B135" s="2" t="s">
        <v>495</v>
      </c>
      <c r="C135" s="2" t="s">
        <v>67</v>
      </c>
      <c r="D135" s="2" t="s">
        <v>18</v>
      </c>
      <c r="E135" s="5">
        <v>-30534</v>
      </c>
      <c r="F135" s="3" t="s">
        <v>274</v>
      </c>
      <c r="G135" s="3" t="s">
        <v>42</v>
      </c>
      <c r="H135" s="2" t="s">
        <v>21</v>
      </c>
      <c r="I135" s="2" t="s">
        <v>498</v>
      </c>
      <c r="J135" s="3" t="str">
        <f>HYPERLINK("https://www.boe.es/gazeta/dias/1816/05/25/pdfs/GMD-1816-66.pdf#page=8","Abrir facsímil")</f>
        <v>Abrir facsímil</v>
      </c>
      <c r="K135" s="3" t="s">
        <v>23</v>
      </c>
    </row>
    <row r="136" spans="1:11" ht="42" customHeight="1">
      <c r="A136" s="2" t="s">
        <v>499</v>
      </c>
      <c r="B136" s="2" t="s">
        <v>500</v>
      </c>
      <c r="C136" s="2" t="s">
        <v>34</v>
      </c>
      <c r="D136" s="2" t="s">
        <v>56</v>
      </c>
      <c r="E136" s="5">
        <v>-30393</v>
      </c>
      <c r="F136" s="3" t="s">
        <v>202</v>
      </c>
      <c r="G136" s="3" t="s">
        <v>184</v>
      </c>
      <c r="H136" s="2" t="s">
        <v>21</v>
      </c>
      <c r="I136" s="2" t="s">
        <v>501</v>
      </c>
      <c r="J136" s="3" t="str">
        <f>HYPERLINK("https://www.boe.es/gazeta/dias/1816/10/13/pdfs/GMD-1816-128E.pdf#page=3","Abrir facsímil")</f>
        <v>Abrir facsímil</v>
      </c>
      <c r="K136" s="3" t="s">
        <v>23</v>
      </c>
    </row>
    <row r="137" spans="1:11" ht="42" customHeight="1">
      <c r="A137" s="2" t="s">
        <v>502</v>
      </c>
      <c r="B137" s="2" t="s">
        <v>502</v>
      </c>
      <c r="C137" s="2" t="s">
        <v>34</v>
      </c>
      <c r="D137" s="2" t="s">
        <v>56</v>
      </c>
      <c r="E137" s="5">
        <v>-30603</v>
      </c>
      <c r="F137" s="3" t="s">
        <v>503</v>
      </c>
      <c r="G137" s="3" t="s">
        <v>58</v>
      </c>
      <c r="H137" s="2" t="s">
        <v>21</v>
      </c>
      <c r="I137" s="2" t="s">
        <v>504</v>
      </c>
      <c r="J137" s="3" t="str">
        <f>HYPERLINK("https://www.boe.es/gazeta/dias/1816/03/17/pdfs/GMD-1816-36E.pdf#page=1","Abrir facsímil")</f>
        <v>Abrir facsímil</v>
      </c>
      <c r="K137" s="3" t="s">
        <v>23</v>
      </c>
    </row>
    <row r="138" spans="1:11" ht="42" customHeight="1">
      <c r="A138" s="2" t="s">
        <v>505</v>
      </c>
      <c r="B138" s="2" t="s">
        <v>505</v>
      </c>
      <c r="C138" s="2" t="s">
        <v>67</v>
      </c>
      <c r="D138" s="2" t="s">
        <v>18</v>
      </c>
      <c r="E138" s="5">
        <v>-30674</v>
      </c>
      <c r="F138" s="3" t="s">
        <v>19</v>
      </c>
      <c r="G138" s="3" t="s">
        <v>20</v>
      </c>
      <c r="H138" s="2" t="s">
        <v>21</v>
      </c>
      <c r="I138" s="2" t="s">
        <v>506</v>
      </c>
      <c r="J138" s="3" t="str">
        <f>HYPERLINK("https://www.boe.es/gazeta/dias/1816/01/06/pdfs/GMD-1816-3.pdf#page=8","Abrir facsímil")</f>
        <v>Abrir facsímil</v>
      </c>
      <c r="K138" s="3" t="s">
        <v>23</v>
      </c>
    </row>
    <row r="139" spans="1:11" ht="42" customHeight="1">
      <c r="A139" s="2" t="s">
        <v>505</v>
      </c>
      <c r="B139" s="2" t="s">
        <v>505</v>
      </c>
      <c r="C139" s="2" t="s">
        <v>387</v>
      </c>
      <c r="D139" s="2" t="s">
        <v>18</v>
      </c>
      <c r="E139" s="5">
        <v>-30583</v>
      </c>
      <c r="F139" s="3" t="s">
        <v>241</v>
      </c>
      <c r="G139" s="3" t="s">
        <v>47</v>
      </c>
      <c r="H139" s="2" t="s">
        <v>21</v>
      </c>
      <c r="I139" s="2" t="s">
        <v>507</v>
      </c>
      <c r="J139" s="3" t="str">
        <f>HYPERLINK("https://www.boe.es/gazeta/dias/1816/04/06/pdfs/GMD-1816-45.pdf#page=5","Abrir facsímil")</f>
        <v>Abrir facsímil</v>
      </c>
      <c r="K139" s="3" t="s">
        <v>23</v>
      </c>
    </row>
    <row r="140" spans="1:11" ht="42" customHeight="1">
      <c r="A140" s="2" t="s">
        <v>505</v>
      </c>
      <c r="B140" s="2" t="s">
        <v>505</v>
      </c>
      <c r="C140" s="2" t="s">
        <v>26</v>
      </c>
      <c r="D140" s="2" t="s">
        <v>18</v>
      </c>
      <c r="E140" s="5">
        <v>-30557</v>
      </c>
      <c r="F140" s="3" t="s">
        <v>508</v>
      </c>
      <c r="G140" s="3" t="s">
        <v>103</v>
      </c>
      <c r="H140" s="2" t="s">
        <v>21</v>
      </c>
      <c r="I140" s="2" t="s">
        <v>509</v>
      </c>
      <c r="J140" s="3" t="str">
        <f>HYPERLINK("https://www.boe.es/gazeta/dias/1816/05/02/pdfs/GMD-1816-56.pdf#page=4","Abrir facsímil")</f>
        <v>Abrir facsímil</v>
      </c>
      <c r="K140" s="3" t="s">
        <v>23</v>
      </c>
    </row>
    <row r="141" spans="1:11" ht="42" customHeight="1">
      <c r="A141" s="2" t="s">
        <v>505</v>
      </c>
      <c r="B141" s="2" t="s">
        <v>505</v>
      </c>
      <c r="C141" s="2" t="s">
        <v>111</v>
      </c>
      <c r="D141" s="2" t="s">
        <v>112</v>
      </c>
      <c r="E141" s="5">
        <v>-30557</v>
      </c>
      <c r="F141" s="3" t="s">
        <v>508</v>
      </c>
      <c r="G141" s="3" t="s">
        <v>47</v>
      </c>
      <c r="H141" s="2" t="s">
        <v>21</v>
      </c>
      <c r="I141" s="2" t="s">
        <v>510</v>
      </c>
      <c r="J141" s="3" t="str">
        <f>HYPERLINK("https://www.boe.es/gazeta/dias/1816/05/02/pdfs/GMD-1816-56.pdf#page=5","Abrir facsímil")</f>
        <v>Abrir facsímil</v>
      </c>
      <c r="K141" s="3" t="s">
        <v>23</v>
      </c>
    </row>
    <row r="142" spans="1:11" ht="42" customHeight="1">
      <c r="A142" s="2" t="s">
        <v>511</v>
      </c>
      <c r="B142" s="2" t="s">
        <v>512</v>
      </c>
      <c r="C142" s="2" t="s">
        <v>26</v>
      </c>
      <c r="D142" s="2" t="s">
        <v>56</v>
      </c>
      <c r="E142" s="5">
        <v>-30393</v>
      </c>
      <c r="F142" s="3" t="s">
        <v>202</v>
      </c>
      <c r="G142" s="3" t="s">
        <v>47</v>
      </c>
      <c r="H142" s="2" t="s">
        <v>21</v>
      </c>
      <c r="I142" s="2" t="s">
        <v>513</v>
      </c>
      <c r="J142" s="3" t="str">
        <f>HYPERLINK("https://www.boe.es/gazeta/dias/1816/10/13/pdfs/GMD-1816-128E.pdf#page=5","Abrir facsímil")</f>
        <v>Abrir facsímil</v>
      </c>
      <c r="K142" s="3" t="s">
        <v>23</v>
      </c>
    </row>
    <row r="143" spans="1:11" ht="42" customHeight="1">
      <c r="A143" s="2" t="s">
        <v>514</v>
      </c>
      <c r="B143" s="2" t="s">
        <v>515</v>
      </c>
      <c r="C143" s="2" t="s">
        <v>26</v>
      </c>
      <c r="D143" s="2" t="s">
        <v>56</v>
      </c>
      <c r="E143" s="5">
        <v>-30393</v>
      </c>
      <c r="F143" s="3" t="s">
        <v>202</v>
      </c>
      <c r="G143" s="3" t="s">
        <v>47</v>
      </c>
      <c r="H143" s="2" t="s">
        <v>21</v>
      </c>
      <c r="I143" s="2" t="s">
        <v>516</v>
      </c>
      <c r="J143" s="3" t="str">
        <f>HYPERLINK("https://www.boe.es/gazeta/dias/1816/10/13/pdfs/GMD-1816-128E.pdf#page=5","Abrir facsímil")</f>
        <v>Abrir facsímil</v>
      </c>
      <c r="K143" s="3" t="s">
        <v>23</v>
      </c>
    </row>
    <row r="144" spans="1:11" ht="42" customHeight="1">
      <c r="A144" s="2" t="s">
        <v>517</v>
      </c>
      <c r="B144" s="2" t="s">
        <v>518</v>
      </c>
      <c r="C144" s="2" t="s">
        <v>67</v>
      </c>
      <c r="D144" s="2" t="s">
        <v>18</v>
      </c>
      <c r="E144" s="5">
        <v>-30482</v>
      </c>
      <c r="F144" s="3" t="s">
        <v>370</v>
      </c>
      <c r="G144" s="3" t="s">
        <v>103</v>
      </c>
      <c r="H144" s="2" t="s">
        <v>21</v>
      </c>
      <c r="I144" s="2" t="s">
        <v>519</v>
      </c>
      <c r="J144" s="3" t="str">
        <f>HYPERLINK("https://www.boe.es/gazeta/dias/1816/07/16/pdfs/GMD-1816-88.pdf#page=4","Abrir facsímil")</f>
        <v>Abrir facsímil</v>
      </c>
      <c r="K144" s="3" t="s">
        <v>23</v>
      </c>
    </row>
    <row r="145" spans="1:11" ht="42" customHeight="1">
      <c r="A145" s="2" t="s">
        <v>520</v>
      </c>
      <c r="B145" s="2" t="s">
        <v>521</v>
      </c>
      <c r="C145" s="2" t="s">
        <v>34</v>
      </c>
      <c r="D145" s="2" t="s">
        <v>35</v>
      </c>
      <c r="E145" s="5">
        <v>-30389</v>
      </c>
      <c r="F145" s="3" t="s">
        <v>522</v>
      </c>
      <c r="G145" s="3" t="s">
        <v>42</v>
      </c>
      <c r="H145" s="2" t="s">
        <v>29</v>
      </c>
      <c r="I145" s="2" t="s">
        <v>523</v>
      </c>
      <c r="J145" s="3" t="str">
        <f>HYPERLINK("https://www.boe.es/gazeta/dias/1816/10/17/pdfs/GMD-1816-130.pdf#page=8","Abrir facsímil")</f>
        <v>Abrir facsímil</v>
      </c>
      <c r="K145" s="3" t="s">
        <v>31</v>
      </c>
    </row>
    <row r="146" spans="1:11" ht="42" customHeight="1">
      <c r="A146" s="2" t="s">
        <v>524</v>
      </c>
      <c r="B146" s="2" t="s">
        <v>525</v>
      </c>
      <c r="C146" s="2" t="s">
        <v>111</v>
      </c>
      <c r="D146" s="2" t="s">
        <v>112</v>
      </c>
      <c r="E146" s="5">
        <v>-30354</v>
      </c>
      <c r="F146" s="3" t="s">
        <v>68</v>
      </c>
      <c r="G146" s="3" t="s">
        <v>526</v>
      </c>
      <c r="H146" s="2" t="s">
        <v>21</v>
      </c>
      <c r="I146" s="2" t="s">
        <v>527</v>
      </c>
      <c r="J146" s="3" t="str">
        <f>HYPERLINK("https://www.boe.es/gazeta/dias/1816/11/21/pdfs/GMD-1816-145.pdf#page=6","Abrir facsímil")</f>
        <v>Abrir facsímil</v>
      </c>
      <c r="K146" s="3" t="s">
        <v>23</v>
      </c>
    </row>
    <row r="147" spans="1:11" ht="42" customHeight="1">
      <c r="A147" s="2" t="s">
        <v>528</v>
      </c>
      <c r="B147" s="2" t="s">
        <v>529</v>
      </c>
      <c r="C147" s="2" t="s">
        <v>111</v>
      </c>
      <c r="D147" s="2" t="s">
        <v>112</v>
      </c>
      <c r="E147" s="5">
        <v>-30482</v>
      </c>
      <c r="F147" s="3" t="s">
        <v>370</v>
      </c>
      <c r="G147" s="3" t="s">
        <v>52</v>
      </c>
      <c r="H147" s="2" t="s">
        <v>21</v>
      </c>
      <c r="I147" s="2" t="s">
        <v>530</v>
      </c>
      <c r="J147" s="3" t="str">
        <f>HYPERLINK("https://www.boe.es/gazeta/dias/1816/07/16/pdfs/GMD-1816-88.pdf#page=12","Abrir facsímil")</f>
        <v>Abrir facsímil</v>
      </c>
      <c r="K147" s="3" t="s">
        <v>23</v>
      </c>
    </row>
    <row r="148" spans="1:11" ht="42" customHeight="1">
      <c r="A148" s="2" t="s">
        <v>528</v>
      </c>
      <c r="B148" s="2" t="s">
        <v>529</v>
      </c>
      <c r="C148" s="2" t="s">
        <v>111</v>
      </c>
      <c r="D148" s="2" t="s">
        <v>112</v>
      </c>
      <c r="E148" s="5">
        <v>-30368</v>
      </c>
      <c r="F148" s="3" t="s">
        <v>531</v>
      </c>
      <c r="G148" s="3" t="s">
        <v>72</v>
      </c>
      <c r="H148" s="2" t="s">
        <v>21</v>
      </c>
      <c r="I148" s="2" t="s">
        <v>532</v>
      </c>
      <c r="J148" s="3" t="str">
        <f>HYPERLINK("https://www.boe.es/gazeta/dias/1816/11/07/pdfs/GMD-1816-139.pdf#page=7","Abrir facsímil")</f>
        <v>Abrir facsímil</v>
      </c>
      <c r="K148" s="3" t="s">
        <v>23</v>
      </c>
    </row>
    <row r="149" spans="1:11" ht="42" customHeight="1">
      <c r="A149" s="2" t="s">
        <v>533</v>
      </c>
      <c r="B149" s="2" t="s">
        <v>534</v>
      </c>
      <c r="C149" s="2" t="s">
        <v>111</v>
      </c>
      <c r="D149" s="2" t="s">
        <v>112</v>
      </c>
      <c r="E149" s="5">
        <v>-30531</v>
      </c>
      <c r="F149" s="3" t="s">
        <v>535</v>
      </c>
      <c r="G149" s="3" t="s">
        <v>42</v>
      </c>
      <c r="H149" s="2" t="s">
        <v>29</v>
      </c>
      <c r="I149" s="2" t="s">
        <v>536</v>
      </c>
      <c r="J149" s="3" t="str">
        <f>HYPERLINK("https://www.boe.es/gazeta/dias/1816/05/28/pdfs/GMD-1816-67.pdf#page=8","Abrir facsímil")</f>
        <v>Abrir facsímil</v>
      </c>
      <c r="K149" s="3" t="s">
        <v>31</v>
      </c>
    </row>
    <row r="150" spans="1:11" ht="42" customHeight="1">
      <c r="A150" s="2" t="s">
        <v>537</v>
      </c>
      <c r="B150" s="2" t="s">
        <v>538</v>
      </c>
      <c r="C150" s="2" t="s">
        <v>17</v>
      </c>
      <c r="D150" s="2" t="s">
        <v>18</v>
      </c>
      <c r="E150" s="5">
        <v>-30457</v>
      </c>
      <c r="F150" s="3" t="s">
        <v>539</v>
      </c>
      <c r="G150" s="3" t="s">
        <v>42</v>
      </c>
      <c r="H150" s="2" t="s">
        <v>21</v>
      </c>
      <c r="I150" s="2" t="s">
        <v>540</v>
      </c>
      <c r="J150" s="3" t="str">
        <f>HYPERLINK("https://www.boe.es/gazeta/dias/1816/08/10/pdfs/GMD-1816-99.pdf#page=8","Abrir facsímil")</f>
        <v>Abrir facsímil</v>
      </c>
      <c r="K150" s="3" t="s">
        <v>23</v>
      </c>
    </row>
    <row r="151" spans="1:11" ht="42" customHeight="1">
      <c r="A151" s="2" t="s">
        <v>541</v>
      </c>
      <c r="B151" s="2" t="s">
        <v>542</v>
      </c>
      <c r="C151" s="2" t="s">
        <v>111</v>
      </c>
      <c r="D151" s="2" t="s">
        <v>112</v>
      </c>
      <c r="E151" s="5">
        <v>-30601</v>
      </c>
      <c r="F151" s="3" t="s">
        <v>308</v>
      </c>
      <c r="G151" s="3" t="s">
        <v>42</v>
      </c>
      <c r="H151" s="2" t="s">
        <v>21</v>
      </c>
      <c r="I151" s="2" t="s">
        <v>543</v>
      </c>
      <c r="J151" s="3" t="str">
        <f>HYPERLINK("https://www.boe.es/gazeta/dias/1816/03/19/pdfs/GMD-1816-37.pdf#page=8","Abrir facsímil")</f>
        <v>Abrir facsímil</v>
      </c>
      <c r="K151" s="3" t="s">
        <v>23</v>
      </c>
    </row>
    <row r="152" spans="1:11" ht="42" customHeight="1">
      <c r="A152" s="2" t="s">
        <v>544</v>
      </c>
      <c r="B152" s="2" t="s">
        <v>545</v>
      </c>
      <c r="C152" s="2" t="s">
        <v>67</v>
      </c>
      <c r="D152" s="2" t="s">
        <v>18</v>
      </c>
      <c r="E152" s="5">
        <v>-30655</v>
      </c>
      <c r="F152" s="3" t="s">
        <v>170</v>
      </c>
      <c r="G152" s="3" t="s">
        <v>42</v>
      </c>
      <c r="H152" s="2" t="s">
        <v>21</v>
      </c>
      <c r="I152" s="2" t="s">
        <v>546</v>
      </c>
      <c r="J152" s="3" t="str">
        <f>HYPERLINK("https://www.boe.es/gazeta/dias/1816/01/25/pdfs/GMD-1816-11.pdf#page=8","Abrir facsímil")</f>
        <v>Abrir facsímil</v>
      </c>
      <c r="K152" s="3" t="s">
        <v>23</v>
      </c>
    </row>
    <row r="153" spans="1:11" ht="42" customHeight="1">
      <c r="A153" s="2" t="s">
        <v>547</v>
      </c>
      <c r="B153" s="2" t="s">
        <v>548</v>
      </c>
      <c r="C153" s="2" t="s">
        <v>111</v>
      </c>
      <c r="D153" s="2" t="s">
        <v>112</v>
      </c>
      <c r="E153" s="5">
        <v>-30639</v>
      </c>
      <c r="F153" s="3" t="s">
        <v>87</v>
      </c>
      <c r="G153" s="3" t="s">
        <v>42</v>
      </c>
      <c r="H153" s="2" t="s">
        <v>21</v>
      </c>
      <c r="I153" s="2" t="s">
        <v>549</v>
      </c>
      <c r="J153" s="3" t="str">
        <f>HYPERLINK("https://www.boe.es/gazeta/dias/1816/02/10/pdfs/GMD-1816-19.pdf#page=8","Abrir facsímil")</f>
        <v>Abrir facsímil</v>
      </c>
      <c r="K153" s="3" t="s">
        <v>23</v>
      </c>
    </row>
    <row r="154" spans="1:11" ht="42" customHeight="1">
      <c r="A154" s="2" t="s">
        <v>547</v>
      </c>
      <c r="B154" s="2" t="s">
        <v>548</v>
      </c>
      <c r="C154" s="2" t="s">
        <v>111</v>
      </c>
      <c r="D154" s="2" t="s">
        <v>112</v>
      </c>
      <c r="E154" s="5">
        <v>-30608</v>
      </c>
      <c r="F154" s="3" t="s">
        <v>550</v>
      </c>
      <c r="G154" s="3" t="s">
        <v>42</v>
      </c>
      <c r="H154" s="2" t="s">
        <v>21</v>
      </c>
      <c r="I154" s="2" t="s">
        <v>551</v>
      </c>
      <c r="J154" s="3" t="str">
        <f>HYPERLINK("https://www.boe.es/gazeta/dias/1816/03/12/pdfs/GMD-1816-33.pdf#page=8","Abrir facsímil")</f>
        <v>Abrir facsímil</v>
      </c>
      <c r="K154" s="3" t="s">
        <v>23</v>
      </c>
    </row>
    <row r="155" spans="1:11" ht="42" customHeight="1">
      <c r="A155" s="2" t="s">
        <v>547</v>
      </c>
      <c r="B155" s="2" t="s">
        <v>548</v>
      </c>
      <c r="C155" s="2" t="s">
        <v>111</v>
      </c>
      <c r="D155" s="2" t="s">
        <v>112</v>
      </c>
      <c r="E155" s="5">
        <v>-30599</v>
      </c>
      <c r="F155" s="3" t="s">
        <v>552</v>
      </c>
      <c r="G155" s="3" t="s">
        <v>42</v>
      </c>
      <c r="H155" s="2" t="s">
        <v>21</v>
      </c>
      <c r="I155" s="2" t="s">
        <v>553</v>
      </c>
      <c r="J155" s="3" t="str">
        <f>HYPERLINK("https://www.boe.es/gazeta/dias/1816/03/21/pdfs/GMD-1816-38.pdf#page=8","Abrir facsímil")</f>
        <v>Abrir facsímil</v>
      </c>
      <c r="K155" s="3" t="s">
        <v>23</v>
      </c>
    </row>
    <row r="156" spans="1:11" ht="42" customHeight="1">
      <c r="A156" s="2" t="s">
        <v>547</v>
      </c>
      <c r="B156" s="2" t="s">
        <v>548</v>
      </c>
      <c r="C156" s="2" t="s">
        <v>111</v>
      </c>
      <c r="D156" s="2" t="s">
        <v>112</v>
      </c>
      <c r="E156" s="5">
        <v>-30578</v>
      </c>
      <c r="F156" s="3" t="s">
        <v>91</v>
      </c>
      <c r="G156" s="3" t="s">
        <v>52</v>
      </c>
      <c r="H156" s="2" t="s">
        <v>21</v>
      </c>
      <c r="I156" s="2" t="s">
        <v>554</v>
      </c>
      <c r="J156" s="3" t="str">
        <f>HYPERLINK("https://www.boe.es/gazeta/dias/1816/04/11/pdfs/GMD-1816-47.pdf#page=12","Abrir facsímil")</f>
        <v>Abrir facsímil</v>
      </c>
      <c r="K156" s="3" t="s">
        <v>23</v>
      </c>
    </row>
    <row r="157" spans="1:11" ht="42" customHeight="1">
      <c r="A157" s="2" t="s">
        <v>547</v>
      </c>
      <c r="B157" s="2" t="s">
        <v>548</v>
      </c>
      <c r="C157" s="2" t="s">
        <v>41</v>
      </c>
      <c r="D157" s="2" t="s">
        <v>18</v>
      </c>
      <c r="E157" s="5">
        <v>-30538</v>
      </c>
      <c r="F157" s="3" t="s">
        <v>496</v>
      </c>
      <c r="G157" s="3" t="s">
        <v>42</v>
      </c>
      <c r="H157" s="2" t="s">
        <v>21</v>
      </c>
      <c r="I157" s="2" t="s">
        <v>555</v>
      </c>
      <c r="J157" s="3" t="str">
        <f>HYPERLINK("https://www.boe.es/gazeta/dias/1816/05/21/pdfs/GMD-1816-64.pdf#page=8","Abrir facsímil")</f>
        <v>Abrir facsímil</v>
      </c>
      <c r="K157" s="3" t="s">
        <v>23</v>
      </c>
    </row>
    <row r="158" spans="1:11" ht="42" customHeight="1">
      <c r="A158" s="2" t="s">
        <v>547</v>
      </c>
      <c r="B158" s="2" t="s">
        <v>548</v>
      </c>
      <c r="C158" s="2" t="s">
        <v>111</v>
      </c>
      <c r="D158" s="2" t="s">
        <v>112</v>
      </c>
      <c r="E158" s="5">
        <v>-30527</v>
      </c>
      <c r="F158" s="3" t="s">
        <v>304</v>
      </c>
      <c r="G158" s="3" t="s">
        <v>42</v>
      </c>
      <c r="H158" s="2" t="s">
        <v>21</v>
      </c>
      <c r="I158" s="2" t="s">
        <v>556</v>
      </c>
      <c r="J158" s="3" t="str">
        <f>HYPERLINK("https://www.boe.es/gazeta/dias/1816/06/01/pdfs/GMD-1816-69.pdf#page=8","Abrir facsímil")</f>
        <v>Abrir facsímil</v>
      </c>
      <c r="K158" s="3" t="s">
        <v>23</v>
      </c>
    </row>
    <row r="159" spans="1:11" ht="42" customHeight="1">
      <c r="A159" s="2" t="s">
        <v>547</v>
      </c>
      <c r="B159" s="2" t="s">
        <v>548</v>
      </c>
      <c r="C159" s="2" t="s">
        <v>111</v>
      </c>
      <c r="D159" s="2" t="s">
        <v>112</v>
      </c>
      <c r="E159" s="5">
        <v>-30517</v>
      </c>
      <c r="F159" s="3" t="s">
        <v>557</v>
      </c>
      <c r="G159" s="3" t="s">
        <v>42</v>
      </c>
      <c r="H159" s="2" t="s">
        <v>21</v>
      </c>
      <c r="I159" s="2" t="s">
        <v>558</v>
      </c>
      <c r="J159" s="3" t="str">
        <f>HYPERLINK("https://www.boe.es/gazeta/dias/1816/06/11/pdfs/GMD-1816-73.pdf#page=8","Abrir facsímil")</f>
        <v>Abrir facsímil</v>
      </c>
      <c r="K159" s="3" t="s">
        <v>23</v>
      </c>
    </row>
    <row r="160" spans="1:11" ht="42" customHeight="1">
      <c r="A160" s="2" t="s">
        <v>547</v>
      </c>
      <c r="B160" s="2" t="s">
        <v>548</v>
      </c>
      <c r="C160" s="2" t="s">
        <v>111</v>
      </c>
      <c r="D160" s="2" t="s">
        <v>112</v>
      </c>
      <c r="E160" s="5">
        <v>-30510</v>
      </c>
      <c r="F160" s="3" t="s">
        <v>450</v>
      </c>
      <c r="G160" s="3" t="s">
        <v>451</v>
      </c>
      <c r="H160" s="2" t="s">
        <v>21</v>
      </c>
      <c r="I160" s="2" t="s">
        <v>559</v>
      </c>
      <c r="J160" s="3" t="str">
        <f>HYPERLINK("https://www.boe.es/gazeta/dias/1816/06/18/pdfs/GMD-1816-76.pdf#page=8","Abrir facsímil")</f>
        <v>Abrir facsímil</v>
      </c>
      <c r="K160" s="3" t="s">
        <v>23</v>
      </c>
    </row>
    <row r="161" spans="1:11" ht="42" customHeight="1">
      <c r="A161" s="2" t="s">
        <v>547</v>
      </c>
      <c r="B161" s="2" t="s">
        <v>548</v>
      </c>
      <c r="C161" s="2" t="s">
        <v>111</v>
      </c>
      <c r="D161" s="2" t="s">
        <v>112</v>
      </c>
      <c r="E161" s="5">
        <v>-30501</v>
      </c>
      <c r="F161" s="3" t="s">
        <v>475</v>
      </c>
      <c r="G161" s="3" t="s">
        <v>560</v>
      </c>
      <c r="H161" s="2" t="s">
        <v>21</v>
      </c>
      <c r="I161" s="2" t="s">
        <v>561</v>
      </c>
      <c r="J161" s="3" t="str">
        <f>HYPERLINK("https://www.boe.es/gazeta/dias/1816/06/27/pdfs/GMD-1816-80.pdf#page=7","Abrir facsímil")</f>
        <v>Abrir facsímil</v>
      </c>
      <c r="K161" s="3" t="s">
        <v>23</v>
      </c>
    </row>
    <row r="162" spans="1:11" ht="42" customHeight="1">
      <c r="A162" s="2" t="s">
        <v>547</v>
      </c>
      <c r="B162" s="2" t="s">
        <v>548</v>
      </c>
      <c r="C162" s="2" t="s">
        <v>111</v>
      </c>
      <c r="D162" s="2" t="s">
        <v>112</v>
      </c>
      <c r="E162" s="5">
        <v>-30473</v>
      </c>
      <c r="F162" s="3" t="s">
        <v>336</v>
      </c>
      <c r="G162" s="3" t="s">
        <v>562</v>
      </c>
      <c r="H162" s="2" t="s">
        <v>21</v>
      </c>
      <c r="I162" s="2" t="s">
        <v>563</v>
      </c>
      <c r="J162" s="3" t="str">
        <f>HYPERLINK("https://www.boe.es/gazeta/dias/1816/07/25/pdfs/GMD-1816-92.pdf#page=16","Abrir facsímil")</f>
        <v>Abrir facsímil</v>
      </c>
      <c r="K162" s="3" t="s">
        <v>23</v>
      </c>
    </row>
    <row r="163" spans="1:11" ht="42" customHeight="1">
      <c r="A163" s="2" t="s">
        <v>547</v>
      </c>
      <c r="B163" s="2" t="s">
        <v>548</v>
      </c>
      <c r="C163" s="2" t="s">
        <v>34</v>
      </c>
      <c r="D163" s="2" t="s">
        <v>35</v>
      </c>
      <c r="E163" s="5">
        <v>-30440</v>
      </c>
      <c r="F163" s="3" t="s">
        <v>564</v>
      </c>
      <c r="G163" s="3" t="s">
        <v>565</v>
      </c>
      <c r="H163" s="2" t="s">
        <v>21</v>
      </c>
      <c r="I163" s="2" t="s">
        <v>566</v>
      </c>
      <c r="J163" s="3" t="str">
        <f>HYPERLINK("https://www.boe.es/gazeta/dias/1816/08/27/pdfs/GMD-1816-106.pdf#page=7","Abrir facsímil")</f>
        <v>Abrir facsímil</v>
      </c>
      <c r="K163" s="3" t="s">
        <v>23</v>
      </c>
    </row>
    <row r="164" spans="1:11" ht="42" customHeight="1">
      <c r="A164" s="2" t="s">
        <v>547</v>
      </c>
      <c r="B164" s="2" t="s">
        <v>548</v>
      </c>
      <c r="C164" s="2" t="s">
        <v>111</v>
      </c>
      <c r="D164" s="2" t="s">
        <v>112</v>
      </c>
      <c r="E164" s="5">
        <v>-30424</v>
      </c>
      <c r="F164" s="3" t="s">
        <v>142</v>
      </c>
      <c r="G164" s="3" t="s">
        <v>52</v>
      </c>
      <c r="H164" s="2" t="s">
        <v>21</v>
      </c>
      <c r="I164" s="2" t="s">
        <v>567</v>
      </c>
      <c r="J164" s="3" t="str">
        <f>HYPERLINK("https://www.boe.es/gazeta/dias/1816/09/12/pdfs/GMD-1816-113.pdf#page=12","Abrir facsímil")</f>
        <v>Abrir facsímil</v>
      </c>
      <c r="K164" s="3" t="s">
        <v>23</v>
      </c>
    </row>
    <row r="165" spans="1:11" ht="42" customHeight="1">
      <c r="A165" s="2" t="s">
        <v>547</v>
      </c>
      <c r="B165" s="2" t="s">
        <v>548</v>
      </c>
      <c r="C165" s="2" t="s">
        <v>111</v>
      </c>
      <c r="D165" s="2" t="s">
        <v>112</v>
      </c>
      <c r="E165" s="5">
        <v>-30412</v>
      </c>
      <c r="F165" s="3" t="s">
        <v>388</v>
      </c>
      <c r="G165" s="3" t="s">
        <v>42</v>
      </c>
      <c r="H165" s="2" t="s">
        <v>21</v>
      </c>
      <c r="I165" s="2" t="s">
        <v>568</v>
      </c>
      <c r="J165" s="3" t="str">
        <f>HYPERLINK("https://www.boe.es/gazeta/dias/1816/09/24/pdfs/GMD-1816-118.pdf#page=8","Abrir facsímil")</f>
        <v>Abrir facsímil</v>
      </c>
      <c r="K165" s="3" t="s">
        <v>23</v>
      </c>
    </row>
    <row r="166" spans="1:11" ht="42" customHeight="1">
      <c r="A166" s="2" t="s">
        <v>547</v>
      </c>
      <c r="B166" s="2" t="s">
        <v>548</v>
      </c>
      <c r="C166" s="2" t="s">
        <v>111</v>
      </c>
      <c r="D166" s="2" t="s">
        <v>112</v>
      </c>
      <c r="E166" s="5">
        <v>-30389</v>
      </c>
      <c r="F166" s="3" t="s">
        <v>522</v>
      </c>
      <c r="G166" s="3" t="s">
        <v>42</v>
      </c>
      <c r="H166" s="2" t="s">
        <v>21</v>
      </c>
      <c r="I166" s="2" t="s">
        <v>569</v>
      </c>
      <c r="J166" s="3" t="str">
        <f>HYPERLINK("https://www.boe.es/gazeta/dias/1816/10/17/pdfs/GMD-1816-130.pdf#page=8","Abrir facsímil")</f>
        <v>Abrir facsímil</v>
      </c>
      <c r="K166" s="3" t="s">
        <v>23</v>
      </c>
    </row>
    <row r="167" spans="1:11" ht="42" customHeight="1">
      <c r="A167" s="2" t="s">
        <v>547</v>
      </c>
      <c r="B167" s="2" t="s">
        <v>548</v>
      </c>
      <c r="C167" s="2" t="s">
        <v>111</v>
      </c>
      <c r="D167" s="2" t="s">
        <v>112</v>
      </c>
      <c r="E167" s="5">
        <v>-30363</v>
      </c>
      <c r="F167" s="3" t="s">
        <v>570</v>
      </c>
      <c r="G167" s="3" t="s">
        <v>42</v>
      </c>
      <c r="H167" s="2" t="s">
        <v>21</v>
      </c>
      <c r="I167" s="2" t="s">
        <v>571</v>
      </c>
      <c r="J167" s="3" t="str">
        <f>HYPERLINK("https://www.boe.es/gazeta/dias/1816/11/12/pdfs/GMD-1816-141.pdf#page=8","Abrir facsímil")</f>
        <v>Abrir facsímil</v>
      </c>
      <c r="K167" s="3" t="s">
        <v>23</v>
      </c>
    </row>
    <row r="168" spans="1:11" ht="42" customHeight="1">
      <c r="A168" s="2" t="s">
        <v>547</v>
      </c>
      <c r="B168" s="2" t="s">
        <v>548</v>
      </c>
      <c r="C168" s="2" t="s">
        <v>111</v>
      </c>
      <c r="D168" s="2" t="s">
        <v>112</v>
      </c>
      <c r="E168" s="5">
        <v>-30335</v>
      </c>
      <c r="F168" s="3" t="s">
        <v>468</v>
      </c>
      <c r="G168" s="3" t="s">
        <v>42</v>
      </c>
      <c r="H168" s="2" t="s">
        <v>21</v>
      </c>
      <c r="I168" s="2" t="s">
        <v>572</v>
      </c>
      <c r="J168" s="3" t="str">
        <f>HYPERLINK("https://www.boe.es/gazeta/dias/1816/12/10/pdfs/GMD-1816-153.pdf#page=8","Abrir facsímil")</f>
        <v>Abrir facsímil</v>
      </c>
      <c r="K168" s="3" t="s">
        <v>23</v>
      </c>
    </row>
    <row r="169" spans="1:11" ht="42" customHeight="1">
      <c r="A169" s="2" t="s">
        <v>547</v>
      </c>
      <c r="B169" s="2" t="s">
        <v>548</v>
      </c>
      <c r="C169" s="2" t="s">
        <v>111</v>
      </c>
      <c r="D169" s="2" t="s">
        <v>112</v>
      </c>
      <c r="E169" s="5">
        <v>-30328</v>
      </c>
      <c r="F169" s="3" t="s">
        <v>573</v>
      </c>
      <c r="G169" s="3" t="s">
        <v>42</v>
      </c>
      <c r="H169" s="2" t="s">
        <v>21</v>
      </c>
      <c r="I169" s="2" t="s">
        <v>574</v>
      </c>
      <c r="J169" s="3" t="str">
        <f>HYPERLINK("https://www.boe.es/gazeta/dias/1816/12/17/pdfs/GMD-1816-156.pdf#page=8","Abrir facsímil")</f>
        <v>Abrir facsímil</v>
      </c>
      <c r="K169" s="3" t="s">
        <v>23</v>
      </c>
    </row>
    <row r="170" spans="1:11" ht="42" customHeight="1">
      <c r="A170" s="2" t="s">
        <v>547</v>
      </c>
      <c r="B170" s="2" t="s">
        <v>548</v>
      </c>
      <c r="C170" s="2" t="s">
        <v>111</v>
      </c>
      <c r="D170" s="2" t="s">
        <v>112</v>
      </c>
      <c r="E170" s="5">
        <v>-30324</v>
      </c>
      <c r="F170" s="3" t="s">
        <v>46</v>
      </c>
      <c r="G170" s="3" t="s">
        <v>42</v>
      </c>
      <c r="H170" s="2" t="s">
        <v>21</v>
      </c>
      <c r="I170" s="2" t="s">
        <v>575</v>
      </c>
      <c r="J170" s="3" t="str">
        <f>HYPERLINK("https://www.boe.es/gazeta/dias/1816/12/21/pdfs/GMD-1816-158.pdf#page=8","Abrir facsímil")</f>
        <v>Abrir facsímil</v>
      </c>
      <c r="K170" s="3" t="s">
        <v>23</v>
      </c>
    </row>
    <row r="171" spans="1:11" ht="42" customHeight="1">
      <c r="A171" s="2" t="s">
        <v>576</v>
      </c>
      <c r="B171" s="2" t="s">
        <v>577</v>
      </c>
      <c r="C171" s="2" t="s">
        <v>111</v>
      </c>
      <c r="D171" s="2" t="s">
        <v>112</v>
      </c>
      <c r="E171" s="5">
        <v>-30578</v>
      </c>
      <c r="F171" s="3" t="s">
        <v>91</v>
      </c>
      <c r="G171" s="3" t="s">
        <v>52</v>
      </c>
      <c r="H171" s="2" t="s">
        <v>21</v>
      </c>
      <c r="I171" s="2" t="s">
        <v>578</v>
      </c>
      <c r="J171" s="3" t="str">
        <f>HYPERLINK("https://www.boe.es/gazeta/dias/1816/04/11/pdfs/GMD-1816-47.pdf#page=12","Abrir facsímil")</f>
        <v>Abrir facsímil</v>
      </c>
      <c r="K171" s="3" t="s">
        <v>23</v>
      </c>
    </row>
    <row r="172" spans="1:11" ht="42" customHeight="1">
      <c r="A172" s="2" t="s">
        <v>576</v>
      </c>
      <c r="B172" s="2" t="s">
        <v>577</v>
      </c>
      <c r="C172" s="2" t="s">
        <v>111</v>
      </c>
      <c r="D172" s="2" t="s">
        <v>112</v>
      </c>
      <c r="E172" s="5">
        <v>-30559</v>
      </c>
      <c r="F172" s="3" t="s">
        <v>165</v>
      </c>
      <c r="G172" s="3" t="s">
        <v>166</v>
      </c>
      <c r="H172" s="2" t="s">
        <v>21</v>
      </c>
      <c r="I172" s="2" t="s">
        <v>579</v>
      </c>
      <c r="J172" s="3" t="str">
        <f>HYPERLINK("https://www.boe.es/gazeta/dias/1816/04/30/pdfs/GMD-1816-55.pdf#page=7","Abrir facsímil")</f>
        <v>Abrir facsímil</v>
      </c>
      <c r="K172" s="3" t="s">
        <v>23</v>
      </c>
    </row>
    <row r="173" spans="1:11" ht="42" customHeight="1">
      <c r="A173" s="2" t="s">
        <v>576</v>
      </c>
      <c r="B173" s="2" t="s">
        <v>577</v>
      </c>
      <c r="C173" s="2" t="s">
        <v>111</v>
      </c>
      <c r="D173" s="2" t="s">
        <v>112</v>
      </c>
      <c r="E173" s="5">
        <v>-30536</v>
      </c>
      <c r="F173" s="3" t="s">
        <v>580</v>
      </c>
      <c r="G173" s="3" t="s">
        <v>42</v>
      </c>
      <c r="H173" s="2" t="s">
        <v>21</v>
      </c>
      <c r="I173" s="2" t="s">
        <v>581</v>
      </c>
      <c r="J173" s="3" t="str">
        <f>HYPERLINK("https://www.boe.es/gazeta/dias/1816/05/23/pdfs/GMD-1816-65.pdf#page=8","Abrir facsímil")</f>
        <v>Abrir facsímil</v>
      </c>
      <c r="K173" s="3" t="s">
        <v>23</v>
      </c>
    </row>
    <row r="174" spans="1:11" ht="42" customHeight="1">
      <c r="A174" s="2" t="s">
        <v>576</v>
      </c>
      <c r="B174" s="2" t="s">
        <v>577</v>
      </c>
      <c r="C174" s="2" t="s">
        <v>111</v>
      </c>
      <c r="D174" s="2" t="s">
        <v>112</v>
      </c>
      <c r="E174" s="5">
        <v>-30513</v>
      </c>
      <c r="F174" s="3" t="s">
        <v>582</v>
      </c>
      <c r="G174" s="3" t="s">
        <v>42</v>
      </c>
      <c r="H174" s="2" t="s">
        <v>21</v>
      </c>
      <c r="I174" s="2" t="s">
        <v>583</v>
      </c>
      <c r="J174" s="3" t="str">
        <f>HYPERLINK("https://www.boe.es/gazeta/dias/1816/06/15/pdfs/GMD-1816-75.pdf#page=8","Abrir facsímil")</f>
        <v>Abrir facsímil</v>
      </c>
      <c r="K174" s="3" t="s">
        <v>23</v>
      </c>
    </row>
    <row r="175" spans="1:11" ht="42" customHeight="1">
      <c r="A175" s="2" t="s">
        <v>576</v>
      </c>
      <c r="B175" s="2" t="s">
        <v>577</v>
      </c>
      <c r="C175" s="2" t="s">
        <v>111</v>
      </c>
      <c r="D175" s="2" t="s">
        <v>112</v>
      </c>
      <c r="E175" s="5">
        <v>-30464</v>
      </c>
      <c r="F175" s="3" t="s">
        <v>215</v>
      </c>
      <c r="G175" s="3" t="s">
        <v>175</v>
      </c>
      <c r="H175" s="2" t="s">
        <v>21</v>
      </c>
      <c r="I175" s="2" t="s">
        <v>584</v>
      </c>
      <c r="J175" s="3" t="str">
        <f>HYPERLINK("https://www.boe.es/gazeta/dias/1816/08/03/pdfs/GMD-1816-96.pdf#page=11","Abrir facsímil")</f>
        <v>Abrir facsímil</v>
      </c>
      <c r="K175" s="3" t="s">
        <v>23</v>
      </c>
    </row>
    <row r="176" spans="1:11" ht="42" customHeight="1">
      <c r="A176" s="2" t="s">
        <v>576</v>
      </c>
      <c r="B176" s="2" t="s">
        <v>577</v>
      </c>
      <c r="C176" s="2" t="s">
        <v>111</v>
      </c>
      <c r="D176" s="2" t="s">
        <v>112</v>
      </c>
      <c r="E176" s="5">
        <v>-30415</v>
      </c>
      <c r="F176" s="3" t="s">
        <v>585</v>
      </c>
      <c r="G176" s="3" t="s">
        <v>52</v>
      </c>
      <c r="H176" s="2" t="s">
        <v>21</v>
      </c>
      <c r="I176" s="2" t="s">
        <v>586</v>
      </c>
      <c r="J176" s="3" t="str">
        <f>HYPERLINK("https://www.boe.es/gazeta/dias/1816/09/21/pdfs/GMD-1816-117.pdf#page=12","Abrir facsímil")</f>
        <v>Abrir facsímil</v>
      </c>
      <c r="K176" s="3" t="s">
        <v>23</v>
      </c>
    </row>
    <row r="177" spans="1:11" ht="42" customHeight="1">
      <c r="A177" s="2" t="s">
        <v>576</v>
      </c>
      <c r="B177" s="2" t="s">
        <v>577</v>
      </c>
      <c r="C177" s="2" t="s">
        <v>81</v>
      </c>
      <c r="D177" s="2" t="s">
        <v>18</v>
      </c>
      <c r="E177" s="5">
        <v>-30405</v>
      </c>
      <c r="F177" s="3" t="s">
        <v>587</v>
      </c>
      <c r="G177" s="3" t="s">
        <v>42</v>
      </c>
      <c r="H177" s="2" t="s">
        <v>21</v>
      </c>
      <c r="I177" s="2" t="s">
        <v>588</v>
      </c>
      <c r="J177" s="3" t="str">
        <f>HYPERLINK("https://www.boe.es/gazeta/dias/1816/10/01/pdfs/GMD-1816-121.pdf#page=8","Abrir facsímil")</f>
        <v>Abrir facsímil</v>
      </c>
      <c r="K177" s="3" t="s">
        <v>23</v>
      </c>
    </row>
    <row r="178" spans="1:11" ht="42" customHeight="1">
      <c r="A178" s="2" t="s">
        <v>576</v>
      </c>
      <c r="B178" s="2" t="s">
        <v>577</v>
      </c>
      <c r="C178" s="2" t="s">
        <v>111</v>
      </c>
      <c r="D178" s="2" t="s">
        <v>112</v>
      </c>
      <c r="E178" s="5">
        <v>-30394</v>
      </c>
      <c r="F178" s="3" t="s">
        <v>589</v>
      </c>
      <c r="G178" s="3" t="s">
        <v>42</v>
      </c>
      <c r="H178" s="2" t="s">
        <v>21</v>
      </c>
      <c r="I178" s="2" t="s">
        <v>590</v>
      </c>
      <c r="J178" s="3" t="str">
        <f>HYPERLINK("https://www.boe.es/gazeta/dias/1816/10/12/pdfs/GMD-1816-127.pdf#page=8","Abrir facsímil")</f>
        <v>Abrir facsímil</v>
      </c>
      <c r="K178" s="3" t="s">
        <v>23</v>
      </c>
    </row>
    <row r="179" spans="1:11" ht="42" customHeight="1">
      <c r="A179" s="2" t="s">
        <v>576</v>
      </c>
      <c r="B179" s="2" t="s">
        <v>577</v>
      </c>
      <c r="C179" s="2" t="s">
        <v>111</v>
      </c>
      <c r="D179" s="2" t="s">
        <v>112</v>
      </c>
      <c r="E179" s="5">
        <v>-30391</v>
      </c>
      <c r="F179" s="3" t="s">
        <v>482</v>
      </c>
      <c r="G179" s="3" t="s">
        <v>72</v>
      </c>
      <c r="H179" s="2" t="s">
        <v>21</v>
      </c>
      <c r="I179" s="2" t="s">
        <v>591</v>
      </c>
      <c r="J179" s="3" t="str">
        <f>HYPERLINK("https://www.boe.es/gazeta/dias/1816/10/15/pdfs/GMD-1816-129.pdf#page=7","Abrir facsímil")</f>
        <v>Abrir facsímil</v>
      </c>
      <c r="K179" s="3" t="s">
        <v>23</v>
      </c>
    </row>
    <row r="180" spans="1:11" ht="42" customHeight="1">
      <c r="A180" s="2" t="s">
        <v>576</v>
      </c>
      <c r="B180" s="2" t="s">
        <v>577</v>
      </c>
      <c r="C180" s="2" t="s">
        <v>111</v>
      </c>
      <c r="D180" s="2" t="s">
        <v>112</v>
      </c>
      <c r="E180" s="5">
        <v>-30389</v>
      </c>
      <c r="F180" s="3" t="s">
        <v>522</v>
      </c>
      <c r="G180" s="3" t="s">
        <v>72</v>
      </c>
      <c r="H180" s="2" t="s">
        <v>21</v>
      </c>
      <c r="I180" s="2" t="s">
        <v>592</v>
      </c>
      <c r="J180" s="3" t="str">
        <f>HYPERLINK("https://www.boe.es/gazeta/dias/1816/10/17/pdfs/GMD-1816-130.pdf#page=7","Abrir facsímil")</f>
        <v>Abrir facsímil</v>
      </c>
      <c r="K180" s="3" t="s">
        <v>23</v>
      </c>
    </row>
    <row r="181" spans="1:11" ht="42" customHeight="1">
      <c r="A181" s="2" t="s">
        <v>593</v>
      </c>
      <c r="B181" s="2" t="s">
        <v>594</v>
      </c>
      <c r="C181" s="2" t="s">
        <v>111</v>
      </c>
      <c r="D181" s="2" t="s">
        <v>112</v>
      </c>
      <c r="E181" s="5">
        <v>-30492</v>
      </c>
      <c r="F181" s="3" t="s">
        <v>248</v>
      </c>
      <c r="G181" s="3" t="s">
        <v>443</v>
      </c>
      <c r="H181" s="2" t="s">
        <v>29</v>
      </c>
      <c r="I181" s="2" t="s">
        <v>595</v>
      </c>
      <c r="J181" s="3" t="str">
        <f>HYPERLINK("https://www.boe.es/gazeta/dias/1816/07/06/pdfs/GMD-1816-84.pdf#page=12","Abrir facsímil")</f>
        <v>Abrir facsímil</v>
      </c>
      <c r="K181" s="3" t="s">
        <v>31</v>
      </c>
    </row>
    <row r="182" spans="1:11" ht="42" customHeight="1">
      <c r="A182" s="2" t="s">
        <v>596</v>
      </c>
      <c r="B182" s="2" t="s">
        <v>597</v>
      </c>
      <c r="C182" s="2" t="s">
        <v>111</v>
      </c>
      <c r="D182" s="2" t="s">
        <v>112</v>
      </c>
      <c r="E182" s="5">
        <v>-30429</v>
      </c>
      <c r="F182" s="3" t="s">
        <v>598</v>
      </c>
      <c r="G182" s="3" t="s">
        <v>42</v>
      </c>
      <c r="H182" s="2" t="s">
        <v>21</v>
      </c>
      <c r="I182" s="2" t="s">
        <v>599</v>
      </c>
      <c r="J182" s="3" t="str">
        <f>HYPERLINK("https://www.boe.es/gazeta/dias/1816/09/07/pdfs/GMD-1816-111.pdf#page=8","Abrir facsímil")</f>
        <v>Abrir facsímil</v>
      </c>
      <c r="K182" s="3" t="s">
        <v>23</v>
      </c>
    </row>
    <row r="183" spans="1:11" ht="42" customHeight="1">
      <c r="A183" s="2" t="s">
        <v>600</v>
      </c>
      <c r="B183" s="2" t="s">
        <v>601</v>
      </c>
      <c r="C183" s="2" t="s">
        <v>26</v>
      </c>
      <c r="D183" s="2" t="s">
        <v>18</v>
      </c>
      <c r="E183" s="5">
        <v>-30445</v>
      </c>
      <c r="F183" s="3" t="s">
        <v>51</v>
      </c>
      <c r="G183" s="3" t="s">
        <v>47</v>
      </c>
      <c r="H183" s="2" t="s">
        <v>21</v>
      </c>
      <c r="I183" s="2" t="s">
        <v>602</v>
      </c>
      <c r="J183" s="3" t="str">
        <f>HYPERLINK("https://www.boe.es/gazeta/dias/1816/08/22/pdfs/GMD-1816-104.pdf#page=5","Abrir facsímil")</f>
        <v>Abrir facsímil</v>
      </c>
      <c r="K183" s="3" t="s">
        <v>23</v>
      </c>
    </row>
    <row r="184" spans="1:11" ht="42" customHeight="1">
      <c r="A184" s="2" t="s">
        <v>600</v>
      </c>
      <c r="B184" s="2" t="s">
        <v>601</v>
      </c>
      <c r="C184" s="2" t="s">
        <v>26</v>
      </c>
      <c r="D184" s="2" t="s">
        <v>18</v>
      </c>
      <c r="E184" s="5">
        <v>-30354</v>
      </c>
      <c r="F184" s="3" t="s">
        <v>68</v>
      </c>
      <c r="G184" s="3" t="s">
        <v>42</v>
      </c>
      <c r="H184" s="2" t="s">
        <v>21</v>
      </c>
      <c r="I184" s="2" t="s">
        <v>603</v>
      </c>
      <c r="J184" s="3" t="str">
        <f>HYPERLINK("https://www.boe.es/gazeta/dias/1816/11/21/pdfs/GMD-1816-145.pdf#page=8","Abrir facsímil")</f>
        <v>Abrir facsímil</v>
      </c>
      <c r="K184" s="3" t="s">
        <v>23</v>
      </c>
    </row>
    <row r="185" spans="1:11" ht="42" customHeight="1">
      <c r="A185" s="2" t="s">
        <v>604</v>
      </c>
      <c r="B185" s="2" t="s">
        <v>605</v>
      </c>
      <c r="C185" s="2" t="s">
        <v>34</v>
      </c>
      <c r="D185" s="2" t="s">
        <v>35</v>
      </c>
      <c r="E185" s="5">
        <v>-30592</v>
      </c>
      <c r="F185" s="3" t="s">
        <v>236</v>
      </c>
      <c r="G185" s="3" t="s">
        <v>606</v>
      </c>
      <c r="H185" s="2" t="s">
        <v>21</v>
      </c>
      <c r="I185" s="2" t="s">
        <v>607</v>
      </c>
      <c r="J185" s="3" t="str">
        <f>HYPERLINK("https://www.boe.es/gazeta/dias/1816/03/28/pdfs/GMD-1816-41.pdf#page=12","Abrir facsímil")</f>
        <v>Abrir facsímil</v>
      </c>
      <c r="K185" s="3" t="s">
        <v>23</v>
      </c>
    </row>
    <row r="186" spans="1:11" ht="42" customHeight="1">
      <c r="A186" s="2" t="s">
        <v>608</v>
      </c>
      <c r="B186" s="2" t="s">
        <v>609</v>
      </c>
      <c r="C186" s="2" t="s">
        <v>34</v>
      </c>
      <c r="D186" s="2" t="s">
        <v>35</v>
      </c>
      <c r="E186" s="5">
        <v>-30405</v>
      </c>
      <c r="F186" s="3" t="s">
        <v>587</v>
      </c>
      <c r="G186" s="3" t="s">
        <v>72</v>
      </c>
      <c r="H186" s="2" t="s">
        <v>21</v>
      </c>
      <c r="I186" s="2" t="s">
        <v>610</v>
      </c>
      <c r="J186" s="3" t="str">
        <f>HYPERLINK("https://www.boe.es/gazeta/dias/1816/10/01/pdfs/GMD-1816-121.pdf#page=7","Abrir facsímil")</f>
        <v>Abrir facsímil</v>
      </c>
      <c r="K186" s="3" t="s">
        <v>23</v>
      </c>
    </row>
    <row r="187" spans="1:11" ht="42" customHeight="1">
      <c r="A187" s="2" t="s">
        <v>611</v>
      </c>
      <c r="B187" s="2" t="s">
        <v>612</v>
      </c>
      <c r="C187" s="2" t="s">
        <v>111</v>
      </c>
      <c r="D187" s="2" t="s">
        <v>112</v>
      </c>
      <c r="E187" s="5">
        <v>-30578</v>
      </c>
      <c r="F187" s="3" t="s">
        <v>91</v>
      </c>
      <c r="G187" s="3" t="s">
        <v>180</v>
      </c>
      <c r="H187" s="2" t="s">
        <v>21</v>
      </c>
      <c r="I187" s="2" t="s">
        <v>613</v>
      </c>
      <c r="J187" s="3" t="str">
        <f>HYPERLINK("https://www.boe.es/gazeta/dias/1816/04/11/pdfs/GMD-1816-47.pdf#page=10","Abrir facsímil")</f>
        <v>Abrir facsímil</v>
      </c>
      <c r="K187" s="3" t="s">
        <v>23</v>
      </c>
    </row>
    <row r="188" spans="1:11" ht="42" customHeight="1">
      <c r="A188" s="2" t="s">
        <v>614</v>
      </c>
      <c r="B188" s="2" t="s">
        <v>614</v>
      </c>
      <c r="C188" s="2" t="s">
        <v>34</v>
      </c>
      <c r="D188" s="2" t="s">
        <v>35</v>
      </c>
      <c r="E188" s="5">
        <v>-30646</v>
      </c>
      <c r="F188" s="3" t="s">
        <v>615</v>
      </c>
      <c r="G188" s="3" t="s">
        <v>47</v>
      </c>
      <c r="H188" s="2" t="s">
        <v>21</v>
      </c>
      <c r="I188" s="2" t="s">
        <v>616</v>
      </c>
      <c r="J188" s="3" t="str">
        <f>HYPERLINK("https://www.boe.es/gazeta/dias/1816/02/03/pdfs/GMD-1816-16.pdf#page=5","Abrir facsímil")</f>
        <v>Abrir facsímil</v>
      </c>
      <c r="K188" s="3" t="s">
        <v>23</v>
      </c>
    </row>
    <row r="189" spans="1:11" ht="42" customHeight="1">
      <c r="A189" s="2" t="s">
        <v>614</v>
      </c>
      <c r="B189" s="2" t="s">
        <v>614</v>
      </c>
      <c r="C189" s="2" t="s">
        <v>34</v>
      </c>
      <c r="D189" s="2" t="s">
        <v>35</v>
      </c>
      <c r="E189" s="5">
        <v>-30578</v>
      </c>
      <c r="F189" s="3" t="s">
        <v>91</v>
      </c>
      <c r="G189" s="3" t="s">
        <v>180</v>
      </c>
      <c r="H189" s="2" t="s">
        <v>21</v>
      </c>
      <c r="I189" s="2" t="s">
        <v>617</v>
      </c>
      <c r="J189" s="3" t="str">
        <f>HYPERLINK("https://www.boe.es/gazeta/dias/1816/04/11/pdfs/GMD-1816-47.pdf#page=10","Abrir facsímil")</f>
        <v>Abrir facsímil</v>
      </c>
      <c r="K189" s="3" t="s">
        <v>23</v>
      </c>
    </row>
    <row r="190" spans="1:11" ht="42" customHeight="1">
      <c r="A190" s="2" t="s">
        <v>618</v>
      </c>
      <c r="B190" s="2" t="s">
        <v>619</v>
      </c>
      <c r="C190" s="2" t="s">
        <v>34</v>
      </c>
      <c r="D190" s="2" t="s">
        <v>35</v>
      </c>
      <c r="E190" s="5">
        <v>-30643</v>
      </c>
      <c r="F190" s="3" t="s">
        <v>620</v>
      </c>
      <c r="G190" s="3" t="s">
        <v>72</v>
      </c>
      <c r="H190" s="2" t="s">
        <v>21</v>
      </c>
      <c r="I190" s="2" t="s">
        <v>621</v>
      </c>
      <c r="J190" s="3" t="str">
        <f>HYPERLINK("https://www.boe.es/gazeta/dias/1816/02/06/pdfs/GMD-1816-17.pdf#page=7","Abrir facsímil")</f>
        <v>Abrir facsímil</v>
      </c>
      <c r="K190" s="3" t="s">
        <v>23</v>
      </c>
    </row>
    <row r="191" spans="1:11" ht="42" customHeight="1">
      <c r="A191" s="2" t="s">
        <v>618</v>
      </c>
      <c r="B191" s="2" t="s">
        <v>619</v>
      </c>
      <c r="C191" s="2" t="s">
        <v>34</v>
      </c>
      <c r="D191" s="2" t="s">
        <v>35</v>
      </c>
      <c r="E191" s="5">
        <v>-30620</v>
      </c>
      <c r="F191" s="3" t="s">
        <v>622</v>
      </c>
      <c r="G191" s="3" t="s">
        <v>28</v>
      </c>
      <c r="H191" s="2" t="s">
        <v>21</v>
      </c>
      <c r="I191" s="2" t="s">
        <v>623</v>
      </c>
      <c r="J191" s="3" t="str">
        <f>HYPERLINK("https://www.boe.es/gazeta/dias/1816/02/29/pdfs/GMD-1816-28.pdf#page=6","Abrir facsímil")</f>
        <v>Abrir facsímil</v>
      </c>
      <c r="K191" s="3" t="s">
        <v>23</v>
      </c>
    </row>
    <row r="192" spans="1:11" ht="42" customHeight="1">
      <c r="A192" s="2" t="s">
        <v>624</v>
      </c>
      <c r="B192" s="2" t="s">
        <v>625</v>
      </c>
      <c r="C192" s="2" t="s">
        <v>34</v>
      </c>
      <c r="D192" s="2" t="s">
        <v>35</v>
      </c>
      <c r="E192" s="5">
        <v>-30366</v>
      </c>
      <c r="F192" s="3" t="s">
        <v>179</v>
      </c>
      <c r="G192" s="3" t="s">
        <v>72</v>
      </c>
      <c r="H192" s="2" t="s">
        <v>21</v>
      </c>
      <c r="I192" s="2" t="s">
        <v>626</v>
      </c>
      <c r="J192" s="3" t="str">
        <f>HYPERLINK("https://www.boe.es/gazeta/dias/1816/11/09/pdfs/GMD-1816-140.pdf#page=7","Abrir facsímil")</f>
        <v>Abrir facsímil</v>
      </c>
      <c r="K192" s="3" t="s">
        <v>23</v>
      </c>
    </row>
    <row r="193" spans="1:11" ht="42" customHeight="1">
      <c r="A193" s="2" t="s">
        <v>627</v>
      </c>
      <c r="B193" s="2" t="s">
        <v>628</v>
      </c>
      <c r="C193" s="2" t="s">
        <v>26</v>
      </c>
      <c r="D193" s="2" t="s">
        <v>18</v>
      </c>
      <c r="E193" s="5">
        <v>-30494</v>
      </c>
      <c r="F193" s="3" t="s">
        <v>174</v>
      </c>
      <c r="G193" s="3" t="s">
        <v>72</v>
      </c>
      <c r="H193" s="2" t="s">
        <v>29</v>
      </c>
      <c r="I193" s="2" t="s">
        <v>629</v>
      </c>
      <c r="J193" s="3" t="str">
        <f>HYPERLINK("https://www.boe.es/gazeta/dias/1816/07/04/pdfs/GMD-1816-83.pdf#page=7","Abrir facsímil")</f>
        <v>Abrir facsímil</v>
      </c>
      <c r="K193" s="3" t="s">
        <v>31</v>
      </c>
    </row>
    <row r="194" spans="1:11" ht="42" customHeight="1">
      <c r="A194" s="2" t="s">
        <v>630</v>
      </c>
      <c r="B194" s="2" t="s">
        <v>630</v>
      </c>
      <c r="C194" s="2" t="s">
        <v>81</v>
      </c>
      <c r="D194" s="2" t="s">
        <v>18</v>
      </c>
      <c r="E194" s="5">
        <v>-30625</v>
      </c>
      <c r="F194" s="3" t="s">
        <v>631</v>
      </c>
      <c r="G194" s="3" t="s">
        <v>42</v>
      </c>
      <c r="H194" s="2" t="s">
        <v>21</v>
      </c>
      <c r="I194" s="2" t="s">
        <v>632</v>
      </c>
      <c r="J194" s="3" t="str">
        <f>HYPERLINK("https://www.boe.es/gazeta/dias/1816/02/24/pdfs/GMD-1816-25.pdf#page=8","Abrir facsímil")</f>
        <v>Abrir facsímil</v>
      </c>
      <c r="K194" s="3" t="s">
        <v>23</v>
      </c>
    </row>
    <row r="195" spans="1:11" ht="42" customHeight="1">
      <c r="A195" s="2" t="s">
        <v>630</v>
      </c>
      <c r="B195" s="2" t="s">
        <v>630</v>
      </c>
      <c r="C195" s="2" t="s">
        <v>387</v>
      </c>
      <c r="D195" s="2" t="s">
        <v>18</v>
      </c>
      <c r="E195" s="5">
        <v>-30585</v>
      </c>
      <c r="F195" s="3" t="s">
        <v>633</v>
      </c>
      <c r="G195" s="3" t="s">
        <v>634</v>
      </c>
      <c r="H195" s="2" t="s">
        <v>21</v>
      </c>
      <c r="I195" s="2" t="s">
        <v>635</v>
      </c>
      <c r="J195" s="3" t="str">
        <f>HYPERLINK("https://www.boe.es/gazeta/dias/1816/04/04/pdfs/GMD-1816-44.pdf#page=6","Abrir facsímil")</f>
        <v>Abrir facsímil</v>
      </c>
      <c r="K195" s="3" t="s">
        <v>23</v>
      </c>
    </row>
    <row r="196" spans="1:11" ht="42" customHeight="1">
      <c r="A196" s="2" t="s">
        <v>630</v>
      </c>
      <c r="B196" s="2" t="s">
        <v>630</v>
      </c>
      <c r="C196" s="2" t="s">
        <v>34</v>
      </c>
      <c r="D196" s="2" t="s">
        <v>35</v>
      </c>
      <c r="E196" s="5">
        <v>-30557</v>
      </c>
      <c r="F196" s="3" t="s">
        <v>508</v>
      </c>
      <c r="G196" s="3" t="s">
        <v>103</v>
      </c>
      <c r="H196" s="2" t="s">
        <v>21</v>
      </c>
      <c r="I196" s="2" t="s">
        <v>636</v>
      </c>
      <c r="J196" s="3" t="str">
        <f>HYPERLINK("https://www.boe.es/gazeta/dias/1816/05/02/pdfs/GMD-1816-56.pdf#page=4","Abrir facsímil")</f>
        <v>Abrir facsímil</v>
      </c>
      <c r="K196" s="3" t="s">
        <v>23</v>
      </c>
    </row>
    <row r="197" spans="1:11" ht="42" customHeight="1">
      <c r="A197" s="2" t="s">
        <v>630</v>
      </c>
      <c r="B197" s="2" t="s">
        <v>630</v>
      </c>
      <c r="C197" s="2" t="s">
        <v>26</v>
      </c>
      <c r="D197" s="2" t="s">
        <v>18</v>
      </c>
      <c r="E197" s="5">
        <v>-30494</v>
      </c>
      <c r="F197" s="3" t="s">
        <v>174</v>
      </c>
      <c r="G197" s="3" t="s">
        <v>103</v>
      </c>
      <c r="H197" s="2" t="s">
        <v>21</v>
      </c>
      <c r="I197" s="2" t="s">
        <v>637</v>
      </c>
      <c r="J197" s="3" t="str">
        <f>HYPERLINK("https://www.boe.es/gazeta/dias/1816/07/04/pdfs/GMD-1816-83.pdf#page=4","Abrir facsímil")</f>
        <v>Abrir facsímil</v>
      </c>
      <c r="K197" s="3" t="s">
        <v>23</v>
      </c>
    </row>
    <row r="198" spans="1:11" ht="42" customHeight="1">
      <c r="A198" s="2" t="s">
        <v>630</v>
      </c>
      <c r="B198" s="2" t="s">
        <v>630</v>
      </c>
      <c r="C198" s="2" t="s">
        <v>26</v>
      </c>
      <c r="D198" s="2" t="s">
        <v>18</v>
      </c>
      <c r="E198" s="5">
        <v>-30494</v>
      </c>
      <c r="F198" s="3" t="s">
        <v>174</v>
      </c>
      <c r="G198" s="3" t="s">
        <v>72</v>
      </c>
      <c r="H198" s="2" t="s">
        <v>21</v>
      </c>
      <c r="I198" s="2" t="s">
        <v>638</v>
      </c>
      <c r="J198" s="3" t="str">
        <f>HYPERLINK("https://www.boe.es/gazeta/dias/1816/07/04/pdfs/GMD-1816-83.pdf#page=7","Abrir facsímil")</f>
        <v>Abrir facsímil</v>
      </c>
      <c r="K198" s="3" t="s">
        <v>23</v>
      </c>
    </row>
    <row r="199" spans="1:11" ht="42" customHeight="1">
      <c r="A199" s="2" t="s">
        <v>630</v>
      </c>
      <c r="B199" s="2" t="s">
        <v>630</v>
      </c>
      <c r="C199" s="2" t="s">
        <v>34</v>
      </c>
      <c r="D199" s="2" t="s">
        <v>35</v>
      </c>
      <c r="E199" s="5">
        <v>-30471</v>
      </c>
      <c r="F199" s="3" t="s">
        <v>639</v>
      </c>
      <c r="G199" s="3" t="s">
        <v>28</v>
      </c>
      <c r="H199" s="2" t="s">
        <v>21</v>
      </c>
      <c r="I199" s="2" t="s">
        <v>640</v>
      </c>
      <c r="J199" s="3" t="str">
        <f>HYPERLINK("https://www.boe.es/gazeta/dias/1816/07/27/pdfs/GMD-1816-93.pdf#page=6","Abrir facsímil")</f>
        <v>Abrir facsímil</v>
      </c>
      <c r="K199" s="3" t="s">
        <v>23</v>
      </c>
    </row>
    <row r="200" spans="1:11" ht="42" customHeight="1">
      <c r="A200" s="2" t="s">
        <v>630</v>
      </c>
      <c r="B200" s="2" t="s">
        <v>630</v>
      </c>
      <c r="C200" s="2" t="s">
        <v>41</v>
      </c>
      <c r="D200" s="2" t="s">
        <v>18</v>
      </c>
      <c r="E200" s="5">
        <v>-30394</v>
      </c>
      <c r="F200" s="3" t="s">
        <v>589</v>
      </c>
      <c r="G200" s="3" t="s">
        <v>28</v>
      </c>
      <c r="H200" s="2" t="s">
        <v>21</v>
      </c>
      <c r="I200" s="2" t="s">
        <v>641</v>
      </c>
      <c r="J200" s="3" t="str">
        <f>HYPERLINK("https://www.boe.es/gazeta/dias/1816/10/12/pdfs/GMD-1816-127.pdf#page=6","Abrir facsímil")</f>
        <v>Abrir facsímil</v>
      </c>
      <c r="K200" s="3" t="s">
        <v>23</v>
      </c>
    </row>
    <row r="201" spans="1:11" ht="42" customHeight="1">
      <c r="A201" s="2" t="s">
        <v>630</v>
      </c>
      <c r="B201" s="2" t="s">
        <v>630</v>
      </c>
      <c r="C201" s="2" t="s">
        <v>26</v>
      </c>
      <c r="D201" s="2" t="s">
        <v>18</v>
      </c>
      <c r="E201" s="5">
        <v>-30394</v>
      </c>
      <c r="F201" s="3" t="s">
        <v>589</v>
      </c>
      <c r="G201" s="3" t="s">
        <v>72</v>
      </c>
      <c r="H201" s="2" t="s">
        <v>21</v>
      </c>
      <c r="I201" s="2" t="s">
        <v>642</v>
      </c>
      <c r="J201" s="3" t="str">
        <f>HYPERLINK("https://www.boe.es/gazeta/dias/1816/10/12/pdfs/GMD-1816-127.pdf#page=7","Abrir facsímil")</f>
        <v>Abrir facsímil</v>
      </c>
      <c r="K201" s="3" t="s">
        <v>23</v>
      </c>
    </row>
    <row r="202" spans="1:11" ht="42" customHeight="1">
      <c r="A202" s="2" t="s">
        <v>643</v>
      </c>
      <c r="B202" s="2" t="s">
        <v>644</v>
      </c>
      <c r="C202" s="2" t="s">
        <v>111</v>
      </c>
      <c r="D202" s="2" t="s">
        <v>56</v>
      </c>
      <c r="E202" s="5">
        <v>-30393</v>
      </c>
      <c r="F202" s="3" t="s">
        <v>202</v>
      </c>
      <c r="G202" s="3" t="s">
        <v>645</v>
      </c>
      <c r="H202" s="2" t="s">
        <v>21</v>
      </c>
      <c r="I202" s="2" t="s">
        <v>646</v>
      </c>
      <c r="J202" s="3" t="str">
        <f>HYPERLINK("https://www.boe.es/gazeta/dias/1816/10/13/pdfs/GMD-1816-128E.pdf#page=4","Abrir facsímil")</f>
        <v>Abrir facsímil</v>
      </c>
      <c r="K202" s="3" t="s">
        <v>23</v>
      </c>
    </row>
    <row r="203" spans="1:11" ht="42" customHeight="1">
      <c r="A203" s="2" t="s">
        <v>647</v>
      </c>
      <c r="B203" s="2" t="s">
        <v>648</v>
      </c>
      <c r="C203" s="2" t="s">
        <v>41</v>
      </c>
      <c r="D203" s="2" t="s">
        <v>18</v>
      </c>
      <c r="E203" s="5">
        <v>-30494</v>
      </c>
      <c r="F203" s="3" t="s">
        <v>174</v>
      </c>
      <c r="G203" s="3" t="s">
        <v>175</v>
      </c>
      <c r="H203" s="2" t="s">
        <v>21</v>
      </c>
      <c r="I203" s="2" t="s">
        <v>649</v>
      </c>
      <c r="J203" s="3" t="str">
        <f>HYPERLINK("https://www.boe.es/gazeta/dias/1816/07/04/pdfs/GMD-1816-83.pdf#page=11","Abrir facsímil")</f>
        <v>Abrir facsímil</v>
      </c>
      <c r="K203" s="3" t="s">
        <v>23</v>
      </c>
    </row>
    <row r="204" spans="1:11" ht="42" customHeight="1">
      <c r="A204" s="2" t="s">
        <v>650</v>
      </c>
      <c r="B204" s="2" t="s">
        <v>651</v>
      </c>
      <c r="C204" s="2" t="s">
        <v>26</v>
      </c>
      <c r="D204" s="2" t="s">
        <v>18</v>
      </c>
      <c r="E204" s="5">
        <v>-30401</v>
      </c>
      <c r="F204" s="3" t="s">
        <v>652</v>
      </c>
      <c r="G204" s="3" t="s">
        <v>103</v>
      </c>
      <c r="H204" s="2" t="s">
        <v>21</v>
      </c>
      <c r="I204" s="2" t="s">
        <v>653</v>
      </c>
      <c r="J204" s="3" t="str">
        <f>HYPERLINK("https://www.boe.es/gazeta/dias/1816/10/05/pdfs/GMD-1816-123.pdf#page=4","Abrir facsímil")</f>
        <v>Abrir facsímil</v>
      </c>
      <c r="K204" s="3" t="s">
        <v>23</v>
      </c>
    </row>
    <row r="205" spans="1:11" ht="42" customHeight="1">
      <c r="A205" s="2" t="s">
        <v>654</v>
      </c>
      <c r="B205" s="2" t="s">
        <v>655</v>
      </c>
      <c r="C205" s="2" t="s">
        <v>17</v>
      </c>
      <c r="D205" s="2" t="s">
        <v>18</v>
      </c>
      <c r="E205" s="5">
        <v>-30480</v>
      </c>
      <c r="F205" s="3" t="s">
        <v>147</v>
      </c>
      <c r="G205" s="3" t="s">
        <v>42</v>
      </c>
      <c r="H205" s="2" t="s">
        <v>21</v>
      </c>
      <c r="I205" s="2" t="s">
        <v>656</v>
      </c>
      <c r="J205" s="3" t="str">
        <f>HYPERLINK("https://www.boe.es/gazeta/dias/1816/07/18/pdfs/GMD-1816-89.pdf#page=8","Abrir facsímil")</f>
        <v>Abrir facsímil</v>
      </c>
      <c r="K205" s="3" t="s">
        <v>23</v>
      </c>
    </row>
    <row r="206" spans="1:11" ht="42" customHeight="1">
      <c r="A206" s="2" t="s">
        <v>657</v>
      </c>
      <c r="B206" s="2" t="s">
        <v>658</v>
      </c>
      <c r="C206" s="2" t="s">
        <v>111</v>
      </c>
      <c r="D206" s="2" t="s">
        <v>112</v>
      </c>
      <c r="E206" s="5">
        <v>-30667</v>
      </c>
      <c r="F206" s="3" t="s">
        <v>659</v>
      </c>
      <c r="G206" s="3" t="s">
        <v>42</v>
      </c>
      <c r="H206" s="2" t="s">
        <v>21</v>
      </c>
      <c r="I206" s="2" t="s">
        <v>660</v>
      </c>
      <c r="J206" s="3" t="str">
        <f>HYPERLINK("https://www.boe.es/gazeta/dias/1816/01/13/pdfs/GMD-1816-6.pdf#page=8","Abrir facsímil")</f>
        <v>Abrir facsímil</v>
      </c>
      <c r="K206" s="3" t="s">
        <v>23</v>
      </c>
    </row>
    <row r="207" spans="1:11" ht="42" customHeight="1">
      <c r="A207" s="2" t="s">
        <v>661</v>
      </c>
      <c r="B207" s="2" t="s">
        <v>662</v>
      </c>
      <c r="C207" s="2" t="s">
        <v>67</v>
      </c>
      <c r="D207" s="2" t="s">
        <v>18</v>
      </c>
      <c r="E207" s="5">
        <v>-30655</v>
      </c>
      <c r="F207" s="3" t="s">
        <v>170</v>
      </c>
      <c r="G207" s="3" t="s">
        <v>42</v>
      </c>
      <c r="H207" s="2" t="s">
        <v>21</v>
      </c>
      <c r="I207" s="2" t="s">
        <v>663</v>
      </c>
      <c r="J207" s="3" t="str">
        <f>HYPERLINK("https://www.boe.es/gazeta/dias/1816/01/25/pdfs/GMD-1816-11.pdf#page=8","Abrir facsímil")</f>
        <v>Abrir facsímil</v>
      </c>
      <c r="K207" s="3" t="s">
        <v>23</v>
      </c>
    </row>
    <row r="208" spans="1:11" ht="42" customHeight="1">
      <c r="A208" s="2" t="s">
        <v>664</v>
      </c>
      <c r="B208" s="2" t="s">
        <v>665</v>
      </c>
      <c r="C208" s="2" t="s">
        <v>111</v>
      </c>
      <c r="D208" s="2" t="s">
        <v>112</v>
      </c>
      <c r="E208" s="5">
        <v>-30335</v>
      </c>
      <c r="F208" s="3" t="s">
        <v>468</v>
      </c>
      <c r="G208" s="3" t="s">
        <v>72</v>
      </c>
      <c r="H208" s="2" t="s">
        <v>29</v>
      </c>
      <c r="I208" s="2" t="s">
        <v>666</v>
      </c>
      <c r="J208" s="3" t="str">
        <f>HYPERLINK("https://www.boe.es/gazeta/dias/1816/12/10/pdfs/GMD-1816-153.pdf#page=7","Abrir facsímil")</f>
        <v>Abrir facsímil</v>
      </c>
      <c r="K208" s="3" t="s">
        <v>31</v>
      </c>
    </row>
    <row r="209" spans="1:11" ht="42" customHeight="1">
      <c r="A209" s="2" t="s">
        <v>667</v>
      </c>
      <c r="B209" s="2" t="s">
        <v>667</v>
      </c>
      <c r="C209" s="2" t="s">
        <v>17</v>
      </c>
      <c r="D209" s="2" t="s">
        <v>18</v>
      </c>
      <c r="E209" s="5">
        <v>-30618</v>
      </c>
      <c r="F209" s="3" t="s">
        <v>207</v>
      </c>
      <c r="G209" s="3" t="s">
        <v>28</v>
      </c>
      <c r="H209" s="2" t="s">
        <v>21</v>
      </c>
      <c r="I209" s="2" t="s">
        <v>668</v>
      </c>
      <c r="J209" s="3" t="str">
        <f>HYPERLINK("https://www.boe.es/gazeta/dias/1816/03/02/pdfs/GMD-1816-29.pdf#page=6","Abrir facsímil")</f>
        <v>Abrir facsímil</v>
      </c>
      <c r="K209" s="3" t="s">
        <v>23</v>
      </c>
    </row>
    <row r="210" spans="1:11" ht="42" customHeight="1">
      <c r="A210" s="2" t="s">
        <v>667</v>
      </c>
      <c r="B210" s="2" t="s">
        <v>667</v>
      </c>
      <c r="C210" s="2" t="s">
        <v>34</v>
      </c>
      <c r="D210" s="2" t="s">
        <v>35</v>
      </c>
      <c r="E210" s="5">
        <v>-30370</v>
      </c>
      <c r="F210" s="3" t="s">
        <v>669</v>
      </c>
      <c r="G210" s="3" t="s">
        <v>103</v>
      </c>
      <c r="H210" s="2" t="s">
        <v>21</v>
      </c>
      <c r="I210" s="2" t="s">
        <v>670</v>
      </c>
      <c r="J210" s="3" t="str">
        <f>HYPERLINK("https://www.boe.es/gazeta/dias/1816/11/05/pdfs/GMD-1816-138.pdf#page=4","Abrir facsímil")</f>
        <v>Abrir facsímil</v>
      </c>
      <c r="K210" s="3" t="s">
        <v>23</v>
      </c>
    </row>
    <row r="211" spans="1:11" ht="42" customHeight="1">
      <c r="A211" s="2" t="s">
        <v>671</v>
      </c>
      <c r="B211" s="2" t="s">
        <v>672</v>
      </c>
      <c r="C211" s="2" t="s">
        <v>34</v>
      </c>
      <c r="D211" s="2" t="s">
        <v>35</v>
      </c>
      <c r="E211" s="5">
        <v>-30496</v>
      </c>
      <c r="F211" s="3" t="s">
        <v>290</v>
      </c>
      <c r="G211" s="3" t="s">
        <v>673</v>
      </c>
      <c r="H211" s="2" t="s">
        <v>29</v>
      </c>
      <c r="I211" s="2" t="s">
        <v>674</v>
      </c>
      <c r="J211" s="3" t="str">
        <f>HYPERLINK("https://www.boe.es/gazeta/dias/1816/07/02/pdfs/GMD-1816-82.pdf#page=4","Abrir facsímil")</f>
        <v>Abrir facsímil</v>
      </c>
      <c r="K211" s="3" t="s">
        <v>31</v>
      </c>
    </row>
    <row r="212" spans="1:11" ht="42" customHeight="1">
      <c r="A212" s="2" t="s">
        <v>675</v>
      </c>
      <c r="B212" s="2" t="s">
        <v>676</v>
      </c>
      <c r="C212" s="2" t="s">
        <v>34</v>
      </c>
      <c r="D212" s="2" t="s">
        <v>35</v>
      </c>
      <c r="E212" s="5">
        <v>-30655</v>
      </c>
      <c r="F212" s="3" t="s">
        <v>170</v>
      </c>
      <c r="G212" s="3" t="s">
        <v>72</v>
      </c>
      <c r="H212" s="2" t="s">
        <v>21</v>
      </c>
      <c r="I212" s="2" t="s">
        <v>677</v>
      </c>
      <c r="J212" s="3" t="str">
        <f>HYPERLINK("https://www.boe.es/gazeta/dias/1816/01/25/pdfs/GMD-1816-11.pdf#page=7","Abrir facsímil")</f>
        <v>Abrir facsímil</v>
      </c>
      <c r="K212" s="3" t="s">
        <v>23</v>
      </c>
    </row>
    <row r="213" spans="1:11" ht="42" customHeight="1">
      <c r="A213" s="2" t="s">
        <v>678</v>
      </c>
      <c r="B213" s="2" t="s">
        <v>679</v>
      </c>
      <c r="C213" s="2" t="s">
        <v>111</v>
      </c>
      <c r="D213" s="2" t="s">
        <v>112</v>
      </c>
      <c r="E213" s="5">
        <v>-30557</v>
      </c>
      <c r="F213" s="3" t="s">
        <v>508</v>
      </c>
      <c r="G213" s="3" t="s">
        <v>42</v>
      </c>
      <c r="H213" s="2" t="s">
        <v>21</v>
      </c>
      <c r="I213" s="2" t="s">
        <v>680</v>
      </c>
      <c r="J213" s="3" t="str">
        <f>HYPERLINK("https://www.boe.es/gazeta/dias/1816/05/02/pdfs/GMD-1816-56.pdf#page=8","Abrir facsímil")</f>
        <v>Abrir facsímil</v>
      </c>
      <c r="K213" s="3" t="s">
        <v>23</v>
      </c>
    </row>
    <row r="214" spans="1:11" ht="42" customHeight="1">
      <c r="A214" s="2" t="s">
        <v>681</v>
      </c>
      <c r="B214" s="2" t="s">
        <v>682</v>
      </c>
      <c r="C214" s="2" t="s">
        <v>41</v>
      </c>
      <c r="D214" s="2" t="s">
        <v>18</v>
      </c>
      <c r="E214" s="5">
        <v>-30578</v>
      </c>
      <c r="F214" s="3" t="s">
        <v>91</v>
      </c>
      <c r="G214" s="3" t="s">
        <v>42</v>
      </c>
      <c r="H214" s="2" t="s">
        <v>21</v>
      </c>
      <c r="I214" s="2" t="s">
        <v>683</v>
      </c>
      <c r="J214" s="3" t="str">
        <f>HYPERLINK("https://www.boe.es/gazeta/dias/1816/04/11/pdfs/GMD-1816-47.pdf#page=8","Abrir facsímil")</f>
        <v>Abrir facsímil</v>
      </c>
      <c r="K214" s="3" t="s">
        <v>23</v>
      </c>
    </row>
    <row r="215" spans="1:11" ht="42" customHeight="1">
      <c r="A215" s="2" t="s">
        <v>681</v>
      </c>
      <c r="B215" s="2" t="s">
        <v>682</v>
      </c>
      <c r="C215" s="2" t="s">
        <v>41</v>
      </c>
      <c r="D215" s="2" t="s">
        <v>18</v>
      </c>
      <c r="E215" s="5">
        <v>-30482</v>
      </c>
      <c r="F215" s="3" t="s">
        <v>370</v>
      </c>
      <c r="G215" s="3" t="s">
        <v>180</v>
      </c>
      <c r="H215" s="2" t="s">
        <v>21</v>
      </c>
      <c r="I215" s="2" t="s">
        <v>684</v>
      </c>
      <c r="J215" s="3" t="str">
        <f>HYPERLINK("https://www.boe.es/gazeta/dias/1816/07/16/pdfs/GMD-1816-88.pdf#page=10","Abrir facsímil")</f>
        <v>Abrir facsímil</v>
      </c>
      <c r="K215" s="3" t="s">
        <v>23</v>
      </c>
    </row>
    <row r="216" spans="1:11" ht="42" customHeight="1">
      <c r="A216" s="2" t="s">
        <v>685</v>
      </c>
      <c r="B216" s="2" t="s">
        <v>686</v>
      </c>
      <c r="C216" s="2" t="s">
        <v>111</v>
      </c>
      <c r="D216" s="2" t="s">
        <v>112</v>
      </c>
      <c r="E216" s="5">
        <v>-30618</v>
      </c>
      <c r="F216" s="3" t="s">
        <v>207</v>
      </c>
      <c r="G216" s="3" t="s">
        <v>687</v>
      </c>
      <c r="H216" s="2" t="s">
        <v>21</v>
      </c>
      <c r="I216" s="2" t="s">
        <v>688</v>
      </c>
      <c r="J216" s="3" t="str">
        <f>HYPERLINK("https://www.boe.es/gazeta/dias/1816/03/02/pdfs/GMD-1816-29.pdf#page=4","Abrir facsímil")</f>
        <v>Abrir facsímil</v>
      </c>
      <c r="K216" s="3" t="s">
        <v>23</v>
      </c>
    </row>
    <row r="217" spans="1:11" ht="42" customHeight="1">
      <c r="A217" s="2" t="s">
        <v>685</v>
      </c>
      <c r="B217" s="2" t="s">
        <v>686</v>
      </c>
      <c r="C217" s="2" t="s">
        <v>26</v>
      </c>
      <c r="D217" s="2" t="s">
        <v>18</v>
      </c>
      <c r="E217" s="5">
        <v>-30618</v>
      </c>
      <c r="F217" s="3" t="s">
        <v>207</v>
      </c>
      <c r="G217" s="3" t="s">
        <v>47</v>
      </c>
      <c r="H217" s="2" t="s">
        <v>21</v>
      </c>
      <c r="I217" s="2" t="s">
        <v>689</v>
      </c>
      <c r="J217" s="3" t="str">
        <f>HYPERLINK("https://www.boe.es/gazeta/dias/1816/03/02/pdfs/GMD-1816-29.pdf#page=5","Abrir facsímil")</f>
        <v>Abrir facsímil</v>
      </c>
      <c r="K217" s="3" t="s">
        <v>23</v>
      </c>
    </row>
    <row r="218" spans="1:11" ht="42" customHeight="1">
      <c r="A218" s="2" t="s">
        <v>685</v>
      </c>
      <c r="B218" s="2" t="s">
        <v>686</v>
      </c>
      <c r="C218" s="2" t="s">
        <v>34</v>
      </c>
      <c r="D218" s="2" t="s">
        <v>35</v>
      </c>
      <c r="E218" s="5">
        <v>-30370</v>
      </c>
      <c r="F218" s="3" t="s">
        <v>669</v>
      </c>
      <c r="G218" s="3" t="s">
        <v>184</v>
      </c>
      <c r="H218" s="2" t="s">
        <v>21</v>
      </c>
      <c r="I218" s="2" t="s">
        <v>690</v>
      </c>
      <c r="J218" s="3" t="str">
        <f>HYPERLINK("https://www.boe.es/gazeta/dias/1816/11/05/pdfs/GMD-1816-138.pdf#page=3","Abrir facsímil")</f>
        <v>Abrir facsímil</v>
      </c>
      <c r="K218" s="3" t="s">
        <v>23</v>
      </c>
    </row>
    <row r="219" spans="1:11" ht="42" customHeight="1">
      <c r="A219" s="2" t="s">
        <v>691</v>
      </c>
      <c r="B219" s="2" t="s">
        <v>692</v>
      </c>
      <c r="C219" s="2" t="s">
        <v>26</v>
      </c>
      <c r="D219" s="2" t="s">
        <v>18</v>
      </c>
      <c r="E219" s="5">
        <v>-30387</v>
      </c>
      <c r="F219" s="3" t="s">
        <v>224</v>
      </c>
      <c r="G219" s="3" t="s">
        <v>103</v>
      </c>
      <c r="H219" s="2" t="s">
        <v>29</v>
      </c>
      <c r="I219" s="2" t="s">
        <v>693</v>
      </c>
      <c r="J219" s="3" t="str">
        <f>HYPERLINK("https://www.boe.es/gazeta/dias/1816/10/19/pdfs/GMD-1816-131.pdf#page=4","Abrir facsímil")</f>
        <v>Abrir facsímil</v>
      </c>
      <c r="K219" s="3" t="s">
        <v>31</v>
      </c>
    </row>
    <row r="220" spans="1:11" ht="42" customHeight="1">
      <c r="A220" s="2" t="s">
        <v>694</v>
      </c>
      <c r="B220" s="2" t="s">
        <v>695</v>
      </c>
      <c r="C220" s="2" t="s">
        <v>387</v>
      </c>
      <c r="D220" s="2" t="s">
        <v>18</v>
      </c>
      <c r="E220" s="5">
        <v>-30597</v>
      </c>
      <c r="F220" s="3" t="s">
        <v>696</v>
      </c>
      <c r="G220" s="3" t="s">
        <v>47</v>
      </c>
      <c r="H220" s="2" t="s">
        <v>29</v>
      </c>
      <c r="I220" s="2" t="s">
        <v>697</v>
      </c>
      <c r="J220" s="3" t="str">
        <f>HYPERLINK("https://www.boe.es/gazeta/dias/1816/03/23/pdfs/GMD-1816-39.pdf#page=5","Abrir facsímil")</f>
        <v>Abrir facsímil</v>
      </c>
      <c r="K220" s="3" t="s">
        <v>31</v>
      </c>
    </row>
    <row r="221" spans="1:11" ht="42" customHeight="1">
      <c r="A221" s="2" t="s">
        <v>698</v>
      </c>
      <c r="B221" s="2" t="s">
        <v>699</v>
      </c>
      <c r="C221" s="2" t="s">
        <v>41</v>
      </c>
      <c r="D221" s="2" t="s">
        <v>18</v>
      </c>
      <c r="E221" s="5">
        <v>-30578</v>
      </c>
      <c r="F221" s="3" t="s">
        <v>91</v>
      </c>
      <c r="G221" s="3" t="s">
        <v>42</v>
      </c>
      <c r="H221" s="2" t="s">
        <v>21</v>
      </c>
      <c r="I221" s="2" t="s">
        <v>700</v>
      </c>
      <c r="J221" s="3" t="str">
        <f>HYPERLINK("https://www.boe.es/gazeta/dias/1816/04/11/pdfs/GMD-1816-47.pdf#page=8","Abrir facsímil")</f>
        <v>Abrir facsímil</v>
      </c>
      <c r="K221" s="3" t="s">
        <v>23</v>
      </c>
    </row>
    <row r="222" spans="1:11" ht="42" customHeight="1">
      <c r="A222" s="2" t="s">
        <v>701</v>
      </c>
      <c r="B222" s="2" t="s">
        <v>702</v>
      </c>
      <c r="C222" s="2" t="s">
        <v>26</v>
      </c>
      <c r="D222" s="2" t="s">
        <v>18</v>
      </c>
      <c r="E222" s="5">
        <v>-30548</v>
      </c>
      <c r="F222" s="3" t="s">
        <v>472</v>
      </c>
      <c r="G222" s="3" t="s">
        <v>42</v>
      </c>
      <c r="H222" s="2" t="s">
        <v>21</v>
      </c>
      <c r="I222" s="2" t="s">
        <v>703</v>
      </c>
      <c r="J222" s="3" t="str">
        <f>HYPERLINK("https://www.boe.es/gazeta/dias/1816/05/11/pdfs/GMD-1816-60.pdf#page=8","Abrir facsímil")</f>
        <v>Abrir facsímil</v>
      </c>
      <c r="K222" s="3" t="s">
        <v>23</v>
      </c>
    </row>
    <row r="223" spans="1:11" ht="42" customHeight="1">
      <c r="A223" s="2" t="s">
        <v>704</v>
      </c>
      <c r="B223" s="2" t="s">
        <v>704</v>
      </c>
      <c r="C223" s="2" t="s">
        <v>26</v>
      </c>
      <c r="D223" s="2" t="s">
        <v>18</v>
      </c>
      <c r="E223" s="5">
        <v>-30674</v>
      </c>
      <c r="F223" s="3" t="s">
        <v>19</v>
      </c>
      <c r="G223" s="3" t="s">
        <v>28</v>
      </c>
      <c r="H223" s="2" t="s">
        <v>21</v>
      </c>
      <c r="I223" s="2" t="s">
        <v>705</v>
      </c>
      <c r="J223" s="3" t="str">
        <f>HYPERLINK("https://www.boe.es/gazeta/dias/1816/01/06/pdfs/GMD-1816-3.pdf#page=6","Abrir facsímil")</f>
        <v>Abrir facsímil</v>
      </c>
      <c r="K223" s="3" t="s">
        <v>23</v>
      </c>
    </row>
    <row r="224" spans="1:11" ht="42" customHeight="1">
      <c r="A224" s="2" t="s">
        <v>706</v>
      </c>
      <c r="B224" s="2" t="s">
        <v>707</v>
      </c>
      <c r="C224" s="2" t="s">
        <v>26</v>
      </c>
      <c r="D224" s="2" t="s">
        <v>18</v>
      </c>
      <c r="E224" s="5">
        <v>-30436</v>
      </c>
      <c r="F224" s="3" t="s">
        <v>102</v>
      </c>
      <c r="G224" s="3" t="s">
        <v>184</v>
      </c>
      <c r="H224" s="2" t="s">
        <v>21</v>
      </c>
      <c r="I224" s="2" t="s">
        <v>708</v>
      </c>
      <c r="J224" s="3" t="str">
        <f>HYPERLINK("https://www.boe.es/gazeta/dias/1816/08/31/pdfs/GMD-1816-108.pdf#page=3","Abrir facsímil")</f>
        <v>Abrir facsímil</v>
      </c>
      <c r="K224" s="3" t="s">
        <v>23</v>
      </c>
    </row>
    <row r="225" spans="1:11" ht="42" customHeight="1">
      <c r="A225" s="2" t="s">
        <v>709</v>
      </c>
      <c r="B225" s="2" t="s">
        <v>710</v>
      </c>
      <c r="C225" s="2" t="s">
        <v>41</v>
      </c>
      <c r="D225" s="2" t="s">
        <v>18</v>
      </c>
      <c r="E225" s="5">
        <v>-30445</v>
      </c>
      <c r="F225" s="3" t="s">
        <v>51</v>
      </c>
      <c r="G225" s="3" t="s">
        <v>52</v>
      </c>
      <c r="H225" s="2" t="s">
        <v>21</v>
      </c>
      <c r="I225" s="2" t="s">
        <v>711</v>
      </c>
      <c r="J225" s="3" t="str">
        <f>HYPERLINK("https://www.boe.es/gazeta/dias/1816/08/22/pdfs/GMD-1816-104.pdf#page=12","Abrir facsímil")</f>
        <v>Abrir facsímil</v>
      </c>
      <c r="K225" s="3" t="s">
        <v>23</v>
      </c>
    </row>
    <row r="226" spans="1:11" ht="42" customHeight="1">
      <c r="A226" s="2" t="s">
        <v>712</v>
      </c>
      <c r="B226" s="2" t="s">
        <v>713</v>
      </c>
      <c r="C226" s="2" t="s">
        <v>34</v>
      </c>
      <c r="D226" s="2" t="s">
        <v>35</v>
      </c>
      <c r="E226" s="5">
        <v>-30417</v>
      </c>
      <c r="F226" s="3" t="s">
        <v>62</v>
      </c>
      <c r="G226" s="3" t="s">
        <v>63</v>
      </c>
      <c r="H226" s="2" t="s">
        <v>21</v>
      </c>
      <c r="I226" s="2" t="s">
        <v>714</v>
      </c>
      <c r="J226" s="3" t="str">
        <f>HYPERLINK("https://www.boe.es/gazeta/dias/1816/09/19/pdfs/GMD-1816-116.pdf#page=8","Abrir facsímil")</f>
        <v>Abrir facsímil</v>
      </c>
      <c r="K226" s="3" t="s">
        <v>23</v>
      </c>
    </row>
    <row r="227" spans="1:11" ht="42" customHeight="1">
      <c r="A227" s="2" t="s">
        <v>715</v>
      </c>
      <c r="B227" s="2" t="s">
        <v>716</v>
      </c>
      <c r="C227" s="2" t="s">
        <v>41</v>
      </c>
      <c r="D227" s="2" t="s">
        <v>18</v>
      </c>
      <c r="E227" s="5">
        <v>-30587</v>
      </c>
      <c r="F227" s="3" t="s">
        <v>341</v>
      </c>
      <c r="G227" s="3" t="s">
        <v>42</v>
      </c>
      <c r="H227" s="2" t="s">
        <v>21</v>
      </c>
      <c r="I227" s="2" t="s">
        <v>717</v>
      </c>
      <c r="J227" s="3" t="str">
        <f>HYPERLINK("https://www.boe.es/gazeta/dias/1816/04/02/pdfs/GMD-1816-43.pdf#page=8","Abrir facsímil")</f>
        <v>Abrir facsímil</v>
      </c>
      <c r="K227" s="3" t="s">
        <v>23</v>
      </c>
    </row>
    <row r="228" spans="1:11" ht="42" customHeight="1">
      <c r="A228" s="2" t="s">
        <v>718</v>
      </c>
      <c r="B228" s="2" t="s">
        <v>719</v>
      </c>
      <c r="C228" s="2" t="s">
        <v>34</v>
      </c>
      <c r="D228" s="2" t="s">
        <v>56</v>
      </c>
      <c r="E228" s="5">
        <v>-30393</v>
      </c>
      <c r="F228" s="3" t="s">
        <v>202</v>
      </c>
      <c r="G228" s="3" t="s">
        <v>184</v>
      </c>
      <c r="H228" s="2" t="s">
        <v>21</v>
      </c>
      <c r="I228" s="2" t="s">
        <v>720</v>
      </c>
      <c r="J228" s="3" t="str">
        <f>HYPERLINK("https://www.boe.es/gazeta/dias/1816/10/13/pdfs/GMD-1816-128E.pdf#page=3","Abrir facsímil")</f>
        <v>Abrir facsímil</v>
      </c>
      <c r="K228" s="3" t="s">
        <v>23</v>
      </c>
    </row>
    <row r="229" spans="1:11" ht="42" customHeight="1">
      <c r="A229" s="2" t="s">
        <v>721</v>
      </c>
      <c r="B229" s="2" t="s">
        <v>722</v>
      </c>
      <c r="C229" s="2" t="s">
        <v>34</v>
      </c>
      <c r="D229" s="2" t="s">
        <v>35</v>
      </c>
      <c r="E229" s="5">
        <v>-30324</v>
      </c>
      <c r="F229" s="3" t="s">
        <v>46</v>
      </c>
      <c r="G229" s="3" t="s">
        <v>103</v>
      </c>
      <c r="H229" s="2" t="s">
        <v>21</v>
      </c>
      <c r="I229" s="2" t="s">
        <v>723</v>
      </c>
      <c r="J229" s="3" t="str">
        <f>HYPERLINK("https://www.boe.es/gazeta/dias/1816/12/21/pdfs/GMD-1816-158.pdf#page=4","Abrir facsímil")</f>
        <v>Abrir facsímil</v>
      </c>
      <c r="K229" s="3" t="s">
        <v>23</v>
      </c>
    </row>
    <row r="230" spans="1:11" ht="42" customHeight="1">
      <c r="A230" s="2" t="s">
        <v>724</v>
      </c>
      <c r="B230" s="2" t="s">
        <v>725</v>
      </c>
      <c r="C230" s="2" t="s">
        <v>34</v>
      </c>
      <c r="D230" s="2" t="s">
        <v>35</v>
      </c>
      <c r="E230" s="5">
        <v>-30436</v>
      </c>
      <c r="F230" s="3" t="s">
        <v>102</v>
      </c>
      <c r="G230" s="3" t="s">
        <v>92</v>
      </c>
      <c r="H230" s="2" t="s">
        <v>21</v>
      </c>
      <c r="I230" s="2" t="s">
        <v>726</v>
      </c>
      <c r="J230" s="3" t="str">
        <f>HYPERLINK("https://www.boe.es/gazeta/dias/1816/08/31/pdfs/GMD-1816-108.pdf#page=9","Abrir facsímil")</f>
        <v>Abrir facsímil</v>
      </c>
      <c r="K230" s="3" t="s">
        <v>23</v>
      </c>
    </row>
    <row r="231" spans="1:11" ht="42" customHeight="1">
      <c r="A231" s="2" t="s">
        <v>727</v>
      </c>
      <c r="B231" s="2" t="s">
        <v>728</v>
      </c>
      <c r="C231" s="2" t="s">
        <v>26</v>
      </c>
      <c r="D231" s="2" t="s">
        <v>18</v>
      </c>
      <c r="E231" s="5">
        <v>-30394</v>
      </c>
      <c r="F231" s="3" t="s">
        <v>589</v>
      </c>
      <c r="G231" s="3" t="s">
        <v>184</v>
      </c>
      <c r="H231" s="2" t="s">
        <v>21</v>
      </c>
      <c r="I231" s="2" t="s">
        <v>729</v>
      </c>
      <c r="J231" s="3" t="str">
        <f>HYPERLINK("https://www.boe.es/gazeta/dias/1816/10/12/pdfs/GMD-1816-127.pdf#page=3","Abrir facsímil")</f>
        <v>Abrir facsímil</v>
      </c>
      <c r="K231" s="3" t="s">
        <v>23</v>
      </c>
    </row>
    <row r="232" spans="1:11" ht="42" customHeight="1">
      <c r="A232" s="2" t="s">
        <v>730</v>
      </c>
      <c r="B232" s="2" t="s">
        <v>730</v>
      </c>
      <c r="C232" s="2" t="s">
        <v>34</v>
      </c>
      <c r="D232" s="2" t="s">
        <v>35</v>
      </c>
      <c r="E232" s="5">
        <v>-30520</v>
      </c>
      <c r="F232" s="3" t="s">
        <v>731</v>
      </c>
      <c r="G232" s="3" t="s">
        <v>103</v>
      </c>
      <c r="H232" s="2" t="s">
        <v>21</v>
      </c>
      <c r="I232" s="2" t="s">
        <v>732</v>
      </c>
      <c r="J232" s="3" t="str">
        <f>HYPERLINK("https://www.boe.es/gazeta/dias/1816/06/08/pdfs/GMD-1816-72.pdf#page=4","Abrir facsímil")</f>
        <v>Abrir facsímil</v>
      </c>
      <c r="K232" s="3" t="s">
        <v>23</v>
      </c>
    </row>
    <row r="233" spans="1:11" ht="42" customHeight="1">
      <c r="A233" s="2" t="s">
        <v>733</v>
      </c>
      <c r="B233" s="2" t="s">
        <v>734</v>
      </c>
      <c r="C233" s="2" t="s">
        <v>34</v>
      </c>
      <c r="D233" s="2" t="s">
        <v>35</v>
      </c>
      <c r="E233" s="5">
        <v>-30513</v>
      </c>
      <c r="F233" s="3" t="s">
        <v>582</v>
      </c>
      <c r="G233" s="3" t="s">
        <v>47</v>
      </c>
      <c r="H233" s="2" t="s">
        <v>21</v>
      </c>
      <c r="I233" s="2" t="s">
        <v>735</v>
      </c>
      <c r="J233" s="3" t="str">
        <f>HYPERLINK("https://www.boe.es/gazeta/dias/1816/06/15/pdfs/GMD-1816-75.pdf#page=5","Abrir facsímil")</f>
        <v>Abrir facsímil</v>
      </c>
      <c r="K233" s="3" t="s">
        <v>23</v>
      </c>
    </row>
    <row r="234" spans="1:11" ht="42" customHeight="1">
      <c r="A234" s="2" t="s">
        <v>736</v>
      </c>
      <c r="B234" s="2" t="s">
        <v>737</v>
      </c>
      <c r="C234" s="2" t="s">
        <v>41</v>
      </c>
      <c r="D234" s="2" t="s">
        <v>18</v>
      </c>
      <c r="E234" s="5">
        <v>-30571</v>
      </c>
      <c r="F234" s="3" t="s">
        <v>738</v>
      </c>
      <c r="G234" s="3" t="s">
        <v>42</v>
      </c>
      <c r="H234" s="2" t="s">
        <v>21</v>
      </c>
      <c r="I234" s="2" t="s">
        <v>739</v>
      </c>
      <c r="J234" s="3" t="str">
        <f>HYPERLINK("https://www.boe.es/gazeta/dias/1816/04/18/pdfs/GMD-1816-50.pdf#page=8","Abrir facsímil")</f>
        <v>Abrir facsímil</v>
      </c>
      <c r="K234" s="3" t="s">
        <v>23</v>
      </c>
    </row>
    <row r="235" spans="1:11" ht="42" customHeight="1">
      <c r="A235" s="2" t="s">
        <v>740</v>
      </c>
      <c r="B235" s="2" t="s">
        <v>741</v>
      </c>
      <c r="C235" s="2" t="s">
        <v>41</v>
      </c>
      <c r="D235" s="2" t="s">
        <v>18</v>
      </c>
      <c r="E235" s="5">
        <v>-30443</v>
      </c>
      <c r="F235" s="3" t="s">
        <v>259</v>
      </c>
      <c r="G235" s="3" t="s">
        <v>260</v>
      </c>
      <c r="H235" s="2" t="s">
        <v>21</v>
      </c>
      <c r="I235" s="2" t="s">
        <v>742</v>
      </c>
      <c r="J235" s="3" t="str">
        <f>HYPERLINK("https://www.boe.es/gazeta/dias/1816/08/24/pdfs/GMD-1816-105.pdf#page=8","Abrir facsímil")</f>
        <v>Abrir facsímil</v>
      </c>
      <c r="K235" s="3" t="s">
        <v>23</v>
      </c>
    </row>
    <row r="236" spans="1:11" ht="42" customHeight="1">
      <c r="A236" s="2" t="s">
        <v>743</v>
      </c>
      <c r="B236" s="2" t="s">
        <v>743</v>
      </c>
      <c r="C236" s="2" t="s">
        <v>26</v>
      </c>
      <c r="D236" s="2" t="s">
        <v>18</v>
      </c>
      <c r="E236" s="5">
        <v>-30608</v>
      </c>
      <c r="F236" s="3" t="s">
        <v>550</v>
      </c>
      <c r="G236" s="3" t="s">
        <v>270</v>
      </c>
      <c r="H236" s="2" t="s">
        <v>21</v>
      </c>
      <c r="I236" s="2" t="s">
        <v>744</v>
      </c>
      <c r="J236" s="3" t="str">
        <f>HYPERLINK("https://www.boe.es/gazeta/dias/1816/03/12/pdfs/GMD-1816-33.pdf#page=2","Abrir facsímil")</f>
        <v>Abrir facsímil</v>
      </c>
      <c r="K236" s="3" t="s">
        <v>23</v>
      </c>
    </row>
    <row r="237" spans="1:11" ht="42" customHeight="1">
      <c r="A237" s="2" t="s">
        <v>743</v>
      </c>
      <c r="B237" s="2" t="s">
        <v>743</v>
      </c>
      <c r="C237" s="2" t="s">
        <v>34</v>
      </c>
      <c r="D237" s="2" t="s">
        <v>35</v>
      </c>
      <c r="E237" s="5">
        <v>-30370</v>
      </c>
      <c r="F237" s="3" t="s">
        <v>669</v>
      </c>
      <c r="G237" s="3" t="s">
        <v>745</v>
      </c>
      <c r="H237" s="2" t="s">
        <v>21</v>
      </c>
      <c r="I237" s="2" t="s">
        <v>746</v>
      </c>
      <c r="J237" s="3" t="str">
        <f>HYPERLINK("https://www.boe.es/gazeta/dias/1816/11/05/pdfs/GMD-1816-138.pdf#page=2","Abrir facsímil")</f>
        <v>Abrir facsímil</v>
      </c>
      <c r="K237" s="3" t="s">
        <v>23</v>
      </c>
    </row>
    <row r="238" spans="1:11" ht="42" customHeight="1">
      <c r="A238" s="2" t="s">
        <v>747</v>
      </c>
      <c r="B238" s="2" t="s">
        <v>747</v>
      </c>
      <c r="C238" s="2" t="s">
        <v>34</v>
      </c>
      <c r="D238" s="2" t="s">
        <v>35</v>
      </c>
      <c r="E238" s="5">
        <v>-30632</v>
      </c>
      <c r="F238" s="3" t="s">
        <v>89</v>
      </c>
      <c r="G238" s="3" t="s">
        <v>184</v>
      </c>
      <c r="H238" s="2" t="s">
        <v>21</v>
      </c>
      <c r="I238" s="2" t="s">
        <v>748</v>
      </c>
      <c r="J238" s="3" t="str">
        <f>HYPERLINK("https://www.boe.es/gazeta/dias/1816/02/17/pdfs/GMD-1816-22.pdf#page=3","Abrir facsímil")</f>
        <v>Abrir facsímil</v>
      </c>
      <c r="K238" s="3" t="s">
        <v>23</v>
      </c>
    </row>
    <row r="239" spans="1:11" ht="42" customHeight="1">
      <c r="A239" s="2" t="s">
        <v>749</v>
      </c>
      <c r="B239" s="2" t="s">
        <v>749</v>
      </c>
      <c r="C239" s="2" t="s">
        <v>111</v>
      </c>
      <c r="D239" s="2" t="s">
        <v>112</v>
      </c>
      <c r="E239" s="5">
        <v>-30415</v>
      </c>
      <c r="F239" s="3" t="s">
        <v>585</v>
      </c>
      <c r="G239" s="3" t="s">
        <v>175</v>
      </c>
      <c r="H239" s="2" t="s">
        <v>21</v>
      </c>
      <c r="I239" s="2" t="s">
        <v>750</v>
      </c>
      <c r="J239" s="3" t="str">
        <f>HYPERLINK("https://www.boe.es/gazeta/dias/1816/09/21/pdfs/GMD-1816-117.pdf#page=11","Abrir facsímil")</f>
        <v>Abrir facsímil</v>
      </c>
      <c r="K239" s="3" t="s">
        <v>23</v>
      </c>
    </row>
    <row r="240" spans="1:11" ht="42" customHeight="1">
      <c r="A240" s="2" t="s">
        <v>751</v>
      </c>
      <c r="B240" s="2" t="s">
        <v>752</v>
      </c>
      <c r="C240" s="2" t="s">
        <v>26</v>
      </c>
      <c r="D240" s="2" t="s">
        <v>18</v>
      </c>
      <c r="E240" s="5">
        <v>-30601</v>
      </c>
      <c r="F240" s="3" t="s">
        <v>308</v>
      </c>
      <c r="G240" s="3" t="s">
        <v>72</v>
      </c>
      <c r="H240" s="2" t="s">
        <v>21</v>
      </c>
      <c r="I240" s="2" t="s">
        <v>753</v>
      </c>
      <c r="J240" s="3" t="str">
        <f>HYPERLINK("https://www.boe.es/gazeta/dias/1816/03/19/pdfs/GMD-1816-37.pdf#page=7","Abrir facsímil")</f>
        <v>Abrir facsímil</v>
      </c>
      <c r="K240" s="3" t="s">
        <v>23</v>
      </c>
    </row>
    <row r="241" spans="1:11" ht="42" customHeight="1">
      <c r="A241" s="2" t="s">
        <v>754</v>
      </c>
      <c r="B241" s="2" t="s">
        <v>755</v>
      </c>
      <c r="C241" s="2" t="s">
        <v>26</v>
      </c>
      <c r="D241" s="2" t="s">
        <v>18</v>
      </c>
      <c r="E241" s="5">
        <v>-30431</v>
      </c>
      <c r="F241" s="3" t="s">
        <v>756</v>
      </c>
      <c r="G241" s="3" t="s">
        <v>28</v>
      </c>
      <c r="H241" s="2" t="s">
        <v>21</v>
      </c>
      <c r="I241" s="2" t="s">
        <v>757</v>
      </c>
      <c r="J241" s="3" t="str">
        <f>HYPERLINK("https://www.boe.es/gazeta/dias/1816/09/05/pdfs/GMD-1816-110.pdf#page=6","Abrir facsímil")</f>
        <v>Abrir facsímil</v>
      </c>
      <c r="K241" s="3" t="s">
        <v>23</v>
      </c>
    </row>
    <row r="242" spans="1:11" ht="42" customHeight="1">
      <c r="A242" s="2" t="s">
        <v>754</v>
      </c>
      <c r="B242" s="2" t="s">
        <v>755</v>
      </c>
      <c r="C242" s="2" t="s">
        <v>26</v>
      </c>
      <c r="D242" s="2" t="s">
        <v>18</v>
      </c>
      <c r="E242" s="5">
        <v>-30389</v>
      </c>
      <c r="F242" s="3" t="s">
        <v>522</v>
      </c>
      <c r="G242" s="3" t="s">
        <v>28</v>
      </c>
      <c r="H242" s="2" t="s">
        <v>21</v>
      </c>
      <c r="I242" s="2" t="s">
        <v>758</v>
      </c>
      <c r="J242" s="3" t="str">
        <f>HYPERLINK("https://www.boe.es/gazeta/dias/1816/10/17/pdfs/GMD-1816-130.pdf#page=6","Abrir facsímil")</f>
        <v>Abrir facsímil</v>
      </c>
      <c r="K242" s="3" t="s">
        <v>23</v>
      </c>
    </row>
    <row r="243" spans="1:11" ht="42" customHeight="1">
      <c r="A243" s="2" t="s">
        <v>759</v>
      </c>
      <c r="B243" s="2" t="s">
        <v>759</v>
      </c>
      <c r="C243" s="2" t="s">
        <v>111</v>
      </c>
      <c r="D243" s="2" t="s">
        <v>112</v>
      </c>
      <c r="E243" s="5">
        <v>-30611</v>
      </c>
      <c r="F243" s="3" t="s">
        <v>211</v>
      </c>
      <c r="G243" s="3" t="s">
        <v>72</v>
      </c>
      <c r="H243" s="2" t="s">
        <v>21</v>
      </c>
      <c r="I243" s="2" t="s">
        <v>760</v>
      </c>
      <c r="J243" s="3" t="str">
        <f>HYPERLINK("https://www.boe.es/gazeta/dias/1816/03/09/pdfs/GMD-1816-32.pdf#page=7","Abrir facsímil")</f>
        <v>Abrir facsímil</v>
      </c>
      <c r="K243" s="3" t="s">
        <v>23</v>
      </c>
    </row>
    <row r="244" spans="1:11" ht="42" customHeight="1">
      <c r="A244" s="2" t="s">
        <v>759</v>
      </c>
      <c r="B244" s="2" t="s">
        <v>759</v>
      </c>
      <c r="C244" s="2" t="s">
        <v>67</v>
      </c>
      <c r="D244" s="2" t="s">
        <v>18</v>
      </c>
      <c r="E244" s="5">
        <v>-30606</v>
      </c>
      <c r="F244" s="3" t="s">
        <v>761</v>
      </c>
      <c r="G244" s="3" t="s">
        <v>42</v>
      </c>
      <c r="H244" s="2" t="s">
        <v>21</v>
      </c>
      <c r="I244" s="2" t="s">
        <v>762</v>
      </c>
      <c r="J244" s="3" t="str">
        <f>HYPERLINK("https://www.boe.es/gazeta/dias/1816/03/14/pdfs/GMD-1816-34.pdf#page=8","Abrir facsímil")</f>
        <v>Abrir facsímil</v>
      </c>
      <c r="K244" s="3" t="s">
        <v>23</v>
      </c>
    </row>
    <row r="245" spans="1:11" ht="42" customHeight="1">
      <c r="A245" s="2" t="s">
        <v>759</v>
      </c>
      <c r="B245" s="2" t="s">
        <v>759</v>
      </c>
      <c r="C245" s="2" t="s">
        <v>26</v>
      </c>
      <c r="D245" s="2" t="s">
        <v>18</v>
      </c>
      <c r="E245" s="5">
        <v>-30545</v>
      </c>
      <c r="F245" s="3" t="s">
        <v>127</v>
      </c>
      <c r="G245" s="3" t="s">
        <v>42</v>
      </c>
      <c r="H245" s="2" t="s">
        <v>21</v>
      </c>
      <c r="I245" s="2" t="s">
        <v>763</v>
      </c>
      <c r="J245" s="3" t="str">
        <f>HYPERLINK("https://www.boe.es/gazeta/dias/1816/05/14/pdfs/GMD-1816-61.pdf#page=8","Abrir facsímil")</f>
        <v>Abrir facsímil</v>
      </c>
      <c r="K245" s="3" t="s">
        <v>23</v>
      </c>
    </row>
    <row r="246" spans="1:11" ht="42" customHeight="1">
      <c r="A246" s="2" t="s">
        <v>759</v>
      </c>
      <c r="B246" s="2" t="s">
        <v>759</v>
      </c>
      <c r="C246" s="2" t="s">
        <v>111</v>
      </c>
      <c r="D246" s="2" t="s">
        <v>112</v>
      </c>
      <c r="E246" s="5">
        <v>-30538</v>
      </c>
      <c r="F246" s="3" t="s">
        <v>496</v>
      </c>
      <c r="G246" s="3" t="s">
        <v>42</v>
      </c>
      <c r="H246" s="2" t="s">
        <v>21</v>
      </c>
      <c r="I246" s="2" t="s">
        <v>764</v>
      </c>
      <c r="J246" s="3" t="str">
        <f>HYPERLINK("https://www.boe.es/gazeta/dias/1816/05/21/pdfs/GMD-1816-64.pdf#page=8","Abrir facsímil")</f>
        <v>Abrir facsímil</v>
      </c>
      <c r="K246" s="3" t="s">
        <v>23</v>
      </c>
    </row>
    <row r="247" spans="1:11" ht="42" customHeight="1">
      <c r="A247" s="2" t="s">
        <v>759</v>
      </c>
      <c r="B247" s="2" t="s">
        <v>759</v>
      </c>
      <c r="C247" s="2" t="s">
        <v>111</v>
      </c>
      <c r="D247" s="2" t="s">
        <v>112</v>
      </c>
      <c r="E247" s="5">
        <v>-30485</v>
      </c>
      <c r="F247" s="3" t="s">
        <v>156</v>
      </c>
      <c r="G247" s="3" t="s">
        <v>42</v>
      </c>
      <c r="H247" s="2" t="s">
        <v>21</v>
      </c>
      <c r="I247" s="2" t="s">
        <v>765</v>
      </c>
      <c r="J247" s="3" t="str">
        <f>HYPERLINK("https://www.boe.es/gazeta/dias/1816/07/13/pdfs/GMD-1816-87.pdf#page=8","Abrir facsímil")</f>
        <v>Abrir facsímil</v>
      </c>
      <c r="K247" s="3" t="s">
        <v>23</v>
      </c>
    </row>
    <row r="248" spans="1:11" ht="42" customHeight="1">
      <c r="A248" s="2" t="s">
        <v>759</v>
      </c>
      <c r="B248" s="2" t="s">
        <v>759</v>
      </c>
      <c r="C248" s="2" t="s">
        <v>67</v>
      </c>
      <c r="D248" s="2" t="s">
        <v>18</v>
      </c>
      <c r="E248" s="5">
        <v>-30478</v>
      </c>
      <c r="F248" s="3" t="s">
        <v>123</v>
      </c>
      <c r="G248" s="3" t="s">
        <v>42</v>
      </c>
      <c r="H248" s="2" t="s">
        <v>21</v>
      </c>
      <c r="I248" s="2" t="s">
        <v>766</v>
      </c>
      <c r="J248" s="3" t="str">
        <f>HYPERLINK("https://www.boe.es/gazeta/dias/1816/07/20/pdfs/GMD-1816-90.pdf#page=8","Abrir facsímil")</f>
        <v>Abrir facsímil</v>
      </c>
      <c r="K248" s="3" t="s">
        <v>23</v>
      </c>
    </row>
    <row r="249" spans="1:11" ht="42" customHeight="1">
      <c r="A249" s="2" t="s">
        <v>759</v>
      </c>
      <c r="B249" s="2" t="s">
        <v>759</v>
      </c>
      <c r="C249" s="2" t="s">
        <v>67</v>
      </c>
      <c r="D249" s="2" t="s">
        <v>18</v>
      </c>
      <c r="E249" s="5">
        <v>-30475</v>
      </c>
      <c r="F249" s="3" t="s">
        <v>319</v>
      </c>
      <c r="G249" s="3" t="s">
        <v>767</v>
      </c>
      <c r="H249" s="2" t="s">
        <v>21</v>
      </c>
      <c r="I249" s="2" t="s">
        <v>768</v>
      </c>
      <c r="J249" s="3" t="str">
        <f>HYPERLINK("https://www.boe.es/gazeta/dias/1816/07/23/pdfs/GMD-1816-91.pdf#page=8","Abrir facsímil")</f>
        <v>Abrir facsímil</v>
      </c>
      <c r="K249" s="3" t="s">
        <v>23</v>
      </c>
    </row>
    <row r="250" spans="1:11" ht="42" customHeight="1">
      <c r="A250" s="2" t="s">
        <v>759</v>
      </c>
      <c r="B250" s="2" t="s">
        <v>759</v>
      </c>
      <c r="C250" s="2" t="s">
        <v>111</v>
      </c>
      <c r="D250" s="2" t="s">
        <v>112</v>
      </c>
      <c r="E250" s="5">
        <v>-30431</v>
      </c>
      <c r="F250" s="3" t="s">
        <v>756</v>
      </c>
      <c r="G250" s="3" t="s">
        <v>47</v>
      </c>
      <c r="H250" s="2" t="s">
        <v>21</v>
      </c>
      <c r="I250" s="2" t="s">
        <v>769</v>
      </c>
      <c r="J250" s="3" t="str">
        <f>HYPERLINK("https://www.boe.es/gazeta/dias/1816/09/05/pdfs/GMD-1816-110.pdf#page=5","Abrir facsímil")</f>
        <v>Abrir facsímil</v>
      </c>
      <c r="K250" s="3" t="s">
        <v>23</v>
      </c>
    </row>
    <row r="251" spans="1:11" ht="42" customHeight="1">
      <c r="A251" s="2" t="s">
        <v>759</v>
      </c>
      <c r="B251" s="2" t="s">
        <v>759</v>
      </c>
      <c r="C251" s="2" t="s">
        <v>34</v>
      </c>
      <c r="D251" s="2" t="s">
        <v>35</v>
      </c>
      <c r="E251" s="5">
        <v>-30384</v>
      </c>
      <c r="F251" s="3" t="s">
        <v>460</v>
      </c>
      <c r="G251" s="3" t="s">
        <v>47</v>
      </c>
      <c r="H251" s="2" t="s">
        <v>21</v>
      </c>
      <c r="I251" s="2" t="s">
        <v>770</v>
      </c>
      <c r="J251" s="3" t="str">
        <f>HYPERLINK("https://www.boe.es/gazeta/dias/1816/10/22/pdfs/GMD-1816-132.pdf#page=5","Abrir facsímil")</f>
        <v>Abrir facsímil</v>
      </c>
      <c r="K251" s="3" t="s">
        <v>23</v>
      </c>
    </row>
    <row r="252" spans="1:11" ht="42" customHeight="1">
      <c r="A252" s="2" t="s">
        <v>771</v>
      </c>
      <c r="B252" s="2" t="s">
        <v>772</v>
      </c>
      <c r="C252" s="2" t="s">
        <v>111</v>
      </c>
      <c r="D252" s="2" t="s">
        <v>112</v>
      </c>
      <c r="E252" s="5">
        <v>-30536</v>
      </c>
      <c r="F252" s="3" t="s">
        <v>580</v>
      </c>
      <c r="G252" s="3" t="s">
        <v>42</v>
      </c>
      <c r="H252" s="2" t="s">
        <v>21</v>
      </c>
      <c r="I252" s="2" t="s">
        <v>773</v>
      </c>
      <c r="J252" s="3" t="str">
        <f>HYPERLINK("https://www.boe.es/gazeta/dias/1816/05/23/pdfs/GMD-1816-65.pdf#page=8","Abrir facsímil")</f>
        <v>Abrir facsímil</v>
      </c>
      <c r="K252" s="3" t="s">
        <v>23</v>
      </c>
    </row>
    <row r="253" spans="1:11" ht="42" customHeight="1">
      <c r="A253" s="2" t="s">
        <v>774</v>
      </c>
      <c r="B253" s="2" t="s">
        <v>775</v>
      </c>
      <c r="C253" s="2" t="s">
        <v>26</v>
      </c>
      <c r="D253" s="2" t="s">
        <v>18</v>
      </c>
      <c r="E253" s="5">
        <v>-30401</v>
      </c>
      <c r="F253" s="3" t="s">
        <v>652</v>
      </c>
      <c r="G253" s="3" t="s">
        <v>103</v>
      </c>
      <c r="H253" s="2" t="s">
        <v>21</v>
      </c>
      <c r="I253" s="2" t="s">
        <v>776</v>
      </c>
      <c r="J253" s="3" t="str">
        <f>HYPERLINK("https://www.boe.es/gazeta/dias/1816/10/05/pdfs/GMD-1816-123.pdf#page=4","Abrir facsímil")</f>
        <v>Abrir facsímil</v>
      </c>
      <c r="K253" s="3" t="s">
        <v>23</v>
      </c>
    </row>
    <row r="254" spans="1:11" ht="42" customHeight="1">
      <c r="A254" s="2" t="s">
        <v>777</v>
      </c>
      <c r="B254" s="2" t="s">
        <v>778</v>
      </c>
      <c r="C254" s="2" t="s">
        <v>67</v>
      </c>
      <c r="D254" s="2" t="s">
        <v>18</v>
      </c>
      <c r="E254" s="5">
        <v>-30426</v>
      </c>
      <c r="F254" s="3" t="s">
        <v>779</v>
      </c>
      <c r="G254" s="3" t="s">
        <v>103</v>
      </c>
      <c r="H254" s="2" t="s">
        <v>21</v>
      </c>
      <c r="I254" s="2" t="s">
        <v>780</v>
      </c>
      <c r="J254" s="3" t="str">
        <f>HYPERLINK("https://www.boe.es/gazeta/dias/1816/09/10/pdfs/GMD-1816-112.pdf#page=4","Abrir facsímil")</f>
        <v>Abrir facsímil</v>
      </c>
      <c r="K254" s="3" t="s">
        <v>23</v>
      </c>
    </row>
    <row r="255" spans="1:11" ht="42" customHeight="1">
      <c r="A255" s="2" t="s">
        <v>781</v>
      </c>
      <c r="B255" s="2" t="s">
        <v>782</v>
      </c>
      <c r="C255" s="2" t="s">
        <v>111</v>
      </c>
      <c r="D255" s="2" t="s">
        <v>112</v>
      </c>
      <c r="E255" s="5">
        <v>-30534</v>
      </c>
      <c r="F255" s="3" t="s">
        <v>274</v>
      </c>
      <c r="G255" s="3" t="s">
        <v>42</v>
      </c>
      <c r="H255" s="2" t="s">
        <v>21</v>
      </c>
      <c r="I255" s="2" t="s">
        <v>783</v>
      </c>
      <c r="J255" s="3" t="str">
        <f>HYPERLINK("https://www.boe.es/gazeta/dias/1816/05/25/pdfs/GMD-1816-66.pdf#page=8","Abrir facsímil")</f>
        <v>Abrir facsímil</v>
      </c>
      <c r="K255" s="3" t="s">
        <v>23</v>
      </c>
    </row>
    <row r="256" spans="1:11" ht="42" customHeight="1">
      <c r="A256" s="2" t="s">
        <v>784</v>
      </c>
      <c r="B256" s="2" t="s">
        <v>785</v>
      </c>
      <c r="C256" s="2" t="s">
        <v>111</v>
      </c>
      <c r="D256" s="2" t="s">
        <v>112</v>
      </c>
      <c r="E256" s="5">
        <v>-30431</v>
      </c>
      <c r="F256" s="3" t="s">
        <v>756</v>
      </c>
      <c r="G256" s="3" t="s">
        <v>103</v>
      </c>
      <c r="H256" s="2" t="s">
        <v>21</v>
      </c>
      <c r="I256" s="2" t="s">
        <v>786</v>
      </c>
      <c r="J256" s="3" t="str">
        <f>HYPERLINK("https://www.boe.es/gazeta/dias/1816/09/05/pdfs/GMD-1816-110.pdf#page=4","Abrir facsímil")</f>
        <v>Abrir facsímil</v>
      </c>
      <c r="K256" s="3" t="s">
        <v>23</v>
      </c>
    </row>
    <row r="257" spans="1:11" ht="42" customHeight="1">
      <c r="A257" s="2" t="s">
        <v>784</v>
      </c>
      <c r="B257" s="2" t="s">
        <v>785</v>
      </c>
      <c r="C257" s="2" t="s">
        <v>111</v>
      </c>
      <c r="D257" s="2" t="s">
        <v>112</v>
      </c>
      <c r="E257" s="5">
        <v>-30412</v>
      </c>
      <c r="F257" s="3" t="s">
        <v>388</v>
      </c>
      <c r="G257" s="3" t="s">
        <v>42</v>
      </c>
      <c r="H257" s="2" t="s">
        <v>21</v>
      </c>
      <c r="I257" s="2" t="s">
        <v>787</v>
      </c>
      <c r="J257" s="3" t="str">
        <f>HYPERLINK("https://www.boe.es/gazeta/dias/1816/09/24/pdfs/GMD-1816-118.pdf#page=8","Abrir facsímil")</f>
        <v>Abrir facsímil</v>
      </c>
      <c r="K257" s="3" t="s">
        <v>23</v>
      </c>
    </row>
    <row r="258" spans="1:11" ht="42" customHeight="1">
      <c r="A258" s="2" t="s">
        <v>788</v>
      </c>
      <c r="B258" s="2" t="s">
        <v>789</v>
      </c>
      <c r="C258" s="2" t="s">
        <v>34</v>
      </c>
      <c r="D258" s="2" t="s">
        <v>35</v>
      </c>
      <c r="E258" s="5">
        <v>-30627</v>
      </c>
      <c r="F258" s="3" t="s">
        <v>136</v>
      </c>
      <c r="G258" s="3" t="s">
        <v>47</v>
      </c>
      <c r="H258" s="2" t="s">
        <v>21</v>
      </c>
      <c r="I258" s="2" t="s">
        <v>790</v>
      </c>
      <c r="J258" s="3" t="str">
        <f>HYPERLINK("https://www.boe.es/gazeta/dias/1816/02/22/pdfs/GMD-1816-24.pdf#page=5","Abrir facsímil")</f>
        <v>Abrir facsímil</v>
      </c>
      <c r="K258" s="3" t="s">
        <v>23</v>
      </c>
    </row>
    <row r="259" spans="1:11" ht="42" customHeight="1">
      <c r="A259" s="2" t="s">
        <v>788</v>
      </c>
      <c r="B259" s="2" t="s">
        <v>789</v>
      </c>
      <c r="C259" s="2" t="s">
        <v>111</v>
      </c>
      <c r="D259" s="2" t="s">
        <v>112</v>
      </c>
      <c r="E259" s="5">
        <v>-30513</v>
      </c>
      <c r="F259" s="3" t="s">
        <v>582</v>
      </c>
      <c r="G259" s="3" t="s">
        <v>42</v>
      </c>
      <c r="H259" s="2" t="s">
        <v>21</v>
      </c>
      <c r="I259" s="2" t="s">
        <v>791</v>
      </c>
      <c r="J259" s="3" t="str">
        <f>HYPERLINK("https://www.boe.es/gazeta/dias/1816/06/15/pdfs/GMD-1816-75.pdf#page=8","Abrir facsímil")</f>
        <v>Abrir facsímil</v>
      </c>
      <c r="K259" s="3" t="s">
        <v>23</v>
      </c>
    </row>
    <row r="260" spans="1:11" ht="42" customHeight="1">
      <c r="A260" s="2" t="s">
        <v>788</v>
      </c>
      <c r="B260" s="2" t="s">
        <v>789</v>
      </c>
      <c r="C260" s="2" t="s">
        <v>111</v>
      </c>
      <c r="D260" s="2" t="s">
        <v>112</v>
      </c>
      <c r="E260" s="5">
        <v>-30387</v>
      </c>
      <c r="F260" s="3" t="s">
        <v>224</v>
      </c>
      <c r="G260" s="3" t="s">
        <v>42</v>
      </c>
      <c r="H260" s="2" t="s">
        <v>21</v>
      </c>
      <c r="I260" s="2" t="s">
        <v>792</v>
      </c>
      <c r="J260" s="3" t="str">
        <f>HYPERLINK("https://www.boe.es/gazeta/dias/1816/10/19/pdfs/GMD-1816-131.pdf#page=8","Abrir facsímil")</f>
        <v>Abrir facsímil</v>
      </c>
      <c r="K260" s="3" t="s">
        <v>23</v>
      </c>
    </row>
    <row r="261" spans="1:11" ht="42" customHeight="1">
      <c r="A261" s="2" t="s">
        <v>793</v>
      </c>
      <c r="B261" s="2" t="s">
        <v>794</v>
      </c>
      <c r="C261" s="2" t="s">
        <v>34</v>
      </c>
      <c r="D261" s="2" t="s">
        <v>35</v>
      </c>
      <c r="E261" s="5">
        <v>-30534</v>
      </c>
      <c r="F261" s="3" t="s">
        <v>274</v>
      </c>
      <c r="G261" s="3" t="s">
        <v>47</v>
      </c>
      <c r="H261" s="2" t="s">
        <v>21</v>
      </c>
      <c r="I261" s="2" t="s">
        <v>795</v>
      </c>
      <c r="J261" s="3" t="str">
        <f>HYPERLINK("https://www.boe.es/gazeta/dias/1816/05/25/pdfs/GMD-1816-66.pdf#page=5","Abrir facsímil")</f>
        <v>Abrir facsímil</v>
      </c>
      <c r="K261" s="3" t="s">
        <v>23</v>
      </c>
    </row>
    <row r="262" spans="1:11" ht="42" customHeight="1">
      <c r="A262" s="2" t="s">
        <v>796</v>
      </c>
      <c r="B262" s="2" t="s">
        <v>796</v>
      </c>
      <c r="C262" s="2" t="s">
        <v>17</v>
      </c>
      <c r="D262" s="2" t="s">
        <v>18</v>
      </c>
      <c r="E262" s="5">
        <v>-30387</v>
      </c>
      <c r="F262" s="3" t="s">
        <v>224</v>
      </c>
      <c r="G262" s="3" t="s">
        <v>103</v>
      </c>
      <c r="H262" s="2" t="s">
        <v>21</v>
      </c>
      <c r="I262" s="2" t="s">
        <v>797</v>
      </c>
      <c r="J262" s="3" t="str">
        <f>HYPERLINK("https://www.boe.es/gazeta/dias/1816/10/19/pdfs/GMD-1816-131.pdf#page=4","Abrir facsímil")</f>
        <v>Abrir facsímil</v>
      </c>
      <c r="K262" s="3" t="s">
        <v>23</v>
      </c>
    </row>
    <row r="263" spans="1:11" ht="42" customHeight="1">
      <c r="A263" s="2" t="s">
        <v>798</v>
      </c>
      <c r="B263" s="2" t="s">
        <v>799</v>
      </c>
      <c r="C263" s="2" t="s">
        <v>41</v>
      </c>
      <c r="D263" s="2" t="s">
        <v>18</v>
      </c>
      <c r="E263" s="5">
        <v>-30580</v>
      </c>
      <c r="F263" s="3" t="s">
        <v>107</v>
      </c>
      <c r="G263" s="3" t="s">
        <v>72</v>
      </c>
      <c r="H263" s="2" t="s">
        <v>21</v>
      </c>
      <c r="I263" s="2" t="s">
        <v>800</v>
      </c>
      <c r="J263" s="3" t="str">
        <f>HYPERLINK("https://www.boe.es/gazeta/dias/1816/04/09/pdfs/GMD-1816-46.pdf#page=7","Abrir facsímil")</f>
        <v>Abrir facsímil</v>
      </c>
      <c r="K263" s="3" t="s">
        <v>23</v>
      </c>
    </row>
    <row r="264" spans="1:11" ht="42" customHeight="1">
      <c r="A264" s="2" t="s">
        <v>801</v>
      </c>
      <c r="B264" s="2" t="s">
        <v>802</v>
      </c>
      <c r="C264" s="2" t="s">
        <v>81</v>
      </c>
      <c r="D264" s="2" t="s">
        <v>18</v>
      </c>
      <c r="E264" s="5">
        <v>-30422</v>
      </c>
      <c r="F264" s="3" t="s">
        <v>803</v>
      </c>
      <c r="G264" s="3" t="s">
        <v>28</v>
      </c>
      <c r="H264" s="2" t="s">
        <v>21</v>
      </c>
      <c r="I264" s="2" t="s">
        <v>804</v>
      </c>
      <c r="J264" s="3" t="str">
        <f>HYPERLINK("https://www.boe.es/gazeta/dias/1816/09/14/pdfs/GMD-1816-114.pdf#page=6","Abrir facsímil")</f>
        <v>Abrir facsímil</v>
      </c>
      <c r="K264" s="3" t="s">
        <v>23</v>
      </c>
    </row>
    <row r="265" spans="1:11" ht="42" customHeight="1">
      <c r="A265" s="2" t="s">
        <v>805</v>
      </c>
      <c r="B265" s="2" t="s">
        <v>806</v>
      </c>
      <c r="C265" s="2" t="s">
        <v>111</v>
      </c>
      <c r="D265" s="2" t="s">
        <v>112</v>
      </c>
      <c r="E265" s="5">
        <v>-30366</v>
      </c>
      <c r="F265" s="3" t="s">
        <v>179</v>
      </c>
      <c r="G265" s="3" t="s">
        <v>28</v>
      </c>
      <c r="H265" s="2" t="s">
        <v>21</v>
      </c>
      <c r="I265" s="2" t="s">
        <v>807</v>
      </c>
      <c r="J265" s="3" t="str">
        <f>HYPERLINK("https://www.boe.es/gazeta/dias/1816/11/09/pdfs/GMD-1816-140.pdf#page=6","Abrir facsímil")</f>
        <v>Abrir facsímil</v>
      </c>
      <c r="K265" s="3" t="s">
        <v>23</v>
      </c>
    </row>
    <row r="266" spans="1:11" ht="42" customHeight="1">
      <c r="A266" s="2" t="s">
        <v>808</v>
      </c>
      <c r="B266" s="2" t="s">
        <v>808</v>
      </c>
      <c r="C266" s="2" t="s">
        <v>67</v>
      </c>
      <c r="D266" s="2" t="s">
        <v>18</v>
      </c>
      <c r="E266" s="5">
        <v>-30660</v>
      </c>
      <c r="F266" s="3" t="s">
        <v>809</v>
      </c>
      <c r="G266" s="3" t="s">
        <v>810</v>
      </c>
      <c r="H266" s="2" t="s">
        <v>21</v>
      </c>
      <c r="I266" s="2" t="s">
        <v>811</v>
      </c>
      <c r="J266" s="3" t="str">
        <f>HYPERLINK("https://www.boe.es/gazeta/dias/1816/01/20/pdfs/GMD-1816-9.pdf#page=8","Abrir facsímil")</f>
        <v>Abrir facsímil</v>
      </c>
      <c r="K266" s="3" t="s">
        <v>23</v>
      </c>
    </row>
    <row r="267" spans="1:11" ht="42" customHeight="1">
      <c r="A267" s="2" t="s">
        <v>808</v>
      </c>
      <c r="B267" s="2" t="s">
        <v>808</v>
      </c>
      <c r="C267" s="2" t="s">
        <v>111</v>
      </c>
      <c r="D267" s="2" t="s">
        <v>112</v>
      </c>
      <c r="E267" s="5">
        <v>-30359</v>
      </c>
      <c r="F267" s="3" t="s">
        <v>812</v>
      </c>
      <c r="G267" s="3" t="s">
        <v>813</v>
      </c>
      <c r="H267" s="2" t="s">
        <v>21</v>
      </c>
      <c r="I267" s="2" t="s">
        <v>814</v>
      </c>
      <c r="J267" s="3" t="str">
        <f>HYPERLINK("https://www.boe.es/gazeta/dias/1816/11/16/pdfs/GMD-1816-143.pdf#page=8","Abrir facsímil")</f>
        <v>Abrir facsímil</v>
      </c>
      <c r="K267" s="3" t="s">
        <v>23</v>
      </c>
    </row>
    <row r="268" spans="1:11" ht="42" customHeight="1">
      <c r="A268" s="2" t="s">
        <v>815</v>
      </c>
      <c r="B268" s="2" t="s">
        <v>816</v>
      </c>
      <c r="C268" s="2" t="s">
        <v>111</v>
      </c>
      <c r="D268" s="2" t="s">
        <v>112</v>
      </c>
      <c r="E268" s="5">
        <v>-30464</v>
      </c>
      <c r="F268" s="3" t="s">
        <v>215</v>
      </c>
      <c r="G268" s="3" t="s">
        <v>270</v>
      </c>
      <c r="H268" s="2" t="s">
        <v>21</v>
      </c>
      <c r="I268" s="2" t="s">
        <v>817</v>
      </c>
      <c r="J268" s="3" t="str">
        <f>HYPERLINK("https://www.boe.es/gazeta/dias/1816/08/03/pdfs/GMD-1816-96.pdf#page=2","Abrir facsímil")</f>
        <v>Abrir facsímil</v>
      </c>
      <c r="K268" s="3" t="s">
        <v>23</v>
      </c>
    </row>
    <row r="269" spans="1:11" ht="42" customHeight="1">
      <c r="A269" s="2" t="s">
        <v>818</v>
      </c>
      <c r="B269" s="2" t="s">
        <v>818</v>
      </c>
      <c r="C269" s="2" t="s">
        <v>34</v>
      </c>
      <c r="D269" s="2" t="s">
        <v>35</v>
      </c>
      <c r="E269" s="5">
        <v>-30380</v>
      </c>
      <c r="F269" s="3" t="s">
        <v>819</v>
      </c>
      <c r="G269" s="3" t="s">
        <v>28</v>
      </c>
      <c r="H269" s="2" t="s">
        <v>21</v>
      </c>
      <c r="I269" s="2" t="s">
        <v>820</v>
      </c>
      <c r="J269" s="3" t="str">
        <f>HYPERLINK("https://www.boe.es/gazeta/dias/1816/10/26/pdfs/GMD-1816-134.pdf#page=6","Abrir facsímil")</f>
        <v>Abrir facsímil</v>
      </c>
      <c r="K269" s="3" t="s">
        <v>23</v>
      </c>
    </row>
    <row r="270" spans="1:11" ht="42" customHeight="1">
      <c r="A270" s="2" t="s">
        <v>821</v>
      </c>
      <c r="B270" s="2" t="s">
        <v>821</v>
      </c>
      <c r="C270" s="2" t="s">
        <v>111</v>
      </c>
      <c r="D270" s="2" t="s">
        <v>112</v>
      </c>
      <c r="E270" s="5">
        <v>-30611</v>
      </c>
      <c r="F270" s="3" t="s">
        <v>211</v>
      </c>
      <c r="G270" s="3" t="s">
        <v>28</v>
      </c>
      <c r="H270" s="2" t="s">
        <v>21</v>
      </c>
      <c r="I270" s="2" t="s">
        <v>822</v>
      </c>
      <c r="J270" s="3" t="str">
        <f>HYPERLINK("https://www.boe.es/gazeta/dias/1816/03/09/pdfs/GMD-1816-32.pdf#page=6","Abrir facsímil")</f>
        <v>Abrir facsímil</v>
      </c>
      <c r="K270" s="3" t="s">
        <v>23</v>
      </c>
    </row>
    <row r="271" spans="1:11" ht="42" customHeight="1">
      <c r="A271" s="2" t="s">
        <v>821</v>
      </c>
      <c r="B271" s="2" t="s">
        <v>821</v>
      </c>
      <c r="C271" s="2" t="s">
        <v>26</v>
      </c>
      <c r="D271" s="2" t="s">
        <v>18</v>
      </c>
      <c r="E271" s="5">
        <v>-30445</v>
      </c>
      <c r="F271" s="3" t="s">
        <v>51</v>
      </c>
      <c r="G271" s="3" t="s">
        <v>175</v>
      </c>
      <c r="H271" s="2" t="s">
        <v>21</v>
      </c>
      <c r="I271" s="2" t="s">
        <v>823</v>
      </c>
      <c r="J271" s="3" t="str">
        <f>HYPERLINK("https://www.boe.es/gazeta/dias/1816/08/22/pdfs/GMD-1816-104.pdf#page=11","Abrir facsímil")</f>
        <v>Abrir facsímil</v>
      </c>
      <c r="K271" s="3" t="s">
        <v>23</v>
      </c>
    </row>
    <row r="272" spans="1:11" ht="42" customHeight="1">
      <c r="A272" s="2" t="s">
        <v>821</v>
      </c>
      <c r="B272" s="2" t="s">
        <v>821</v>
      </c>
      <c r="C272" s="2" t="s">
        <v>34</v>
      </c>
      <c r="D272" s="2" t="s">
        <v>35</v>
      </c>
      <c r="E272" s="5">
        <v>-30356</v>
      </c>
      <c r="F272" s="3" t="s">
        <v>824</v>
      </c>
      <c r="G272" s="3" t="s">
        <v>28</v>
      </c>
      <c r="H272" s="2" t="s">
        <v>21</v>
      </c>
      <c r="I272" s="2" t="s">
        <v>825</v>
      </c>
      <c r="J272" s="3" t="str">
        <f>HYPERLINK("https://www.boe.es/gazeta/dias/1816/11/19/pdfs/GMD-1816-144.pdf#page=6","Abrir facsímil")</f>
        <v>Abrir facsímil</v>
      </c>
      <c r="K272" s="3" t="s">
        <v>23</v>
      </c>
    </row>
    <row r="273" spans="1:11" ht="42" customHeight="1">
      <c r="A273" s="2" t="s">
        <v>826</v>
      </c>
      <c r="B273" s="2" t="s">
        <v>827</v>
      </c>
      <c r="C273" s="2" t="s">
        <v>67</v>
      </c>
      <c r="D273" s="2" t="s">
        <v>56</v>
      </c>
      <c r="E273" s="5">
        <v>-30393</v>
      </c>
      <c r="F273" s="3" t="s">
        <v>202</v>
      </c>
      <c r="G273" s="3" t="s">
        <v>270</v>
      </c>
      <c r="H273" s="2" t="s">
        <v>21</v>
      </c>
      <c r="I273" s="2" t="s">
        <v>828</v>
      </c>
      <c r="J273" s="3" t="str">
        <f>HYPERLINK("https://www.boe.es/gazeta/dias/1816/10/13/pdfs/GMD-1816-128E.pdf#page=2","Abrir facsímil")</f>
        <v>Abrir facsímil</v>
      </c>
      <c r="K273" s="3" t="s">
        <v>23</v>
      </c>
    </row>
    <row r="274" spans="1:11" ht="42" customHeight="1">
      <c r="A274" s="2" t="s">
        <v>829</v>
      </c>
      <c r="B274" s="2" t="s">
        <v>830</v>
      </c>
      <c r="C274" s="2" t="s">
        <v>26</v>
      </c>
      <c r="D274" s="2" t="s">
        <v>56</v>
      </c>
      <c r="E274" s="5">
        <v>-30393</v>
      </c>
      <c r="F274" s="3" t="s">
        <v>202</v>
      </c>
      <c r="G274" s="3" t="s">
        <v>203</v>
      </c>
      <c r="H274" s="2" t="s">
        <v>21</v>
      </c>
      <c r="I274" s="2" t="s">
        <v>831</v>
      </c>
      <c r="J274" s="3" t="str">
        <f>HYPERLINK("https://www.boe.es/gazeta/dias/1816/10/13/pdfs/GMD-1816-128E.pdf#page=7","Abrir facsímil")</f>
        <v>Abrir facsímil</v>
      </c>
      <c r="K274" s="3" t="s">
        <v>23</v>
      </c>
    </row>
    <row r="275" spans="1:11" ht="42" customHeight="1">
      <c r="A275" s="2" t="s">
        <v>832</v>
      </c>
      <c r="B275" s="2" t="s">
        <v>833</v>
      </c>
      <c r="C275" s="2" t="s">
        <v>26</v>
      </c>
      <c r="D275" s="2" t="s">
        <v>56</v>
      </c>
      <c r="E275" s="5">
        <v>-30393</v>
      </c>
      <c r="F275" s="3" t="s">
        <v>202</v>
      </c>
      <c r="G275" s="3" t="s">
        <v>834</v>
      </c>
      <c r="H275" s="2" t="s">
        <v>21</v>
      </c>
      <c r="I275" s="2" t="s">
        <v>835</v>
      </c>
      <c r="J275" s="3" t="str">
        <f>HYPERLINK("https://www.boe.es/gazeta/dias/1816/10/13/pdfs/GMD-1816-128E.pdf#page=6","Abrir facsímil")</f>
        <v>Abrir facsímil</v>
      </c>
      <c r="K275" s="3" t="s">
        <v>23</v>
      </c>
    </row>
    <row r="276" spans="1:11" ht="42" customHeight="1">
      <c r="A276" s="2" t="s">
        <v>836</v>
      </c>
      <c r="B276" s="2" t="s">
        <v>836</v>
      </c>
      <c r="C276" s="2" t="s">
        <v>26</v>
      </c>
      <c r="D276" s="2" t="s">
        <v>18</v>
      </c>
      <c r="E276" s="5">
        <v>-30401</v>
      </c>
      <c r="F276" s="3" t="s">
        <v>652</v>
      </c>
      <c r="G276" s="3" t="s">
        <v>103</v>
      </c>
      <c r="H276" s="2" t="s">
        <v>21</v>
      </c>
      <c r="I276" s="2" t="s">
        <v>837</v>
      </c>
      <c r="J276" s="3" t="str">
        <f>HYPERLINK("https://www.boe.es/gazeta/dias/1816/10/05/pdfs/GMD-1816-123.pdf#page=4","Abrir facsímil")</f>
        <v>Abrir facsímil</v>
      </c>
      <c r="K276" s="3" t="s">
        <v>23</v>
      </c>
    </row>
    <row r="277" spans="1:11" ht="42" customHeight="1">
      <c r="A277" s="2" t="s">
        <v>838</v>
      </c>
      <c r="B277" s="2" t="s">
        <v>839</v>
      </c>
      <c r="C277" s="2" t="s">
        <v>26</v>
      </c>
      <c r="D277" s="2" t="s">
        <v>18</v>
      </c>
      <c r="E277" s="5">
        <v>-30573</v>
      </c>
      <c r="F277" s="3" t="s">
        <v>840</v>
      </c>
      <c r="G277" s="3" t="s">
        <v>270</v>
      </c>
      <c r="H277" s="2" t="s">
        <v>21</v>
      </c>
      <c r="I277" s="2" t="s">
        <v>841</v>
      </c>
      <c r="J277" s="3" t="str">
        <f>HYPERLINK("https://www.boe.es/gazeta/dias/1816/04/16/pdfs/GMD-1816-49.pdf#page=2","Abrir facsímil")</f>
        <v>Abrir facsímil</v>
      </c>
      <c r="K277" s="3" t="s">
        <v>23</v>
      </c>
    </row>
    <row r="278" spans="1:11" ht="42" customHeight="1">
      <c r="A278" s="2" t="s">
        <v>842</v>
      </c>
      <c r="B278" s="2" t="s">
        <v>843</v>
      </c>
      <c r="C278" s="2" t="s">
        <v>111</v>
      </c>
      <c r="D278" s="2" t="s">
        <v>112</v>
      </c>
      <c r="E278" s="5">
        <v>-30426</v>
      </c>
      <c r="F278" s="3" t="s">
        <v>779</v>
      </c>
      <c r="G278" s="3" t="s">
        <v>72</v>
      </c>
      <c r="H278" s="2" t="s">
        <v>21</v>
      </c>
      <c r="I278" s="2" t="s">
        <v>844</v>
      </c>
      <c r="J278" s="3" t="str">
        <f>HYPERLINK("https://www.boe.es/gazeta/dias/1816/09/10/pdfs/GMD-1816-112.pdf#page=7","Abrir facsímil")</f>
        <v>Abrir facsímil</v>
      </c>
      <c r="K278" s="3" t="s">
        <v>23</v>
      </c>
    </row>
    <row r="279" spans="1:11" ht="42" customHeight="1">
      <c r="A279" s="2" t="s">
        <v>845</v>
      </c>
      <c r="B279" s="2" t="s">
        <v>846</v>
      </c>
      <c r="C279" s="2" t="s">
        <v>111</v>
      </c>
      <c r="D279" s="2" t="s">
        <v>112</v>
      </c>
      <c r="E279" s="5">
        <v>-30380</v>
      </c>
      <c r="F279" s="3" t="s">
        <v>819</v>
      </c>
      <c r="G279" s="3" t="s">
        <v>28</v>
      </c>
      <c r="H279" s="2" t="s">
        <v>29</v>
      </c>
      <c r="I279" s="2" t="s">
        <v>847</v>
      </c>
      <c r="J279" s="3" t="str">
        <f>HYPERLINK("https://www.boe.es/gazeta/dias/1816/10/26/pdfs/GMD-1816-134.pdf#page=6","Abrir facsímil")</f>
        <v>Abrir facsímil</v>
      </c>
      <c r="K279" s="3" t="s">
        <v>31</v>
      </c>
    </row>
    <row r="280" spans="1:11" ht="42" customHeight="1">
      <c r="A280" s="2" t="s">
        <v>848</v>
      </c>
      <c r="B280" s="2" t="s">
        <v>849</v>
      </c>
      <c r="C280" s="2" t="s">
        <v>111</v>
      </c>
      <c r="D280" s="2" t="s">
        <v>112</v>
      </c>
      <c r="E280" s="5">
        <v>-30655</v>
      </c>
      <c r="F280" s="3" t="s">
        <v>170</v>
      </c>
      <c r="G280" s="3" t="s">
        <v>850</v>
      </c>
      <c r="H280" s="2" t="s">
        <v>21</v>
      </c>
      <c r="I280" s="2" t="s">
        <v>851</v>
      </c>
      <c r="J280" s="3" t="str">
        <f>HYPERLINK("https://www.boe.es/gazeta/dias/1816/01/25/pdfs/GMD-1816-11.pdf#page=6","Abrir facsímil")</f>
        <v>Abrir facsímil</v>
      </c>
      <c r="K280" s="3" t="s">
        <v>23</v>
      </c>
    </row>
    <row r="281" spans="1:11" ht="42" customHeight="1">
      <c r="A281" s="2" t="s">
        <v>852</v>
      </c>
      <c r="B281" s="2" t="s">
        <v>853</v>
      </c>
      <c r="C281" s="2" t="s">
        <v>67</v>
      </c>
      <c r="D281" s="2" t="s">
        <v>18</v>
      </c>
      <c r="E281" s="5">
        <v>-30382</v>
      </c>
      <c r="F281" s="3" t="s">
        <v>326</v>
      </c>
      <c r="G281" s="3" t="s">
        <v>42</v>
      </c>
      <c r="H281" s="2" t="s">
        <v>29</v>
      </c>
      <c r="I281" s="2" t="s">
        <v>854</v>
      </c>
      <c r="J281" s="3" t="str">
        <f>HYPERLINK("https://www.boe.es/gazeta/dias/1816/10/24/pdfs/GMD-1816-133.pdf#page=8","Abrir facsímil")</f>
        <v>Abrir facsímil</v>
      </c>
      <c r="K281" s="3" t="s">
        <v>31</v>
      </c>
    </row>
    <row r="282" spans="1:11" ht="42" customHeight="1">
      <c r="A282" s="2" t="s">
        <v>855</v>
      </c>
      <c r="B282" s="2" t="s">
        <v>856</v>
      </c>
      <c r="C282" s="2" t="s">
        <v>111</v>
      </c>
      <c r="D282" s="2" t="s">
        <v>112</v>
      </c>
      <c r="E282" s="5">
        <v>-30352</v>
      </c>
      <c r="F282" s="3" t="s">
        <v>407</v>
      </c>
      <c r="G282" s="3" t="s">
        <v>42</v>
      </c>
      <c r="H282" s="2" t="s">
        <v>21</v>
      </c>
      <c r="I282" s="2" t="s">
        <v>857</v>
      </c>
      <c r="J282" s="3" t="str">
        <f>HYPERLINK("https://www.boe.es/gazeta/dias/1816/11/23/pdfs/GMD-1816-146.pdf#page=8","Abrir facsímil")</f>
        <v>Abrir facsímil</v>
      </c>
      <c r="K282" s="3" t="s">
        <v>23</v>
      </c>
    </row>
    <row r="283" spans="1:11" ht="42" customHeight="1">
      <c r="A283" s="2" t="s">
        <v>858</v>
      </c>
      <c r="B283" s="2" t="s">
        <v>858</v>
      </c>
      <c r="C283" s="2" t="s">
        <v>111</v>
      </c>
      <c r="D283" s="2" t="s">
        <v>112</v>
      </c>
      <c r="E283" s="5">
        <v>-30601</v>
      </c>
      <c r="F283" s="3" t="s">
        <v>308</v>
      </c>
      <c r="G283" s="3" t="s">
        <v>42</v>
      </c>
      <c r="H283" s="2" t="s">
        <v>21</v>
      </c>
      <c r="I283" s="2" t="s">
        <v>859</v>
      </c>
      <c r="J283" s="3" t="str">
        <f>HYPERLINK("https://www.boe.es/gazeta/dias/1816/03/19/pdfs/GMD-1816-37.pdf#page=8","Abrir facsímil")</f>
        <v>Abrir facsímil</v>
      </c>
      <c r="K283" s="3" t="s">
        <v>23</v>
      </c>
    </row>
    <row r="284" spans="1:11" ht="42" customHeight="1">
      <c r="A284" s="2" t="s">
        <v>860</v>
      </c>
      <c r="B284" s="2" t="s">
        <v>860</v>
      </c>
      <c r="C284" s="2" t="s">
        <v>111</v>
      </c>
      <c r="D284" s="2" t="s">
        <v>112</v>
      </c>
      <c r="E284" s="5">
        <v>-30487</v>
      </c>
      <c r="F284" s="3" t="s">
        <v>397</v>
      </c>
      <c r="G284" s="3" t="s">
        <v>47</v>
      </c>
      <c r="H284" s="2" t="s">
        <v>21</v>
      </c>
      <c r="I284" s="2" t="s">
        <v>861</v>
      </c>
      <c r="J284" s="3" t="str">
        <f>HYPERLINK("https://www.boe.es/gazeta/dias/1816/07/11/pdfs/GMD-1816-86.pdf#page=5","Abrir facsímil")</f>
        <v>Abrir facsímil</v>
      </c>
      <c r="K284" s="3" t="s">
        <v>23</v>
      </c>
    </row>
    <row r="285" spans="1:11" ht="42" customHeight="1">
      <c r="A285" s="2" t="s">
        <v>862</v>
      </c>
      <c r="B285" s="2" t="s">
        <v>863</v>
      </c>
      <c r="C285" s="2" t="s">
        <v>26</v>
      </c>
      <c r="D285" s="2" t="s">
        <v>18</v>
      </c>
      <c r="E285" s="5">
        <v>-30401</v>
      </c>
      <c r="F285" s="3" t="s">
        <v>652</v>
      </c>
      <c r="G285" s="3" t="s">
        <v>103</v>
      </c>
      <c r="H285" s="2" t="s">
        <v>21</v>
      </c>
      <c r="I285" s="2" t="s">
        <v>864</v>
      </c>
      <c r="J285" s="3" t="str">
        <f>HYPERLINK("https://www.boe.es/gazeta/dias/1816/10/05/pdfs/GMD-1816-123.pdf#page=4","Abrir facsímil")</f>
        <v>Abrir facsímil</v>
      </c>
      <c r="K285" s="3" t="s">
        <v>23</v>
      </c>
    </row>
    <row r="286" spans="1:11" ht="42" customHeight="1">
      <c r="A286" s="2" t="s">
        <v>865</v>
      </c>
      <c r="B286" s="2" t="s">
        <v>866</v>
      </c>
      <c r="C286" s="2" t="s">
        <v>67</v>
      </c>
      <c r="D286" s="2" t="s">
        <v>18</v>
      </c>
      <c r="E286" s="5">
        <v>-30627</v>
      </c>
      <c r="F286" s="3" t="s">
        <v>136</v>
      </c>
      <c r="G286" s="3" t="s">
        <v>42</v>
      </c>
      <c r="H286" s="2" t="s">
        <v>21</v>
      </c>
      <c r="I286" s="2" t="s">
        <v>867</v>
      </c>
      <c r="J286" s="3" t="str">
        <f>HYPERLINK("https://www.boe.es/gazeta/dias/1816/02/22/pdfs/GMD-1816-24.pdf#page=8","Abrir facsímil")</f>
        <v>Abrir facsímil</v>
      </c>
      <c r="K286" s="3" t="s">
        <v>23</v>
      </c>
    </row>
    <row r="287" spans="1:11" ht="42" customHeight="1">
      <c r="A287" s="2" t="s">
        <v>868</v>
      </c>
      <c r="B287" s="2" t="s">
        <v>869</v>
      </c>
      <c r="C287" s="2" t="s">
        <v>111</v>
      </c>
      <c r="D287" s="2" t="s">
        <v>112</v>
      </c>
      <c r="E287" s="5">
        <v>-30587</v>
      </c>
      <c r="F287" s="3" t="s">
        <v>341</v>
      </c>
      <c r="G287" s="3" t="s">
        <v>47</v>
      </c>
      <c r="H287" s="2" t="s">
        <v>21</v>
      </c>
      <c r="I287" s="2" t="s">
        <v>870</v>
      </c>
      <c r="J287" s="3" t="str">
        <f>HYPERLINK("https://www.boe.es/gazeta/dias/1816/04/02/pdfs/GMD-1816-43.pdf#page=5","Abrir facsímil")</f>
        <v>Abrir facsímil</v>
      </c>
      <c r="K287" s="3" t="s">
        <v>23</v>
      </c>
    </row>
    <row r="288" spans="1:11" ht="42" customHeight="1">
      <c r="A288" s="2" t="s">
        <v>871</v>
      </c>
      <c r="B288" s="2" t="s">
        <v>871</v>
      </c>
      <c r="C288" s="2" t="s">
        <v>34</v>
      </c>
      <c r="D288" s="2" t="s">
        <v>35</v>
      </c>
      <c r="E288" s="5">
        <v>-30648</v>
      </c>
      <c r="F288" s="3" t="s">
        <v>872</v>
      </c>
      <c r="G288" s="3" t="s">
        <v>42</v>
      </c>
      <c r="H288" s="2" t="s">
        <v>21</v>
      </c>
      <c r="I288" s="2" t="s">
        <v>873</v>
      </c>
      <c r="J288" s="3" t="str">
        <f>HYPERLINK("https://www.boe.es/gazeta/dias/1816/02/01/pdfs/GMD-1816-15.pdf#page=8","Abrir facsímil")</f>
        <v>Abrir facsímil</v>
      </c>
      <c r="K288" s="3" t="s">
        <v>23</v>
      </c>
    </row>
    <row r="289" spans="1:11" ht="42" customHeight="1">
      <c r="A289" s="2" t="s">
        <v>871</v>
      </c>
      <c r="B289" s="2" t="s">
        <v>871</v>
      </c>
      <c r="C289" s="2" t="s">
        <v>34</v>
      </c>
      <c r="D289" s="2" t="s">
        <v>35</v>
      </c>
      <c r="E289" s="5">
        <v>-30580</v>
      </c>
      <c r="F289" s="3" t="s">
        <v>107</v>
      </c>
      <c r="G289" s="3" t="s">
        <v>28</v>
      </c>
      <c r="H289" s="2" t="s">
        <v>21</v>
      </c>
      <c r="I289" s="2" t="s">
        <v>874</v>
      </c>
      <c r="J289" s="3" t="str">
        <f>HYPERLINK("https://www.boe.es/gazeta/dias/1816/04/09/pdfs/GMD-1816-46.pdf#page=6","Abrir facsímil")</f>
        <v>Abrir facsímil</v>
      </c>
      <c r="K289" s="3" t="s">
        <v>23</v>
      </c>
    </row>
    <row r="290" spans="1:11" ht="42" customHeight="1">
      <c r="A290" s="2" t="s">
        <v>871</v>
      </c>
      <c r="B290" s="2" t="s">
        <v>871</v>
      </c>
      <c r="C290" s="2" t="s">
        <v>34</v>
      </c>
      <c r="D290" s="2" t="s">
        <v>35</v>
      </c>
      <c r="E290" s="5">
        <v>-30424</v>
      </c>
      <c r="F290" s="3" t="s">
        <v>142</v>
      </c>
      <c r="G290" s="3" t="s">
        <v>52</v>
      </c>
      <c r="H290" s="2" t="s">
        <v>21</v>
      </c>
      <c r="I290" s="2" t="s">
        <v>875</v>
      </c>
      <c r="J290" s="3" t="str">
        <f>HYPERLINK("https://www.boe.es/gazeta/dias/1816/09/12/pdfs/GMD-1816-113.pdf#page=12","Abrir facsímil")</f>
        <v>Abrir facsímil</v>
      </c>
      <c r="K290" s="3" t="s">
        <v>23</v>
      </c>
    </row>
    <row r="291" spans="1:11" ht="42" customHeight="1">
      <c r="A291" s="2" t="s">
        <v>871</v>
      </c>
      <c r="B291" s="2" t="s">
        <v>871</v>
      </c>
      <c r="C291" s="2" t="s">
        <v>34</v>
      </c>
      <c r="D291" s="2" t="s">
        <v>35</v>
      </c>
      <c r="E291" s="5">
        <v>-30391</v>
      </c>
      <c r="F291" s="3" t="s">
        <v>482</v>
      </c>
      <c r="G291" s="3" t="s">
        <v>28</v>
      </c>
      <c r="H291" s="2" t="s">
        <v>21</v>
      </c>
      <c r="I291" s="2" t="s">
        <v>876</v>
      </c>
      <c r="J291" s="3" t="str">
        <f>HYPERLINK("https://www.boe.es/gazeta/dias/1816/10/15/pdfs/GMD-1816-129.pdf#page=6","Abrir facsímil")</f>
        <v>Abrir facsímil</v>
      </c>
      <c r="K291" s="3" t="s">
        <v>23</v>
      </c>
    </row>
    <row r="292" spans="1:11" ht="42" customHeight="1">
      <c r="A292" s="2" t="s">
        <v>871</v>
      </c>
      <c r="B292" s="2" t="s">
        <v>871</v>
      </c>
      <c r="C292" s="2" t="s">
        <v>26</v>
      </c>
      <c r="D292" s="2" t="s">
        <v>18</v>
      </c>
      <c r="E292" s="5">
        <v>-30387</v>
      </c>
      <c r="F292" s="3" t="s">
        <v>224</v>
      </c>
      <c r="G292" s="3" t="s">
        <v>72</v>
      </c>
      <c r="H292" s="2" t="s">
        <v>21</v>
      </c>
      <c r="I292" s="2" t="s">
        <v>877</v>
      </c>
      <c r="J292" s="3" t="str">
        <f>HYPERLINK("https://www.boe.es/gazeta/dias/1816/10/19/pdfs/GMD-1816-131.pdf#page=7","Abrir facsímil")</f>
        <v>Abrir facsímil</v>
      </c>
      <c r="K292" s="3" t="s">
        <v>23</v>
      </c>
    </row>
    <row r="293" spans="1:11" ht="42" customHeight="1">
      <c r="A293" s="2" t="s">
        <v>878</v>
      </c>
      <c r="B293" s="2" t="s">
        <v>879</v>
      </c>
      <c r="C293" s="2" t="s">
        <v>34</v>
      </c>
      <c r="D293" s="2" t="s">
        <v>35</v>
      </c>
      <c r="E293" s="5">
        <v>-30592</v>
      </c>
      <c r="F293" s="3" t="s">
        <v>236</v>
      </c>
      <c r="G293" s="3" t="s">
        <v>606</v>
      </c>
      <c r="H293" s="2" t="s">
        <v>21</v>
      </c>
      <c r="I293" s="2" t="s">
        <v>880</v>
      </c>
      <c r="J293" s="3" t="str">
        <f>HYPERLINK("https://www.boe.es/gazeta/dias/1816/03/28/pdfs/GMD-1816-41.pdf#page=12","Abrir facsímil")</f>
        <v>Abrir facsímil</v>
      </c>
      <c r="K293" s="3" t="s">
        <v>23</v>
      </c>
    </row>
    <row r="294" spans="1:11" ht="42" customHeight="1">
      <c r="A294" s="2" t="s">
        <v>881</v>
      </c>
      <c r="B294" s="2" t="s">
        <v>882</v>
      </c>
      <c r="C294" s="2" t="s">
        <v>111</v>
      </c>
      <c r="D294" s="2" t="s">
        <v>112</v>
      </c>
      <c r="E294" s="5">
        <v>-30424</v>
      </c>
      <c r="F294" s="3" t="s">
        <v>142</v>
      </c>
      <c r="G294" s="3" t="s">
        <v>184</v>
      </c>
      <c r="H294" s="2" t="s">
        <v>21</v>
      </c>
      <c r="I294" s="2" t="s">
        <v>883</v>
      </c>
      <c r="J294" s="3" t="str">
        <f>HYPERLINK("https://www.boe.es/gazeta/dias/1816/09/12/pdfs/GMD-1816-113.pdf#page=3","Abrir facsímil")</f>
        <v>Abrir facsímil</v>
      </c>
      <c r="K294" s="3" t="s">
        <v>23</v>
      </c>
    </row>
    <row r="295" spans="1:11" ht="42" customHeight="1">
      <c r="A295" s="2" t="s">
        <v>881</v>
      </c>
      <c r="B295" s="2" t="s">
        <v>882</v>
      </c>
      <c r="C295" s="2" t="s">
        <v>111</v>
      </c>
      <c r="D295" s="2" t="s">
        <v>112</v>
      </c>
      <c r="E295" s="5">
        <v>-30412</v>
      </c>
      <c r="F295" s="3" t="s">
        <v>388</v>
      </c>
      <c r="G295" s="3" t="s">
        <v>42</v>
      </c>
      <c r="H295" s="2" t="s">
        <v>21</v>
      </c>
      <c r="I295" s="2" t="s">
        <v>884</v>
      </c>
      <c r="J295" s="3" t="str">
        <f>HYPERLINK("https://www.boe.es/gazeta/dias/1816/09/24/pdfs/GMD-1816-118.pdf#page=8","Abrir facsímil")</f>
        <v>Abrir facsímil</v>
      </c>
      <c r="K295" s="3" t="s">
        <v>23</v>
      </c>
    </row>
    <row r="296" spans="1:11" ht="42" customHeight="1">
      <c r="A296" s="2" t="s">
        <v>885</v>
      </c>
      <c r="B296" s="2" t="s">
        <v>886</v>
      </c>
      <c r="C296" s="2" t="s">
        <v>111</v>
      </c>
      <c r="D296" s="2" t="s">
        <v>112</v>
      </c>
      <c r="E296" s="5">
        <v>-30578</v>
      </c>
      <c r="F296" s="3" t="s">
        <v>91</v>
      </c>
      <c r="G296" s="3" t="s">
        <v>52</v>
      </c>
      <c r="H296" s="2" t="s">
        <v>21</v>
      </c>
      <c r="I296" s="2" t="s">
        <v>887</v>
      </c>
      <c r="J296" s="3" t="str">
        <f>HYPERLINK("https://www.boe.es/gazeta/dias/1816/04/11/pdfs/GMD-1816-47.pdf#page=12","Abrir facsímil")</f>
        <v>Abrir facsímil</v>
      </c>
      <c r="K296" s="3" t="s">
        <v>23</v>
      </c>
    </row>
    <row r="297" spans="1:11" ht="42" customHeight="1">
      <c r="A297" s="2" t="s">
        <v>888</v>
      </c>
      <c r="B297" s="2" t="s">
        <v>889</v>
      </c>
      <c r="C297" s="2" t="s">
        <v>34</v>
      </c>
      <c r="D297" s="2" t="s">
        <v>35</v>
      </c>
      <c r="E297" s="5">
        <v>-30436</v>
      </c>
      <c r="F297" s="3" t="s">
        <v>102</v>
      </c>
      <c r="G297" s="3" t="s">
        <v>103</v>
      </c>
      <c r="H297" s="2" t="s">
        <v>21</v>
      </c>
      <c r="I297" s="2" t="s">
        <v>890</v>
      </c>
      <c r="J297" s="3" t="str">
        <f>HYPERLINK("https://www.boe.es/gazeta/dias/1816/08/31/pdfs/GMD-1816-108.pdf#page=4","Abrir facsímil")</f>
        <v>Abrir facsímil</v>
      </c>
      <c r="K297" s="3" t="s">
        <v>23</v>
      </c>
    </row>
    <row r="298" spans="1:11" ht="42" customHeight="1">
      <c r="A298" s="2" t="s">
        <v>891</v>
      </c>
      <c r="B298" s="2" t="s">
        <v>892</v>
      </c>
      <c r="C298" s="2" t="s">
        <v>34</v>
      </c>
      <c r="D298" s="2" t="s">
        <v>56</v>
      </c>
      <c r="E298" s="5">
        <v>-30393</v>
      </c>
      <c r="F298" s="3" t="s">
        <v>202</v>
      </c>
      <c r="G298" s="3" t="s">
        <v>270</v>
      </c>
      <c r="H298" s="2" t="s">
        <v>21</v>
      </c>
      <c r="I298" s="2" t="s">
        <v>893</v>
      </c>
      <c r="J298" s="3" t="str">
        <f>HYPERLINK("https://www.boe.es/gazeta/dias/1816/10/13/pdfs/GMD-1816-128E.pdf#page=2","Abrir facsímil")</f>
        <v>Abrir facsímil</v>
      </c>
      <c r="K298" s="3" t="s">
        <v>23</v>
      </c>
    </row>
    <row r="299" spans="1:11" ht="42" customHeight="1">
      <c r="A299" s="2" t="s">
        <v>894</v>
      </c>
      <c r="B299" s="2" t="s">
        <v>895</v>
      </c>
      <c r="C299" s="2" t="s">
        <v>34</v>
      </c>
      <c r="D299" s="2" t="s">
        <v>35</v>
      </c>
      <c r="E299" s="5">
        <v>-30424</v>
      </c>
      <c r="F299" s="3" t="s">
        <v>142</v>
      </c>
      <c r="G299" s="3" t="s">
        <v>52</v>
      </c>
      <c r="H299" s="2" t="s">
        <v>21</v>
      </c>
      <c r="I299" s="2" t="s">
        <v>896</v>
      </c>
      <c r="J299" s="3" t="str">
        <f>HYPERLINK("https://www.boe.es/gazeta/dias/1816/09/12/pdfs/GMD-1816-113.pdf#page=12","Abrir facsímil")</f>
        <v>Abrir facsímil</v>
      </c>
      <c r="K299" s="3" t="s">
        <v>23</v>
      </c>
    </row>
    <row r="300" spans="1:11" ht="42" customHeight="1">
      <c r="A300" s="2" t="s">
        <v>897</v>
      </c>
      <c r="B300" s="2" t="s">
        <v>898</v>
      </c>
      <c r="C300" s="2" t="s">
        <v>111</v>
      </c>
      <c r="D300" s="2" t="s">
        <v>112</v>
      </c>
      <c r="E300" s="5">
        <v>-30657</v>
      </c>
      <c r="F300" s="3" t="s">
        <v>899</v>
      </c>
      <c r="G300" s="3" t="s">
        <v>42</v>
      </c>
      <c r="H300" s="2" t="s">
        <v>21</v>
      </c>
      <c r="I300" s="2" t="s">
        <v>900</v>
      </c>
      <c r="J300" s="3" t="str">
        <f>HYPERLINK("https://www.boe.es/gazeta/dias/1816/01/23/pdfs/GMD-1816-10.pdf#page=8","Abrir facsímil")</f>
        <v>Abrir facsímil</v>
      </c>
      <c r="K300" s="3" t="s">
        <v>23</v>
      </c>
    </row>
    <row r="301" spans="1:11" ht="42" customHeight="1">
      <c r="A301" s="2" t="s">
        <v>901</v>
      </c>
      <c r="B301" s="2" t="s">
        <v>901</v>
      </c>
      <c r="C301" s="2" t="s">
        <v>111</v>
      </c>
      <c r="D301" s="2" t="s">
        <v>112</v>
      </c>
      <c r="E301" s="5">
        <v>-30657</v>
      </c>
      <c r="F301" s="3" t="s">
        <v>899</v>
      </c>
      <c r="G301" s="3" t="s">
        <v>42</v>
      </c>
      <c r="H301" s="2" t="s">
        <v>21</v>
      </c>
      <c r="I301" s="2" t="s">
        <v>902</v>
      </c>
      <c r="J301" s="3" t="str">
        <f>HYPERLINK("https://www.boe.es/gazeta/dias/1816/01/23/pdfs/GMD-1816-10.pdf#page=8","Abrir facsímil")</f>
        <v>Abrir facsímil</v>
      </c>
      <c r="K301" s="3" t="s">
        <v>23</v>
      </c>
    </row>
    <row r="302" spans="1:11" ht="42" customHeight="1">
      <c r="A302" s="2" t="s">
        <v>901</v>
      </c>
      <c r="B302" s="2" t="s">
        <v>901</v>
      </c>
      <c r="C302" s="2" t="s">
        <v>111</v>
      </c>
      <c r="D302" s="2" t="s">
        <v>112</v>
      </c>
      <c r="E302" s="5">
        <v>-30641</v>
      </c>
      <c r="F302" s="3" t="s">
        <v>192</v>
      </c>
      <c r="G302" s="3" t="s">
        <v>47</v>
      </c>
      <c r="H302" s="2" t="s">
        <v>21</v>
      </c>
      <c r="I302" s="2" t="s">
        <v>903</v>
      </c>
      <c r="J302" s="3" t="str">
        <f>HYPERLINK("https://www.boe.es/gazeta/dias/1816/02/08/pdfs/GMD-1816-18.pdf#page=5","Abrir facsímil")</f>
        <v>Abrir facsímil</v>
      </c>
      <c r="K302" s="3" t="s">
        <v>23</v>
      </c>
    </row>
    <row r="303" spans="1:11" ht="42" customHeight="1">
      <c r="A303" s="2" t="s">
        <v>901</v>
      </c>
      <c r="B303" s="2" t="s">
        <v>901</v>
      </c>
      <c r="C303" s="2" t="s">
        <v>34</v>
      </c>
      <c r="D303" s="2" t="s">
        <v>35</v>
      </c>
      <c r="E303" s="5">
        <v>-30629</v>
      </c>
      <c r="F303" s="3" t="s">
        <v>904</v>
      </c>
      <c r="G303" s="3" t="s">
        <v>47</v>
      </c>
      <c r="H303" s="2" t="s">
        <v>21</v>
      </c>
      <c r="I303" s="2" t="s">
        <v>905</v>
      </c>
      <c r="J303" s="3" t="str">
        <f>HYPERLINK("https://www.boe.es/gazeta/dias/1816/02/20/pdfs/GMD-1816-23.pdf#page=5","Abrir facsímil")</f>
        <v>Abrir facsímil</v>
      </c>
      <c r="K303" s="3" t="s">
        <v>23</v>
      </c>
    </row>
    <row r="304" spans="1:11" ht="42" customHeight="1">
      <c r="A304" s="2" t="s">
        <v>901</v>
      </c>
      <c r="B304" s="2" t="s">
        <v>901</v>
      </c>
      <c r="C304" s="2" t="s">
        <v>111</v>
      </c>
      <c r="D304" s="2" t="s">
        <v>112</v>
      </c>
      <c r="E304" s="5">
        <v>-30622</v>
      </c>
      <c r="F304" s="3" t="s">
        <v>27</v>
      </c>
      <c r="G304" s="3" t="s">
        <v>47</v>
      </c>
      <c r="H304" s="2" t="s">
        <v>21</v>
      </c>
      <c r="I304" s="2" t="s">
        <v>906</v>
      </c>
      <c r="J304" s="3" t="str">
        <f>HYPERLINK("https://www.boe.es/gazeta/dias/1816/02/27/pdfs/GMD-1816-26.pdf#page=5","Abrir facsímil")</f>
        <v>Abrir facsímil</v>
      </c>
      <c r="K304" s="3" t="s">
        <v>23</v>
      </c>
    </row>
    <row r="305" spans="1:11" ht="42" customHeight="1">
      <c r="A305" s="2" t="s">
        <v>901</v>
      </c>
      <c r="B305" s="2" t="s">
        <v>901</v>
      </c>
      <c r="C305" s="2" t="s">
        <v>111</v>
      </c>
      <c r="D305" s="2" t="s">
        <v>56</v>
      </c>
      <c r="E305" s="5">
        <v>-30622</v>
      </c>
      <c r="F305" s="3" t="s">
        <v>907</v>
      </c>
      <c r="G305" s="3" t="s">
        <v>103</v>
      </c>
      <c r="H305" s="2" t="s">
        <v>21</v>
      </c>
      <c r="I305" s="2" t="s">
        <v>908</v>
      </c>
      <c r="J305" s="3" t="str">
        <f>HYPERLINK("https://www.boe.es/gazeta/dias/1816/02/27/pdfs/GMD-1816-27E.pdf#page=4","Abrir facsímil")</f>
        <v>Abrir facsímil</v>
      </c>
      <c r="K305" s="3" t="s">
        <v>23</v>
      </c>
    </row>
    <row r="306" spans="1:11" ht="42" customHeight="1">
      <c r="A306" s="2" t="s">
        <v>901</v>
      </c>
      <c r="B306" s="2" t="s">
        <v>901</v>
      </c>
      <c r="C306" s="2" t="s">
        <v>26</v>
      </c>
      <c r="D306" s="2" t="s">
        <v>18</v>
      </c>
      <c r="E306" s="5">
        <v>-30478</v>
      </c>
      <c r="F306" s="3" t="s">
        <v>123</v>
      </c>
      <c r="G306" s="3" t="s">
        <v>28</v>
      </c>
      <c r="H306" s="2" t="s">
        <v>21</v>
      </c>
      <c r="I306" s="2" t="s">
        <v>909</v>
      </c>
      <c r="J306" s="3" t="str">
        <f>HYPERLINK("https://www.boe.es/gazeta/dias/1816/07/20/pdfs/GMD-1816-90.pdf#page=6","Abrir facsímil")</f>
        <v>Abrir facsímil</v>
      </c>
      <c r="K306" s="3" t="s">
        <v>23</v>
      </c>
    </row>
    <row r="307" spans="1:11" ht="42" customHeight="1">
      <c r="A307" s="2" t="s">
        <v>901</v>
      </c>
      <c r="B307" s="2" t="s">
        <v>901</v>
      </c>
      <c r="C307" s="2" t="s">
        <v>81</v>
      </c>
      <c r="D307" s="2" t="s">
        <v>18</v>
      </c>
      <c r="E307" s="5">
        <v>-30475</v>
      </c>
      <c r="F307" s="3" t="s">
        <v>319</v>
      </c>
      <c r="G307" s="3" t="s">
        <v>103</v>
      </c>
      <c r="H307" s="2" t="s">
        <v>21</v>
      </c>
      <c r="I307" s="2" t="s">
        <v>910</v>
      </c>
      <c r="J307" s="3" t="str">
        <f>HYPERLINK("https://www.boe.es/gazeta/dias/1816/07/23/pdfs/GMD-1816-91.pdf#page=4","Abrir facsímil")</f>
        <v>Abrir facsímil</v>
      </c>
      <c r="K307" s="3" t="s">
        <v>23</v>
      </c>
    </row>
    <row r="308" spans="1:11" ht="42" customHeight="1">
      <c r="A308" s="2" t="s">
        <v>901</v>
      </c>
      <c r="B308" s="2" t="s">
        <v>901</v>
      </c>
      <c r="C308" s="2" t="s">
        <v>26</v>
      </c>
      <c r="D308" s="2" t="s">
        <v>18</v>
      </c>
      <c r="E308" s="5">
        <v>-30468</v>
      </c>
      <c r="F308" s="3" t="s">
        <v>383</v>
      </c>
      <c r="G308" s="3" t="s">
        <v>47</v>
      </c>
      <c r="H308" s="2" t="s">
        <v>21</v>
      </c>
      <c r="I308" s="2" t="s">
        <v>911</v>
      </c>
      <c r="J308" s="3" t="str">
        <f>HYPERLINK("https://www.boe.es/gazeta/dias/1816/07/30/pdfs/GMD-1816-94.pdf#page=5","Abrir facsímil")</f>
        <v>Abrir facsímil</v>
      </c>
      <c r="K308" s="3" t="s">
        <v>23</v>
      </c>
    </row>
    <row r="309" spans="1:11" ht="42" customHeight="1">
      <c r="A309" s="2" t="s">
        <v>901</v>
      </c>
      <c r="B309" s="2" t="s">
        <v>901</v>
      </c>
      <c r="C309" s="2" t="s">
        <v>17</v>
      </c>
      <c r="D309" s="2" t="s">
        <v>18</v>
      </c>
      <c r="E309" s="5">
        <v>-30461</v>
      </c>
      <c r="F309" s="3" t="s">
        <v>912</v>
      </c>
      <c r="G309" s="3" t="s">
        <v>184</v>
      </c>
      <c r="H309" s="2" t="s">
        <v>21</v>
      </c>
      <c r="I309" s="2" t="s">
        <v>913</v>
      </c>
      <c r="J309" s="3" t="str">
        <f>HYPERLINK("https://www.boe.es/gazeta/dias/1816/08/06/pdfs/GMD-1816-97.pdf#page=3","Abrir facsímil")</f>
        <v>Abrir facsímil</v>
      </c>
      <c r="K309" s="3" t="s">
        <v>23</v>
      </c>
    </row>
    <row r="310" spans="1:11" ht="42" customHeight="1">
      <c r="A310" s="2" t="s">
        <v>901</v>
      </c>
      <c r="B310" s="2" t="s">
        <v>901</v>
      </c>
      <c r="C310" s="2" t="s">
        <v>26</v>
      </c>
      <c r="D310" s="2" t="s">
        <v>18</v>
      </c>
      <c r="E310" s="5">
        <v>-30457</v>
      </c>
      <c r="F310" s="3" t="s">
        <v>539</v>
      </c>
      <c r="G310" s="3" t="s">
        <v>28</v>
      </c>
      <c r="H310" s="2" t="s">
        <v>21</v>
      </c>
      <c r="I310" s="2" t="s">
        <v>914</v>
      </c>
      <c r="J310" s="3" t="str">
        <f>HYPERLINK("https://www.boe.es/gazeta/dias/1816/08/10/pdfs/GMD-1816-99.pdf#page=6","Abrir facsímil")</f>
        <v>Abrir facsímil</v>
      </c>
      <c r="K310" s="3" t="s">
        <v>23</v>
      </c>
    </row>
    <row r="311" spans="1:11" ht="42" customHeight="1">
      <c r="A311" s="2" t="s">
        <v>901</v>
      </c>
      <c r="B311" s="2" t="s">
        <v>901</v>
      </c>
      <c r="C311" s="2" t="s">
        <v>111</v>
      </c>
      <c r="D311" s="2" t="s">
        <v>112</v>
      </c>
      <c r="E311" s="5">
        <v>-30445</v>
      </c>
      <c r="F311" s="3" t="s">
        <v>51</v>
      </c>
      <c r="G311" s="3" t="s">
        <v>28</v>
      </c>
      <c r="H311" s="2" t="s">
        <v>21</v>
      </c>
      <c r="I311" s="2" t="s">
        <v>915</v>
      </c>
      <c r="J311" s="3" t="str">
        <f>HYPERLINK("https://www.boe.es/gazeta/dias/1816/08/22/pdfs/GMD-1816-104.pdf#page=6","Abrir facsímil")</f>
        <v>Abrir facsímil</v>
      </c>
      <c r="K311" s="3" t="s">
        <v>23</v>
      </c>
    </row>
    <row r="312" spans="1:11" ht="42" customHeight="1">
      <c r="A312" s="2" t="s">
        <v>901</v>
      </c>
      <c r="B312" s="2" t="s">
        <v>901</v>
      </c>
      <c r="C312" s="2" t="s">
        <v>111</v>
      </c>
      <c r="D312" s="2" t="s">
        <v>112</v>
      </c>
      <c r="E312" s="5">
        <v>-30405</v>
      </c>
      <c r="F312" s="3" t="s">
        <v>587</v>
      </c>
      <c r="G312" s="3" t="s">
        <v>42</v>
      </c>
      <c r="H312" s="2" t="s">
        <v>21</v>
      </c>
      <c r="I312" s="2" t="s">
        <v>916</v>
      </c>
      <c r="J312" s="3" t="str">
        <f>HYPERLINK("https://www.boe.es/gazeta/dias/1816/10/01/pdfs/GMD-1816-121.pdf#page=8","Abrir facsímil")</f>
        <v>Abrir facsímil</v>
      </c>
      <c r="K312" s="3" t="s">
        <v>23</v>
      </c>
    </row>
    <row r="313" spans="1:11" ht="42" customHeight="1">
      <c r="A313" s="2" t="s">
        <v>901</v>
      </c>
      <c r="B313" s="2" t="s">
        <v>901</v>
      </c>
      <c r="C313" s="2" t="s">
        <v>67</v>
      </c>
      <c r="D313" s="2" t="s">
        <v>18</v>
      </c>
      <c r="E313" s="5">
        <v>-30359</v>
      </c>
      <c r="F313" s="3" t="s">
        <v>812</v>
      </c>
      <c r="G313" s="3" t="s">
        <v>813</v>
      </c>
      <c r="H313" s="2" t="s">
        <v>21</v>
      </c>
      <c r="I313" s="2" t="s">
        <v>917</v>
      </c>
      <c r="J313" s="3" t="str">
        <f>HYPERLINK("https://www.boe.es/gazeta/dias/1816/11/16/pdfs/GMD-1816-143.pdf#page=8","Abrir facsímil")</f>
        <v>Abrir facsímil</v>
      </c>
      <c r="K313" s="3" t="s">
        <v>23</v>
      </c>
    </row>
    <row r="314" spans="1:11" ht="42" customHeight="1">
      <c r="A314" s="2" t="s">
        <v>918</v>
      </c>
      <c r="B314" s="2" t="s">
        <v>919</v>
      </c>
      <c r="C314" s="2" t="s">
        <v>41</v>
      </c>
      <c r="D314" s="2" t="s">
        <v>18</v>
      </c>
      <c r="E314" s="5">
        <v>-30408</v>
      </c>
      <c r="F314" s="3" t="s">
        <v>295</v>
      </c>
      <c r="G314" s="3" t="s">
        <v>42</v>
      </c>
      <c r="H314" s="2" t="s">
        <v>29</v>
      </c>
      <c r="I314" s="2" t="s">
        <v>920</v>
      </c>
      <c r="J314" s="3" t="str">
        <f>HYPERLINK("https://www.boe.es/gazeta/dias/1816/09/28/pdfs/GMD-1816-120.pdf#page=8","Abrir facsímil")</f>
        <v>Abrir facsímil</v>
      </c>
      <c r="K314" s="3" t="s">
        <v>31</v>
      </c>
    </row>
    <row r="315" spans="1:11" ht="42" customHeight="1">
      <c r="A315" s="2" t="s">
        <v>921</v>
      </c>
      <c r="B315" s="2" t="s">
        <v>922</v>
      </c>
      <c r="C315" s="2" t="s">
        <v>34</v>
      </c>
      <c r="D315" s="2" t="s">
        <v>35</v>
      </c>
      <c r="E315" s="5">
        <v>-30494</v>
      </c>
      <c r="F315" s="3" t="s">
        <v>174</v>
      </c>
      <c r="G315" s="3" t="s">
        <v>923</v>
      </c>
      <c r="H315" s="2" t="s">
        <v>21</v>
      </c>
      <c r="I315" s="2" t="s">
        <v>924</v>
      </c>
      <c r="J315" s="3" t="str">
        <f>HYPERLINK("https://www.boe.es/gazeta/dias/1816/07/04/pdfs/GMD-1816-83.pdf#page=10","Abrir facsímil")</f>
        <v>Abrir facsímil</v>
      </c>
      <c r="K315" s="3" t="s">
        <v>23</v>
      </c>
    </row>
    <row r="316" spans="1:11" ht="42" customHeight="1">
      <c r="A316" s="2" t="s">
        <v>925</v>
      </c>
      <c r="B316" s="2" t="s">
        <v>926</v>
      </c>
      <c r="C316" s="2" t="s">
        <v>34</v>
      </c>
      <c r="D316" s="2" t="s">
        <v>35</v>
      </c>
      <c r="E316" s="5">
        <v>-30431</v>
      </c>
      <c r="F316" s="3" t="s">
        <v>756</v>
      </c>
      <c r="G316" s="3" t="s">
        <v>72</v>
      </c>
      <c r="H316" s="2" t="s">
        <v>21</v>
      </c>
      <c r="I316" s="2" t="s">
        <v>927</v>
      </c>
      <c r="J316" s="3" t="str">
        <f>HYPERLINK("https://www.boe.es/gazeta/dias/1816/09/05/pdfs/GMD-1816-110.pdf#page=7","Abrir facsímil")</f>
        <v>Abrir facsímil</v>
      </c>
      <c r="K316" s="3" t="s">
        <v>23</v>
      </c>
    </row>
    <row r="317" spans="1:11" ht="42" customHeight="1">
      <c r="A317" s="2" t="s">
        <v>928</v>
      </c>
      <c r="B317" s="2" t="s">
        <v>929</v>
      </c>
      <c r="C317" s="2" t="s">
        <v>26</v>
      </c>
      <c r="D317" s="2" t="s">
        <v>18</v>
      </c>
      <c r="E317" s="5">
        <v>-30620</v>
      </c>
      <c r="F317" s="3" t="s">
        <v>622</v>
      </c>
      <c r="G317" s="3" t="s">
        <v>930</v>
      </c>
      <c r="H317" s="2" t="s">
        <v>21</v>
      </c>
      <c r="I317" s="2" t="s">
        <v>931</v>
      </c>
      <c r="J317" s="3" t="str">
        <f>HYPERLINK("https://www.boe.es/gazeta/dias/1816/02/29/pdfs/GMD-1816-28.pdf#page=8","Abrir facsímil")</f>
        <v>Abrir facsímil</v>
      </c>
      <c r="K317" s="3" t="s">
        <v>23</v>
      </c>
    </row>
    <row r="318" spans="1:11" ht="42" customHeight="1">
      <c r="A318" s="2" t="s">
        <v>928</v>
      </c>
      <c r="B318" s="2" t="s">
        <v>929</v>
      </c>
      <c r="C318" s="2" t="s">
        <v>81</v>
      </c>
      <c r="D318" s="2" t="s">
        <v>18</v>
      </c>
      <c r="E318" s="5">
        <v>-30384</v>
      </c>
      <c r="F318" s="3" t="s">
        <v>460</v>
      </c>
      <c r="G318" s="3" t="s">
        <v>932</v>
      </c>
      <c r="H318" s="2" t="s">
        <v>21</v>
      </c>
      <c r="I318" s="2" t="s">
        <v>933</v>
      </c>
      <c r="J318" s="3" t="str">
        <f>HYPERLINK("https://www.boe.es/gazeta/dias/1816/10/22/pdfs/GMD-1816-132.pdf#page=7","Abrir facsímil")</f>
        <v>Abrir facsímil</v>
      </c>
      <c r="K318" s="3" t="s">
        <v>23</v>
      </c>
    </row>
    <row r="319" spans="1:11" ht="42" customHeight="1">
      <c r="A319" s="2" t="s">
        <v>928</v>
      </c>
      <c r="B319" s="2" t="s">
        <v>929</v>
      </c>
      <c r="C319" s="2" t="s">
        <v>34</v>
      </c>
      <c r="D319" s="2" t="s">
        <v>35</v>
      </c>
      <c r="E319" s="5">
        <v>-30331</v>
      </c>
      <c r="F319" s="3" t="s">
        <v>315</v>
      </c>
      <c r="G319" s="3" t="s">
        <v>42</v>
      </c>
      <c r="H319" s="2" t="s">
        <v>21</v>
      </c>
      <c r="I319" s="2" t="s">
        <v>934</v>
      </c>
      <c r="J319" s="3" t="str">
        <f>HYPERLINK("https://www.boe.es/gazeta/dias/1816/12/14/pdfs/GMD-1816-155.pdf#page=8","Abrir facsímil")</f>
        <v>Abrir facsímil</v>
      </c>
      <c r="K319" s="3" t="s">
        <v>23</v>
      </c>
    </row>
    <row r="320" spans="1:11" ht="42" customHeight="1">
      <c r="A320" s="2" t="s">
        <v>935</v>
      </c>
      <c r="B320" s="2" t="s">
        <v>936</v>
      </c>
      <c r="C320" s="2" t="s">
        <v>26</v>
      </c>
      <c r="D320" s="2" t="s">
        <v>18</v>
      </c>
      <c r="E320" s="5">
        <v>-30366</v>
      </c>
      <c r="F320" s="3" t="s">
        <v>179</v>
      </c>
      <c r="G320" s="3" t="s">
        <v>47</v>
      </c>
      <c r="H320" s="2" t="s">
        <v>21</v>
      </c>
      <c r="I320" s="2" t="s">
        <v>937</v>
      </c>
      <c r="J320" s="3" t="str">
        <f>HYPERLINK("https://www.boe.es/gazeta/dias/1816/11/09/pdfs/GMD-1816-140.pdf#page=5","Abrir facsímil")</f>
        <v>Abrir facsímil</v>
      </c>
      <c r="K320" s="3" t="s">
        <v>23</v>
      </c>
    </row>
    <row r="321" spans="1:11" ht="42" customHeight="1">
      <c r="A321" s="2" t="s">
        <v>938</v>
      </c>
      <c r="B321" s="2" t="s">
        <v>939</v>
      </c>
      <c r="C321" s="2" t="s">
        <v>111</v>
      </c>
      <c r="D321" s="2" t="s">
        <v>112</v>
      </c>
      <c r="E321" s="5">
        <v>-30471</v>
      </c>
      <c r="F321" s="3" t="s">
        <v>639</v>
      </c>
      <c r="G321" s="3" t="s">
        <v>47</v>
      </c>
      <c r="H321" s="2" t="s">
        <v>21</v>
      </c>
      <c r="I321" s="2" t="s">
        <v>940</v>
      </c>
      <c r="J321" s="3" t="str">
        <f>HYPERLINK("https://www.boe.es/gazeta/dias/1816/07/27/pdfs/GMD-1816-93.pdf#page=5","Abrir facsímil")</f>
        <v>Abrir facsímil</v>
      </c>
      <c r="K321" s="3" t="s">
        <v>23</v>
      </c>
    </row>
    <row r="322" spans="1:11" ht="42" customHeight="1">
      <c r="A322" s="2" t="s">
        <v>941</v>
      </c>
      <c r="B322" s="2" t="s">
        <v>941</v>
      </c>
      <c r="C322" s="2" t="s">
        <v>26</v>
      </c>
      <c r="D322" s="2" t="s">
        <v>18</v>
      </c>
      <c r="E322" s="5">
        <v>-30363</v>
      </c>
      <c r="F322" s="3" t="s">
        <v>570</v>
      </c>
      <c r="G322" s="3" t="s">
        <v>942</v>
      </c>
      <c r="H322" s="2" t="s">
        <v>21</v>
      </c>
      <c r="I322" s="2" t="s">
        <v>943</v>
      </c>
      <c r="J322" s="3" t="str">
        <f>HYPERLINK("https://www.boe.es/gazeta/dias/1816/11/12/pdfs/GMD-1816-141.pdf#page=6","Abrir facsímil")</f>
        <v>Abrir facsímil</v>
      </c>
      <c r="K322" s="3" t="s">
        <v>23</v>
      </c>
    </row>
    <row r="323" spans="1:11" ht="42" customHeight="1">
      <c r="A323" s="2" t="s">
        <v>944</v>
      </c>
      <c r="B323" s="2" t="s">
        <v>945</v>
      </c>
      <c r="C323" s="2" t="s">
        <v>26</v>
      </c>
      <c r="D323" s="2" t="s">
        <v>18</v>
      </c>
      <c r="E323" s="5">
        <v>-30438</v>
      </c>
      <c r="F323" s="3" t="s">
        <v>299</v>
      </c>
      <c r="G323" s="3" t="s">
        <v>300</v>
      </c>
      <c r="H323" s="2" t="s">
        <v>21</v>
      </c>
      <c r="I323" s="2" t="s">
        <v>946</v>
      </c>
      <c r="J323" s="3" t="str">
        <f>HYPERLINK("https://www.boe.es/gazeta/dias/1816/08/29/pdfs/GMD-1816-107.pdf#page=12","Abrir facsímil")</f>
        <v>Abrir facsímil</v>
      </c>
      <c r="K323" s="3" t="s">
        <v>23</v>
      </c>
    </row>
    <row r="324" spans="1:11" ht="42" customHeight="1">
      <c r="A324" s="2" t="s">
        <v>947</v>
      </c>
      <c r="B324" s="2" t="s">
        <v>948</v>
      </c>
      <c r="C324" s="2" t="s">
        <v>34</v>
      </c>
      <c r="D324" s="2" t="s">
        <v>35</v>
      </c>
      <c r="E324" s="5">
        <v>-30464</v>
      </c>
      <c r="F324" s="3" t="s">
        <v>215</v>
      </c>
      <c r="G324" s="3" t="s">
        <v>175</v>
      </c>
      <c r="H324" s="2" t="s">
        <v>21</v>
      </c>
      <c r="I324" s="2" t="s">
        <v>949</v>
      </c>
      <c r="J324" s="3" t="str">
        <f>HYPERLINK("https://www.boe.es/gazeta/dias/1816/08/03/pdfs/GMD-1816-96.pdf#page=11","Abrir facsímil")</f>
        <v>Abrir facsímil</v>
      </c>
      <c r="K324" s="3" t="s">
        <v>23</v>
      </c>
    </row>
    <row r="325" spans="1:11" ht="42" customHeight="1">
      <c r="A325" s="2" t="s">
        <v>950</v>
      </c>
      <c r="B325" s="2" t="s">
        <v>951</v>
      </c>
      <c r="C325" s="2" t="s">
        <v>111</v>
      </c>
      <c r="D325" s="2" t="s">
        <v>112</v>
      </c>
      <c r="E325" s="5">
        <v>-30405</v>
      </c>
      <c r="F325" s="3" t="s">
        <v>587</v>
      </c>
      <c r="G325" s="3" t="s">
        <v>42</v>
      </c>
      <c r="H325" s="2" t="s">
        <v>21</v>
      </c>
      <c r="I325" s="2" t="s">
        <v>952</v>
      </c>
      <c r="J325" s="3" t="str">
        <f>HYPERLINK("https://www.boe.es/gazeta/dias/1816/10/01/pdfs/GMD-1816-121.pdf#page=8","Abrir facsímil")</f>
        <v>Abrir facsímil</v>
      </c>
      <c r="K325" s="3" t="s">
        <v>23</v>
      </c>
    </row>
    <row r="326" spans="1:11" ht="42" customHeight="1">
      <c r="A326" s="2" t="s">
        <v>953</v>
      </c>
      <c r="B326" s="2" t="s">
        <v>953</v>
      </c>
      <c r="C326" s="2" t="s">
        <v>26</v>
      </c>
      <c r="D326" s="2" t="s">
        <v>18</v>
      </c>
      <c r="E326" s="5">
        <v>-30433</v>
      </c>
      <c r="F326" s="3" t="s">
        <v>954</v>
      </c>
      <c r="G326" s="3" t="s">
        <v>955</v>
      </c>
      <c r="H326" s="2" t="s">
        <v>21</v>
      </c>
      <c r="I326" s="2" t="s">
        <v>956</v>
      </c>
      <c r="J326" s="3" t="str">
        <f>HYPERLINK("https://www.boe.es/gazeta/dias/1816/09/03/pdfs/GMD-1816-109.pdf#page=7","Abrir facsímil")</f>
        <v>Abrir facsímil</v>
      </c>
      <c r="K326" s="3" t="s">
        <v>23</v>
      </c>
    </row>
    <row r="327" spans="1:11" ht="42" customHeight="1">
      <c r="A327" s="2" t="s">
        <v>957</v>
      </c>
      <c r="B327" s="2" t="s">
        <v>958</v>
      </c>
      <c r="C327" s="2" t="s">
        <v>111</v>
      </c>
      <c r="D327" s="2" t="s">
        <v>112</v>
      </c>
      <c r="E327" s="5">
        <v>-30338</v>
      </c>
      <c r="F327" s="3" t="s">
        <v>464</v>
      </c>
      <c r="G327" s="3" t="s">
        <v>959</v>
      </c>
      <c r="H327" s="2" t="s">
        <v>21</v>
      </c>
      <c r="I327" s="2" t="s">
        <v>960</v>
      </c>
      <c r="J327" s="3" t="str">
        <f>HYPERLINK("https://www.boe.es/gazeta/dias/1816/12/07/pdfs/GMD-1816-152.pdf#page=5","Abrir facsímil")</f>
        <v>Abrir facsímil</v>
      </c>
      <c r="K327" s="3" t="s">
        <v>23</v>
      </c>
    </row>
    <row r="328" spans="1:11" ht="42" customHeight="1">
      <c r="A328" s="2" t="s">
        <v>961</v>
      </c>
      <c r="B328" s="2" t="s">
        <v>962</v>
      </c>
      <c r="C328" s="2" t="s">
        <v>26</v>
      </c>
      <c r="D328" s="2" t="s">
        <v>18</v>
      </c>
      <c r="E328" s="5">
        <v>-30564</v>
      </c>
      <c r="F328" s="3" t="s">
        <v>963</v>
      </c>
      <c r="G328" s="3" t="s">
        <v>964</v>
      </c>
      <c r="H328" s="2" t="s">
        <v>21</v>
      </c>
      <c r="I328" s="2" t="s">
        <v>965</v>
      </c>
      <c r="J328" s="3" t="str">
        <f>HYPERLINK("https://www.boe.es/gazeta/dias/1816/04/25/pdfs/GMD-1816-53.pdf#page=6","Abrir facsímil")</f>
        <v>Abrir facsímil</v>
      </c>
      <c r="K328" s="3" t="s">
        <v>23</v>
      </c>
    </row>
    <row r="329" spans="1:11" ht="42" customHeight="1">
      <c r="A329" s="2" t="s">
        <v>966</v>
      </c>
      <c r="B329" s="2" t="s">
        <v>967</v>
      </c>
      <c r="C329" s="2" t="s">
        <v>34</v>
      </c>
      <c r="D329" s="2" t="s">
        <v>35</v>
      </c>
      <c r="E329" s="5">
        <v>-30401</v>
      </c>
      <c r="F329" s="3" t="s">
        <v>652</v>
      </c>
      <c r="G329" s="3" t="s">
        <v>28</v>
      </c>
      <c r="H329" s="2" t="s">
        <v>21</v>
      </c>
      <c r="I329" s="2" t="s">
        <v>968</v>
      </c>
      <c r="J329" s="3" t="str">
        <f>HYPERLINK("https://www.boe.es/gazeta/dias/1816/10/05/pdfs/GMD-1816-123.pdf#page=6","Abrir facsímil")</f>
        <v>Abrir facsímil</v>
      </c>
      <c r="K329" s="3" t="s">
        <v>23</v>
      </c>
    </row>
    <row r="330" spans="1:11" ht="42" customHeight="1">
      <c r="A330" s="2" t="s">
        <v>969</v>
      </c>
      <c r="B330" s="2" t="s">
        <v>970</v>
      </c>
      <c r="C330" s="2" t="s">
        <v>34</v>
      </c>
      <c r="D330" s="2" t="s">
        <v>35</v>
      </c>
      <c r="E330" s="5">
        <v>-30499</v>
      </c>
      <c r="F330" s="3" t="s">
        <v>971</v>
      </c>
      <c r="G330" s="3" t="s">
        <v>972</v>
      </c>
      <c r="H330" s="2" t="s">
        <v>21</v>
      </c>
      <c r="I330" s="2" t="s">
        <v>973</v>
      </c>
      <c r="J330" s="3" t="str">
        <f>HYPERLINK("https://www.boe.es/gazeta/dias/1816/06/29/pdfs/GMD-1816-81.pdf#page=11","Abrir facsímil")</f>
        <v>Abrir facsímil</v>
      </c>
      <c r="K330" s="3" t="s">
        <v>23</v>
      </c>
    </row>
    <row r="331" spans="1:11" ht="42" customHeight="1">
      <c r="A331" s="2" t="s">
        <v>974</v>
      </c>
      <c r="B331" s="2" t="s">
        <v>975</v>
      </c>
      <c r="C331" s="2" t="s">
        <v>34</v>
      </c>
      <c r="D331" s="2" t="s">
        <v>35</v>
      </c>
      <c r="E331" s="5">
        <v>-30366</v>
      </c>
      <c r="F331" s="3" t="s">
        <v>179</v>
      </c>
      <c r="G331" s="3" t="s">
        <v>72</v>
      </c>
      <c r="H331" s="2" t="s">
        <v>21</v>
      </c>
      <c r="I331" s="2" t="s">
        <v>976</v>
      </c>
      <c r="J331" s="3" t="str">
        <f>HYPERLINK("https://www.boe.es/gazeta/dias/1816/11/09/pdfs/GMD-1816-140.pdf#page=7","Abrir facsímil")</f>
        <v>Abrir facsímil</v>
      </c>
      <c r="K331" s="3" t="s">
        <v>23</v>
      </c>
    </row>
    <row r="332" spans="1:11" ht="42" customHeight="1">
      <c r="A332" s="2" t="s">
        <v>977</v>
      </c>
      <c r="B332" s="2" t="s">
        <v>978</v>
      </c>
      <c r="C332" s="2" t="s">
        <v>34</v>
      </c>
      <c r="D332" s="2" t="s">
        <v>56</v>
      </c>
      <c r="E332" s="5">
        <v>-30393</v>
      </c>
      <c r="F332" s="3" t="s">
        <v>202</v>
      </c>
      <c r="G332" s="3" t="s">
        <v>47</v>
      </c>
      <c r="H332" s="2" t="s">
        <v>21</v>
      </c>
      <c r="I332" s="2" t="s">
        <v>979</v>
      </c>
      <c r="J332" s="3" t="str">
        <f>HYPERLINK("https://www.boe.es/gazeta/dias/1816/10/13/pdfs/GMD-1816-128E.pdf#page=5","Abrir facsímil")</f>
        <v>Abrir facsímil</v>
      </c>
      <c r="K332" s="3" t="s">
        <v>23</v>
      </c>
    </row>
    <row r="333" spans="1:11" ht="42" customHeight="1">
      <c r="A333" s="2" t="s">
        <v>980</v>
      </c>
      <c r="B333" s="2" t="s">
        <v>981</v>
      </c>
      <c r="C333" s="2" t="s">
        <v>34</v>
      </c>
      <c r="D333" s="2" t="s">
        <v>35</v>
      </c>
      <c r="E333" s="5">
        <v>-30592</v>
      </c>
      <c r="F333" s="3" t="s">
        <v>236</v>
      </c>
      <c r="G333" s="3" t="s">
        <v>606</v>
      </c>
      <c r="H333" s="2" t="s">
        <v>21</v>
      </c>
      <c r="I333" s="2" t="s">
        <v>982</v>
      </c>
      <c r="J333" s="3" t="str">
        <f>HYPERLINK("https://www.boe.es/gazeta/dias/1816/03/28/pdfs/GMD-1816-41.pdf#page=12","Abrir facsímil")</f>
        <v>Abrir facsímil</v>
      </c>
      <c r="K333" s="3" t="s">
        <v>23</v>
      </c>
    </row>
    <row r="334" spans="1:11" ht="42" customHeight="1">
      <c r="A334" s="2" t="s">
        <v>983</v>
      </c>
      <c r="B334" s="2" t="s">
        <v>984</v>
      </c>
      <c r="C334" s="2" t="s">
        <v>34</v>
      </c>
      <c r="D334" s="2" t="s">
        <v>35</v>
      </c>
      <c r="E334" s="5">
        <v>-30382</v>
      </c>
      <c r="F334" s="3" t="s">
        <v>326</v>
      </c>
      <c r="G334" s="3" t="s">
        <v>28</v>
      </c>
      <c r="H334" s="2" t="s">
        <v>21</v>
      </c>
      <c r="I334" s="2" t="s">
        <v>985</v>
      </c>
      <c r="J334" s="3" t="str">
        <f>HYPERLINK("https://www.boe.es/gazeta/dias/1816/10/24/pdfs/GMD-1816-133.pdf#page=6","Abrir facsímil")</f>
        <v>Abrir facsímil</v>
      </c>
      <c r="K334" s="3" t="s">
        <v>23</v>
      </c>
    </row>
    <row r="335" spans="1:11" ht="42" customHeight="1">
      <c r="A335" s="2" t="s">
        <v>986</v>
      </c>
      <c r="B335" s="2" t="s">
        <v>987</v>
      </c>
      <c r="C335" s="2" t="s">
        <v>67</v>
      </c>
      <c r="D335" s="2" t="s">
        <v>18</v>
      </c>
      <c r="E335" s="5">
        <v>-30471</v>
      </c>
      <c r="F335" s="3" t="s">
        <v>639</v>
      </c>
      <c r="G335" s="3" t="s">
        <v>28</v>
      </c>
      <c r="H335" s="2" t="s">
        <v>21</v>
      </c>
      <c r="I335" s="2" t="s">
        <v>988</v>
      </c>
      <c r="J335" s="3" t="str">
        <f>HYPERLINK("https://www.boe.es/gazeta/dias/1816/07/27/pdfs/GMD-1816-93.pdf#page=6","Abrir facsímil")</f>
        <v>Abrir facsímil</v>
      </c>
      <c r="K335" s="3" t="s">
        <v>23</v>
      </c>
    </row>
    <row r="336" spans="1:11" ht="42" customHeight="1">
      <c r="A336" s="2" t="s">
        <v>989</v>
      </c>
      <c r="B336" s="2" t="s">
        <v>990</v>
      </c>
      <c r="C336" s="2" t="s">
        <v>111</v>
      </c>
      <c r="D336" s="2" t="s">
        <v>112</v>
      </c>
      <c r="E336" s="5">
        <v>-30471</v>
      </c>
      <c r="F336" s="3" t="s">
        <v>639</v>
      </c>
      <c r="G336" s="3" t="s">
        <v>42</v>
      </c>
      <c r="H336" s="2" t="s">
        <v>21</v>
      </c>
      <c r="I336" s="2" t="s">
        <v>991</v>
      </c>
      <c r="J336" s="3" t="str">
        <f>HYPERLINK("https://www.boe.es/gazeta/dias/1816/07/27/pdfs/GMD-1816-93.pdf#page=8","Abrir facsímil")</f>
        <v>Abrir facsímil</v>
      </c>
      <c r="K336" s="3" t="s">
        <v>23</v>
      </c>
    </row>
    <row r="337" spans="1:11" ht="42" customHeight="1">
      <c r="A337" s="2" t="s">
        <v>992</v>
      </c>
      <c r="B337" s="2" t="s">
        <v>993</v>
      </c>
      <c r="C337" s="2" t="s">
        <v>26</v>
      </c>
      <c r="D337" s="2" t="s">
        <v>18</v>
      </c>
      <c r="E337" s="5">
        <v>-30431</v>
      </c>
      <c r="F337" s="3" t="s">
        <v>756</v>
      </c>
      <c r="G337" s="3" t="s">
        <v>47</v>
      </c>
      <c r="H337" s="2" t="s">
        <v>21</v>
      </c>
      <c r="I337" s="2" t="s">
        <v>994</v>
      </c>
      <c r="J337" s="3" t="str">
        <f>HYPERLINK("https://www.boe.es/gazeta/dias/1816/09/05/pdfs/GMD-1816-110.pdf#page=5","Abrir facsímil")</f>
        <v>Abrir facsímil</v>
      </c>
      <c r="K337" s="3" t="s">
        <v>23</v>
      </c>
    </row>
    <row r="338" spans="1:11" ht="42" customHeight="1">
      <c r="A338" s="2" t="s">
        <v>995</v>
      </c>
      <c r="B338" s="2" t="s">
        <v>996</v>
      </c>
      <c r="C338" s="2" t="s">
        <v>34</v>
      </c>
      <c r="D338" s="2" t="s">
        <v>35</v>
      </c>
      <c r="E338" s="5">
        <v>-30564</v>
      </c>
      <c r="F338" s="3" t="s">
        <v>963</v>
      </c>
      <c r="G338" s="3" t="s">
        <v>47</v>
      </c>
      <c r="H338" s="2" t="s">
        <v>21</v>
      </c>
      <c r="I338" s="2" t="s">
        <v>997</v>
      </c>
      <c r="J338" s="3" t="str">
        <f>HYPERLINK("https://www.boe.es/gazeta/dias/1816/04/25/pdfs/GMD-1816-53.pdf#page=5","Abrir facsímil")</f>
        <v>Abrir facsímil</v>
      </c>
      <c r="K338" s="3" t="s">
        <v>23</v>
      </c>
    </row>
    <row r="339" spans="1:11" ht="42" customHeight="1">
      <c r="A339" s="2" t="s">
        <v>998</v>
      </c>
      <c r="B339" s="2" t="s">
        <v>999</v>
      </c>
      <c r="C339" s="2" t="s">
        <v>81</v>
      </c>
      <c r="D339" s="2" t="s">
        <v>18</v>
      </c>
      <c r="E339" s="5">
        <v>-30468</v>
      </c>
      <c r="F339" s="3" t="s">
        <v>383</v>
      </c>
      <c r="G339" s="3" t="s">
        <v>42</v>
      </c>
      <c r="H339" s="2" t="s">
        <v>21</v>
      </c>
      <c r="I339" s="2" t="s">
        <v>1000</v>
      </c>
      <c r="J339" s="3" t="str">
        <f>HYPERLINK("https://www.boe.es/gazeta/dias/1816/07/30/pdfs/GMD-1816-94.pdf#page=8","Abrir facsímil")</f>
        <v>Abrir facsímil</v>
      </c>
      <c r="K339" s="3" t="s">
        <v>23</v>
      </c>
    </row>
    <row r="340" spans="1:11" ht="42" customHeight="1">
      <c r="A340" s="2" t="s">
        <v>998</v>
      </c>
      <c r="B340" s="2" t="s">
        <v>999</v>
      </c>
      <c r="C340" s="2" t="s">
        <v>26</v>
      </c>
      <c r="D340" s="2" t="s">
        <v>18</v>
      </c>
      <c r="E340" s="5">
        <v>-30394</v>
      </c>
      <c r="F340" s="3" t="s">
        <v>589</v>
      </c>
      <c r="G340" s="3" t="s">
        <v>72</v>
      </c>
      <c r="H340" s="2" t="s">
        <v>21</v>
      </c>
      <c r="I340" s="2" t="s">
        <v>1001</v>
      </c>
      <c r="J340" s="3" t="str">
        <f>HYPERLINK("https://www.boe.es/gazeta/dias/1816/10/12/pdfs/GMD-1816-127.pdf#page=7","Abrir facsímil")</f>
        <v>Abrir facsímil</v>
      </c>
      <c r="K340" s="3" t="s">
        <v>23</v>
      </c>
    </row>
    <row r="341" spans="1:11" ht="42" customHeight="1">
      <c r="A341" s="2" t="s">
        <v>998</v>
      </c>
      <c r="B341" s="2" t="s">
        <v>999</v>
      </c>
      <c r="C341" s="2" t="s">
        <v>26</v>
      </c>
      <c r="D341" s="2" t="s">
        <v>18</v>
      </c>
      <c r="E341" s="5">
        <v>-30389</v>
      </c>
      <c r="F341" s="3" t="s">
        <v>522</v>
      </c>
      <c r="G341" s="3" t="s">
        <v>72</v>
      </c>
      <c r="H341" s="2" t="s">
        <v>21</v>
      </c>
      <c r="I341" s="2" t="s">
        <v>1002</v>
      </c>
      <c r="J341" s="3" t="str">
        <f>HYPERLINK("https://www.boe.es/gazeta/dias/1816/10/17/pdfs/GMD-1816-130.pdf#page=7","Abrir facsímil")</f>
        <v>Abrir facsímil</v>
      </c>
      <c r="K341" s="3" t="s">
        <v>23</v>
      </c>
    </row>
    <row r="342" spans="1:11" ht="42" customHeight="1">
      <c r="A342" s="2" t="s">
        <v>1003</v>
      </c>
      <c r="B342" s="2" t="s">
        <v>1004</v>
      </c>
      <c r="C342" s="2" t="s">
        <v>26</v>
      </c>
      <c r="D342" s="2" t="s">
        <v>18</v>
      </c>
      <c r="E342" s="5">
        <v>-30333</v>
      </c>
      <c r="F342" s="3" t="s">
        <v>1005</v>
      </c>
      <c r="G342" s="3" t="s">
        <v>1006</v>
      </c>
      <c r="H342" s="2" t="s">
        <v>21</v>
      </c>
      <c r="I342" s="2" t="s">
        <v>1007</v>
      </c>
      <c r="J342" s="3" t="str">
        <f>HYPERLINK("https://www.boe.es/gazeta/dias/1816/12/12/pdfs/GMD-1816-154.pdf#page=5","Abrir facsímil")</f>
        <v>Abrir facsímil</v>
      </c>
      <c r="K342" s="3" t="s">
        <v>23</v>
      </c>
    </row>
    <row r="343" spans="1:11" ht="42" customHeight="1">
      <c r="A343" s="2" t="s">
        <v>1008</v>
      </c>
      <c r="B343" s="2" t="s">
        <v>1009</v>
      </c>
      <c r="C343" s="2" t="s">
        <v>111</v>
      </c>
      <c r="D343" s="2" t="s">
        <v>56</v>
      </c>
      <c r="E343" s="5">
        <v>-30393</v>
      </c>
      <c r="F343" s="3" t="s">
        <v>202</v>
      </c>
      <c r="G343" s="3" t="s">
        <v>645</v>
      </c>
      <c r="H343" s="2" t="s">
        <v>21</v>
      </c>
      <c r="I343" s="2" t="s">
        <v>1010</v>
      </c>
      <c r="J343" s="3" t="str">
        <f>HYPERLINK("https://www.boe.es/gazeta/dias/1816/10/13/pdfs/GMD-1816-128E.pdf#page=4","Abrir facsímil")</f>
        <v>Abrir facsímil</v>
      </c>
      <c r="K343" s="3" t="s">
        <v>23</v>
      </c>
    </row>
    <row r="344" spans="1:11" ht="42" customHeight="1">
      <c r="A344" s="2" t="s">
        <v>1008</v>
      </c>
      <c r="B344" s="2" t="s">
        <v>1009</v>
      </c>
      <c r="C344" s="2" t="s">
        <v>111</v>
      </c>
      <c r="D344" s="2" t="s">
        <v>56</v>
      </c>
      <c r="E344" s="5">
        <v>-30393</v>
      </c>
      <c r="F344" s="3" t="s">
        <v>202</v>
      </c>
      <c r="G344" s="3" t="s">
        <v>270</v>
      </c>
      <c r="H344" s="2" t="s">
        <v>21</v>
      </c>
      <c r="I344" s="2" t="s">
        <v>1011</v>
      </c>
      <c r="J344" s="3" t="str">
        <f>HYPERLINK("https://www.boe.es/gazeta/dias/1816/10/13/pdfs/GMD-1816-128E.pdf#page=2","Abrir facsímil")</f>
        <v>Abrir facsímil</v>
      </c>
      <c r="K344" s="3" t="s">
        <v>23</v>
      </c>
    </row>
    <row r="345" spans="1:11" ht="42" customHeight="1">
      <c r="A345" s="2" t="s">
        <v>1012</v>
      </c>
      <c r="B345" s="2" t="s">
        <v>1013</v>
      </c>
      <c r="C345" s="2" t="s">
        <v>26</v>
      </c>
      <c r="D345" s="2" t="s">
        <v>18</v>
      </c>
      <c r="E345" s="5">
        <v>-30536</v>
      </c>
      <c r="F345" s="3" t="s">
        <v>580</v>
      </c>
      <c r="G345" s="3" t="s">
        <v>47</v>
      </c>
      <c r="H345" s="2" t="s">
        <v>21</v>
      </c>
      <c r="I345" s="2" t="s">
        <v>1014</v>
      </c>
      <c r="J345" s="3" t="str">
        <f>HYPERLINK("https://www.boe.es/gazeta/dias/1816/05/23/pdfs/GMD-1816-65.pdf#page=5","Abrir facsímil")</f>
        <v>Abrir facsímil</v>
      </c>
      <c r="K345" s="3" t="s">
        <v>23</v>
      </c>
    </row>
    <row r="346" spans="1:11" ht="42" customHeight="1">
      <c r="A346" s="2" t="s">
        <v>1015</v>
      </c>
      <c r="B346" s="2" t="s">
        <v>1016</v>
      </c>
      <c r="C346" s="2" t="s">
        <v>34</v>
      </c>
      <c r="D346" s="2" t="s">
        <v>35</v>
      </c>
      <c r="E346" s="5">
        <v>-30494</v>
      </c>
      <c r="F346" s="3" t="s">
        <v>174</v>
      </c>
      <c r="G346" s="3" t="s">
        <v>42</v>
      </c>
      <c r="H346" s="2" t="s">
        <v>21</v>
      </c>
      <c r="I346" s="2" t="s">
        <v>1017</v>
      </c>
      <c r="J346" s="3" t="str">
        <f>HYPERLINK("https://www.boe.es/gazeta/dias/1816/07/04/pdfs/GMD-1816-83.pdf#page=8","Abrir facsímil")</f>
        <v>Abrir facsímil</v>
      </c>
      <c r="K346" s="3" t="s">
        <v>23</v>
      </c>
    </row>
    <row r="347" spans="1:11" ht="42" customHeight="1">
      <c r="A347" s="2" t="s">
        <v>1018</v>
      </c>
      <c r="B347" s="2" t="s">
        <v>1019</v>
      </c>
      <c r="C347" s="2" t="s">
        <v>34</v>
      </c>
      <c r="D347" s="2" t="s">
        <v>56</v>
      </c>
      <c r="E347" s="5">
        <v>-30393</v>
      </c>
      <c r="F347" s="3" t="s">
        <v>202</v>
      </c>
      <c r="G347" s="3" t="s">
        <v>184</v>
      </c>
      <c r="H347" s="2" t="s">
        <v>21</v>
      </c>
      <c r="I347" s="2" t="s">
        <v>1020</v>
      </c>
      <c r="J347" s="3" t="str">
        <f>HYPERLINK("https://www.boe.es/gazeta/dias/1816/10/13/pdfs/GMD-1816-128E.pdf#page=3","Abrir facsímil")</f>
        <v>Abrir facsímil</v>
      </c>
      <c r="K347" s="3" t="s">
        <v>23</v>
      </c>
    </row>
    <row r="348" spans="1:11" ht="42" customHeight="1">
      <c r="A348" s="2" t="s">
        <v>1021</v>
      </c>
      <c r="B348" s="2" t="s">
        <v>1022</v>
      </c>
      <c r="C348" s="2" t="s">
        <v>111</v>
      </c>
      <c r="D348" s="2" t="s">
        <v>56</v>
      </c>
      <c r="E348" s="5">
        <v>-30653</v>
      </c>
      <c r="F348" s="3" t="s">
        <v>1023</v>
      </c>
      <c r="G348" s="3" t="s">
        <v>270</v>
      </c>
      <c r="H348" s="2" t="s">
        <v>21</v>
      </c>
      <c r="I348" s="2" t="s">
        <v>1024</v>
      </c>
      <c r="J348" s="3" t="str">
        <f>HYPERLINK("https://www.boe.es/gazeta/dias/1816/01/27/pdfs/GMD-1816-13E.pdf#page=2","Abrir facsímil")</f>
        <v>Abrir facsímil</v>
      </c>
      <c r="K348" s="3" t="s">
        <v>23</v>
      </c>
    </row>
    <row r="349" spans="1:11" ht="42" customHeight="1">
      <c r="A349" s="2" t="s">
        <v>1021</v>
      </c>
      <c r="B349" s="2" t="s">
        <v>1022</v>
      </c>
      <c r="C349" s="2" t="s">
        <v>26</v>
      </c>
      <c r="D349" s="2" t="s">
        <v>18</v>
      </c>
      <c r="E349" s="5">
        <v>-30618</v>
      </c>
      <c r="F349" s="3" t="s">
        <v>207</v>
      </c>
      <c r="G349" s="3" t="s">
        <v>28</v>
      </c>
      <c r="H349" s="2" t="s">
        <v>21</v>
      </c>
      <c r="I349" s="2" t="s">
        <v>1025</v>
      </c>
      <c r="J349" s="3" t="str">
        <f>HYPERLINK("https://www.boe.es/gazeta/dias/1816/03/02/pdfs/GMD-1816-29.pdf#page=6","Abrir facsímil")</f>
        <v>Abrir facsímil</v>
      </c>
      <c r="K349" s="3" t="s">
        <v>23</v>
      </c>
    </row>
    <row r="350" spans="1:11" ht="42" customHeight="1">
      <c r="A350" s="2" t="s">
        <v>1021</v>
      </c>
      <c r="B350" s="2" t="s">
        <v>1022</v>
      </c>
      <c r="C350" s="2" t="s">
        <v>111</v>
      </c>
      <c r="D350" s="2" t="s">
        <v>112</v>
      </c>
      <c r="E350" s="5">
        <v>-30501</v>
      </c>
      <c r="F350" s="3" t="s">
        <v>475</v>
      </c>
      <c r="G350" s="3" t="s">
        <v>1026</v>
      </c>
      <c r="H350" s="2" t="s">
        <v>21</v>
      </c>
      <c r="I350" s="2" t="s">
        <v>1027</v>
      </c>
      <c r="J350" s="3" t="str">
        <f>HYPERLINK("https://www.boe.es/gazeta/dias/1816/06/27/pdfs/GMD-1816-80.pdf#page=4","Abrir facsímil")</f>
        <v>Abrir facsímil</v>
      </c>
      <c r="K350" s="3" t="s">
        <v>23</v>
      </c>
    </row>
    <row r="351" spans="1:11" ht="42" customHeight="1">
      <c r="A351" s="2" t="s">
        <v>1028</v>
      </c>
      <c r="B351" s="2" t="s">
        <v>1029</v>
      </c>
      <c r="C351" s="2" t="s">
        <v>111</v>
      </c>
      <c r="D351" s="2" t="s">
        <v>112</v>
      </c>
      <c r="E351" s="5">
        <v>-30317</v>
      </c>
      <c r="F351" s="3" t="s">
        <v>1030</v>
      </c>
      <c r="G351" s="3" t="s">
        <v>1031</v>
      </c>
      <c r="H351" s="2" t="s">
        <v>21</v>
      </c>
      <c r="I351" s="2" t="s">
        <v>1032</v>
      </c>
      <c r="J351" s="3" t="str">
        <f>HYPERLINK("https://www.boe.es/gazeta/dias/1816/12/28/pdfs/GMD-1816-161.pdf#page=6","Abrir facsímil")</f>
        <v>Abrir facsímil</v>
      </c>
      <c r="K351" s="3" t="s">
        <v>23</v>
      </c>
    </row>
    <row r="352" spans="1:11" ht="42" customHeight="1">
      <c r="A352" s="2" t="s">
        <v>1033</v>
      </c>
      <c r="B352" s="2" t="s">
        <v>1034</v>
      </c>
      <c r="C352" s="2" t="s">
        <v>111</v>
      </c>
      <c r="D352" s="2" t="s">
        <v>112</v>
      </c>
      <c r="E352" s="5">
        <v>-30522</v>
      </c>
      <c r="F352" s="3" t="s">
        <v>282</v>
      </c>
      <c r="G352" s="3" t="s">
        <v>72</v>
      </c>
      <c r="H352" s="2" t="s">
        <v>21</v>
      </c>
      <c r="I352" s="2" t="s">
        <v>1035</v>
      </c>
      <c r="J352" s="3" t="str">
        <f>HYPERLINK("https://www.boe.es/gazeta/dias/1816/06/06/pdfs/GMD-1816-71.pdf#page=7","Abrir facsímil")</f>
        <v>Abrir facsímil</v>
      </c>
      <c r="K352" s="3" t="s">
        <v>23</v>
      </c>
    </row>
    <row r="353" spans="1:11" ht="42" customHeight="1">
      <c r="A353" s="2" t="s">
        <v>1036</v>
      </c>
      <c r="B353" s="2" t="s">
        <v>1037</v>
      </c>
      <c r="C353" s="2" t="s">
        <v>34</v>
      </c>
      <c r="D353" s="2" t="s">
        <v>56</v>
      </c>
      <c r="E353" s="5">
        <v>-30393</v>
      </c>
      <c r="F353" s="3" t="s">
        <v>202</v>
      </c>
      <c r="G353" s="3" t="s">
        <v>42</v>
      </c>
      <c r="H353" s="2" t="s">
        <v>29</v>
      </c>
      <c r="I353" s="2" t="s">
        <v>1038</v>
      </c>
      <c r="J353" s="3" t="str">
        <f>HYPERLINK("https://www.boe.es/gazeta/dias/1816/10/13/pdfs/GMD-1816-128E.pdf#page=8","Abrir facsímil")</f>
        <v>Abrir facsímil</v>
      </c>
      <c r="K353" s="3" t="s">
        <v>31</v>
      </c>
    </row>
    <row r="354" spans="1:11" ht="42" customHeight="1">
      <c r="A354" s="2" t="s">
        <v>1039</v>
      </c>
      <c r="B354" s="2" t="s">
        <v>1040</v>
      </c>
      <c r="C354" s="2" t="s">
        <v>26</v>
      </c>
      <c r="D354" s="2" t="s">
        <v>18</v>
      </c>
      <c r="E354" s="5">
        <v>-30606</v>
      </c>
      <c r="F354" s="3" t="s">
        <v>761</v>
      </c>
      <c r="G354" s="3" t="s">
        <v>72</v>
      </c>
      <c r="H354" s="2" t="s">
        <v>29</v>
      </c>
      <c r="I354" s="2" t="s">
        <v>1041</v>
      </c>
      <c r="J354" s="3" t="str">
        <f>HYPERLINK("https://www.boe.es/gazeta/dias/1816/03/14/pdfs/GMD-1816-34.pdf#page=7","Abrir facsímil")</f>
        <v>Abrir facsímil</v>
      </c>
      <c r="K354" s="3" t="s">
        <v>31</v>
      </c>
    </row>
    <row r="355" spans="1:11" ht="42" customHeight="1">
      <c r="A355" s="2" t="s">
        <v>1042</v>
      </c>
      <c r="B355" s="2" t="s">
        <v>1043</v>
      </c>
      <c r="C355" s="2" t="s">
        <v>34</v>
      </c>
      <c r="D355" s="2" t="s">
        <v>35</v>
      </c>
      <c r="E355" s="5">
        <v>-30492</v>
      </c>
      <c r="F355" s="3" t="s">
        <v>248</v>
      </c>
      <c r="G355" s="3" t="s">
        <v>1044</v>
      </c>
      <c r="H355" s="2" t="s">
        <v>21</v>
      </c>
      <c r="I355" s="2" t="s">
        <v>1045</v>
      </c>
      <c r="J355" s="3" t="str">
        <f>HYPERLINK("https://www.boe.es/gazeta/dias/1816/07/06/pdfs/GMD-1816-84.pdf#page=7","Abrir facsímil")</f>
        <v>Abrir facsímil</v>
      </c>
      <c r="K355" s="3" t="s">
        <v>23</v>
      </c>
    </row>
    <row r="356" spans="1:11" ht="42" customHeight="1">
      <c r="A356" s="2" t="s">
        <v>1046</v>
      </c>
      <c r="B356" s="2" t="s">
        <v>1047</v>
      </c>
      <c r="C356" s="2" t="s">
        <v>26</v>
      </c>
      <c r="D356" s="2" t="s">
        <v>18</v>
      </c>
      <c r="E356" s="5">
        <v>-30499</v>
      </c>
      <c r="F356" s="3" t="s">
        <v>971</v>
      </c>
      <c r="G356" s="3" t="s">
        <v>180</v>
      </c>
      <c r="H356" s="2" t="s">
        <v>21</v>
      </c>
      <c r="I356" s="2" t="s">
        <v>1048</v>
      </c>
      <c r="J356" s="3" t="str">
        <f>HYPERLINK("https://www.boe.es/gazeta/dias/1816/06/29/pdfs/GMD-1816-81.pdf#page=10","Abrir facsímil")</f>
        <v>Abrir facsímil</v>
      </c>
      <c r="K356" s="3" t="s">
        <v>23</v>
      </c>
    </row>
    <row r="357" spans="1:11" ht="42" customHeight="1">
      <c r="A357" s="2" t="s">
        <v>1049</v>
      </c>
      <c r="B357" s="2" t="s">
        <v>1050</v>
      </c>
      <c r="C357" s="2" t="s">
        <v>81</v>
      </c>
      <c r="D357" s="2" t="s">
        <v>18</v>
      </c>
      <c r="E357" s="5">
        <v>-30646</v>
      </c>
      <c r="F357" s="3" t="s">
        <v>615</v>
      </c>
      <c r="G357" s="3" t="s">
        <v>42</v>
      </c>
      <c r="H357" s="2" t="s">
        <v>21</v>
      </c>
      <c r="I357" s="2" t="s">
        <v>1051</v>
      </c>
      <c r="J357" s="3" t="str">
        <f>HYPERLINK("https://www.boe.es/gazeta/dias/1816/02/03/pdfs/GMD-1816-16.pdf#page=8","Abrir facsímil")</f>
        <v>Abrir facsímil</v>
      </c>
      <c r="K357" s="3" t="s">
        <v>23</v>
      </c>
    </row>
    <row r="358" spans="1:11" ht="42" customHeight="1">
      <c r="A358" s="2" t="s">
        <v>1052</v>
      </c>
      <c r="B358" s="2" t="s">
        <v>1053</v>
      </c>
      <c r="C358" s="2" t="s">
        <v>34</v>
      </c>
      <c r="D358" s="2" t="s">
        <v>35</v>
      </c>
      <c r="E358" s="5">
        <v>-30508</v>
      </c>
      <c r="F358" s="3" t="s">
        <v>36</v>
      </c>
      <c r="G358" s="3" t="s">
        <v>1054</v>
      </c>
      <c r="H358" s="2" t="s">
        <v>21</v>
      </c>
      <c r="I358" s="2" t="s">
        <v>1055</v>
      </c>
      <c r="J358" s="3" t="str">
        <f>HYPERLINK("https://www.boe.es/gazeta/dias/1816/06/20/pdfs/GMD-1816-77.pdf#page=4","Abrir facsímil")</f>
        <v>Abrir facsímil</v>
      </c>
      <c r="K358" s="3" t="s">
        <v>23</v>
      </c>
    </row>
    <row r="359" spans="1:11" ht="42" customHeight="1">
      <c r="A359" s="2" t="s">
        <v>1056</v>
      </c>
      <c r="B359" s="2" t="s">
        <v>1057</v>
      </c>
      <c r="C359" s="2" t="s">
        <v>26</v>
      </c>
      <c r="D359" s="2" t="s">
        <v>18</v>
      </c>
      <c r="E359" s="5">
        <v>-30592</v>
      </c>
      <c r="F359" s="3" t="s">
        <v>236</v>
      </c>
      <c r="G359" s="3" t="s">
        <v>42</v>
      </c>
      <c r="H359" s="2" t="s">
        <v>21</v>
      </c>
      <c r="I359" s="2" t="s">
        <v>1058</v>
      </c>
      <c r="J359" s="3" t="str">
        <f>HYPERLINK("https://www.boe.es/gazeta/dias/1816/03/28/pdfs/GMD-1816-41.pdf#page=8","Abrir facsímil")</f>
        <v>Abrir facsímil</v>
      </c>
      <c r="K359" s="3" t="s">
        <v>23</v>
      </c>
    </row>
    <row r="360" spans="1:11" ht="42" customHeight="1">
      <c r="A360" s="2" t="s">
        <v>1056</v>
      </c>
      <c r="B360" s="2" t="s">
        <v>1057</v>
      </c>
      <c r="C360" s="2" t="s">
        <v>26</v>
      </c>
      <c r="D360" s="2" t="s">
        <v>18</v>
      </c>
      <c r="E360" s="5">
        <v>-30580</v>
      </c>
      <c r="F360" s="3" t="s">
        <v>107</v>
      </c>
      <c r="G360" s="3" t="s">
        <v>72</v>
      </c>
      <c r="H360" s="2" t="s">
        <v>21</v>
      </c>
      <c r="I360" s="2" t="s">
        <v>1059</v>
      </c>
      <c r="J360" s="3" t="str">
        <f>HYPERLINK("https://www.boe.es/gazeta/dias/1816/04/09/pdfs/GMD-1816-46.pdf#page=7","Abrir facsímil")</f>
        <v>Abrir facsímil</v>
      </c>
      <c r="K360" s="3" t="s">
        <v>23</v>
      </c>
    </row>
    <row r="361" spans="1:11" ht="42" customHeight="1">
      <c r="A361" s="2" t="s">
        <v>1060</v>
      </c>
      <c r="B361" s="2" t="s">
        <v>1061</v>
      </c>
      <c r="C361" s="2" t="s">
        <v>111</v>
      </c>
      <c r="D361" s="2" t="s">
        <v>112</v>
      </c>
      <c r="E361" s="5">
        <v>-30660</v>
      </c>
      <c r="F361" s="3" t="s">
        <v>809</v>
      </c>
      <c r="G361" s="3" t="s">
        <v>810</v>
      </c>
      <c r="H361" s="2" t="s">
        <v>29</v>
      </c>
      <c r="I361" s="2" t="s">
        <v>1062</v>
      </c>
      <c r="J361" s="3" t="str">
        <f>HYPERLINK("https://www.boe.es/gazeta/dias/1816/01/20/pdfs/GMD-1816-9.pdf#page=8","Abrir facsímil")</f>
        <v>Abrir facsímil</v>
      </c>
      <c r="K361" s="3" t="s">
        <v>31</v>
      </c>
    </row>
    <row r="362" spans="1:11" ht="42" customHeight="1">
      <c r="A362" s="2" t="s">
        <v>1063</v>
      </c>
      <c r="B362" s="2" t="s">
        <v>1064</v>
      </c>
      <c r="C362" s="2" t="s">
        <v>41</v>
      </c>
      <c r="D362" s="2" t="s">
        <v>18</v>
      </c>
      <c r="E362" s="5">
        <v>-30368</v>
      </c>
      <c r="F362" s="3" t="s">
        <v>531</v>
      </c>
      <c r="G362" s="3" t="s">
        <v>42</v>
      </c>
      <c r="H362" s="2" t="s">
        <v>21</v>
      </c>
      <c r="I362" s="2" t="s">
        <v>1065</v>
      </c>
      <c r="J362" s="3" t="str">
        <f>HYPERLINK("https://www.boe.es/gazeta/dias/1816/11/07/pdfs/GMD-1816-139.pdf#page=8","Abrir facsímil")</f>
        <v>Abrir facsímil</v>
      </c>
      <c r="K362" s="3" t="s">
        <v>23</v>
      </c>
    </row>
    <row r="363" spans="1:11" ht="42" customHeight="1">
      <c r="A363" s="2" t="s">
        <v>1066</v>
      </c>
      <c r="B363" s="2" t="s">
        <v>1067</v>
      </c>
      <c r="C363" s="2" t="s">
        <v>26</v>
      </c>
      <c r="D363" s="2" t="s">
        <v>18</v>
      </c>
      <c r="E363" s="5">
        <v>-30377</v>
      </c>
      <c r="F363" s="3" t="s">
        <v>138</v>
      </c>
      <c r="G363" s="3" t="s">
        <v>103</v>
      </c>
      <c r="H363" s="2" t="s">
        <v>21</v>
      </c>
      <c r="I363" s="2" t="s">
        <v>1068</v>
      </c>
      <c r="J363" s="3" t="str">
        <f>HYPERLINK("https://www.boe.es/gazeta/dias/1816/10/29/pdfs/GMD-1816-135.pdf#page=4","Abrir facsímil")</f>
        <v>Abrir facsímil</v>
      </c>
      <c r="K363" s="3" t="s">
        <v>23</v>
      </c>
    </row>
    <row r="364" spans="1:11" ht="42" customHeight="1">
      <c r="A364" s="2" t="s">
        <v>1069</v>
      </c>
      <c r="B364" s="2" t="s">
        <v>1070</v>
      </c>
      <c r="C364" s="2" t="s">
        <v>111</v>
      </c>
      <c r="D364" s="2" t="s">
        <v>112</v>
      </c>
      <c r="E364" s="5">
        <v>-30431</v>
      </c>
      <c r="F364" s="3" t="s">
        <v>756</v>
      </c>
      <c r="G364" s="3" t="s">
        <v>72</v>
      </c>
      <c r="H364" s="2" t="s">
        <v>29</v>
      </c>
      <c r="I364" s="2" t="s">
        <v>1071</v>
      </c>
      <c r="J364" s="3" t="str">
        <f>HYPERLINK("https://www.boe.es/gazeta/dias/1816/09/05/pdfs/GMD-1816-110.pdf#page=7","Abrir facsímil")</f>
        <v>Abrir facsímil</v>
      </c>
      <c r="K364" s="3" t="s">
        <v>31</v>
      </c>
    </row>
    <row r="365" spans="1:11" ht="42" customHeight="1">
      <c r="A365" s="2" t="s">
        <v>1072</v>
      </c>
      <c r="B365" s="2" t="s">
        <v>1073</v>
      </c>
      <c r="C365" s="2" t="s">
        <v>111</v>
      </c>
      <c r="D365" s="2" t="s">
        <v>112</v>
      </c>
      <c r="E365" s="5">
        <v>-30438</v>
      </c>
      <c r="F365" s="3" t="s">
        <v>299</v>
      </c>
      <c r="G365" s="3" t="s">
        <v>300</v>
      </c>
      <c r="H365" s="2" t="s">
        <v>21</v>
      </c>
      <c r="I365" s="2" t="s">
        <v>1074</v>
      </c>
      <c r="J365" s="3" t="str">
        <f>HYPERLINK("https://www.boe.es/gazeta/dias/1816/08/29/pdfs/GMD-1816-107.pdf#page=12","Abrir facsímil")</f>
        <v>Abrir facsímil</v>
      </c>
      <c r="K365" s="3" t="s">
        <v>23</v>
      </c>
    </row>
    <row r="366" spans="1:11" ht="42" customHeight="1">
      <c r="A366" s="2" t="s">
        <v>1075</v>
      </c>
      <c r="B366" s="2" t="s">
        <v>1076</v>
      </c>
      <c r="C366" s="2" t="s">
        <v>26</v>
      </c>
      <c r="D366" s="2" t="s">
        <v>18</v>
      </c>
      <c r="E366" s="5">
        <v>-30424</v>
      </c>
      <c r="F366" s="3" t="s">
        <v>142</v>
      </c>
      <c r="G366" s="3" t="s">
        <v>175</v>
      </c>
      <c r="H366" s="2" t="s">
        <v>21</v>
      </c>
      <c r="I366" s="2" t="s">
        <v>1077</v>
      </c>
      <c r="J366" s="3" t="str">
        <f>HYPERLINK("https://www.boe.es/gazeta/dias/1816/09/12/pdfs/GMD-1816-113.pdf#page=11","Abrir facsímil")</f>
        <v>Abrir facsímil</v>
      </c>
      <c r="K366" s="3" t="s">
        <v>23</v>
      </c>
    </row>
    <row r="367" spans="1:11" ht="42" customHeight="1">
      <c r="A367" s="2" t="s">
        <v>1078</v>
      </c>
      <c r="B367" s="2" t="s">
        <v>1079</v>
      </c>
      <c r="C367" s="2" t="s">
        <v>34</v>
      </c>
      <c r="D367" s="2" t="s">
        <v>56</v>
      </c>
      <c r="E367" s="5">
        <v>-30393</v>
      </c>
      <c r="F367" s="3" t="s">
        <v>202</v>
      </c>
      <c r="G367" s="3" t="s">
        <v>42</v>
      </c>
      <c r="H367" s="2" t="s">
        <v>21</v>
      </c>
      <c r="I367" s="2" t="s">
        <v>1080</v>
      </c>
      <c r="J367" s="3" t="str">
        <f>HYPERLINK("https://www.boe.es/gazeta/dias/1816/10/13/pdfs/GMD-1816-128E.pdf#page=8","Abrir facsímil")</f>
        <v>Abrir facsímil</v>
      </c>
      <c r="K367" s="3" t="s">
        <v>23</v>
      </c>
    </row>
    <row r="368" spans="1:11" ht="42" customHeight="1">
      <c r="A368" s="2" t="s">
        <v>1081</v>
      </c>
      <c r="B368" s="2" t="s">
        <v>1082</v>
      </c>
      <c r="C368" s="2" t="s">
        <v>34</v>
      </c>
      <c r="D368" s="2" t="s">
        <v>35</v>
      </c>
      <c r="E368" s="5">
        <v>-30391</v>
      </c>
      <c r="F368" s="3" t="s">
        <v>482</v>
      </c>
      <c r="G368" s="3" t="s">
        <v>72</v>
      </c>
      <c r="H368" s="2" t="s">
        <v>21</v>
      </c>
      <c r="I368" s="2" t="s">
        <v>1083</v>
      </c>
      <c r="J368" s="3" t="str">
        <f>HYPERLINK("https://www.boe.es/gazeta/dias/1816/10/15/pdfs/GMD-1816-129.pdf#page=7","Abrir facsímil")</f>
        <v>Abrir facsímil</v>
      </c>
      <c r="K368" s="3" t="s">
        <v>23</v>
      </c>
    </row>
    <row r="369" spans="1:11" ht="42" customHeight="1">
      <c r="A369" s="2" t="s">
        <v>1084</v>
      </c>
      <c r="B369" s="2" t="s">
        <v>1085</v>
      </c>
      <c r="C369" s="2" t="s">
        <v>26</v>
      </c>
      <c r="D369" s="2" t="s">
        <v>18</v>
      </c>
      <c r="E369" s="5">
        <v>-30321</v>
      </c>
      <c r="F369" s="3" t="s">
        <v>1086</v>
      </c>
      <c r="G369" s="3" t="s">
        <v>103</v>
      </c>
      <c r="H369" s="2" t="s">
        <v>21</v>
      </c>
      <c r="I369" s="2" t="s">
        <v>1087</v>
      </c>
      <c r="J369" s="3" t="str">
        <f>HYPERLINK("https://www.boe.es/gazeta/dias/1816/12/24/pdfs/GMD-1816-159.pdf#page=4","Abrir facsímil")</f>
        <v>Abrir facsímil</v>
      </c>
      <c r="K369" s="3" t="s">
        <v>23</v>
      </c>
    </row>
    <row r="370" spans="1:11" ht="42" customHeight="1">
      <c r="A370" s="2" t="s">
        <v>1088</v>
      </c>
      <c r="B370" s="2" t="s">
        <v>1089</v>
      </c>
      <c r="C370" s="2" t="s">
        <v>26</v>
      </c>
      <c r="D370" s="2" t="s">
        <v>18</v>
      </c>
      <c r="E370" s="5">
        <v>-30445</v>
      </c>
      <c r="F370" s="3" t="s">
        <v>51</v>
      </c>
      <c r="G370" s="3" t="s">
        <v>47</v>
      </c>
      <c r="H370" s="2" t="s">
        <v>21</v>
      </c>
      <c r="I370" s="2" t="s">
        <v>1090</v>
      </c>
      <c r="J370" s="3" t="str">
        <f>HYPERLINK("https://www.boe.es/gazeta/dias/1816/08/22/pdfs/GMD-1816-104.pdf#page=5","Abrir facsímil")</f>
        <v>Abrir facsímil</v>
      </c>
      <c r="K370" s="3" t="s">
        <v>23</v>
      </c>
    </row>
    <row r="371" spans="1:11" ht="42" customHeight="1">
      <c r="A371" s="2" t="s">
        <v>1088</v>
      </c>
      <c r="B371" s="2" t="s">
        <v>1089</v>
      </c>
      <c r="C371" s="2" t="s">
        <v>26</v>
      </c>
      <c r="D371" s="2" t="s">
        <v>18</v>
      </c>
      <c r="E371" s="5">
        <v>-30354</v>
      </c>
      <c r="F371" s="3" t="s">
        <v>68</v>
      </c>
      <c r="G371" s="3" t="s">
        <v>72</v>
      </c>
      <c r="H371" s="2" t="s">
        <v>21</v>
      </c>
      <c r="I371" s="2" t="s">
        <v>1091</v>
      </c>
      <c r="J371" s="3" t="str">
        <f>HYPERLINK("https://www.boe.es/gazeta/dias/1816/11/21/pdfs/GMD-1816-145.pdf#page=7","Abrir facsímil")</f>
        <v>Abrir facsímil</v>
      </c>
      <c r="K371" s="3" t="s">
        <v>23</v>
      </c>
    </row>
    <row r="372" spans="1:11" ht="42" customHeight="1">
      <c r="A372" s="2" t="s">
        <v>1092</v>
      </c>
      <c r="B372" s="2" t="s">
        <v>1093</v>
      </c>
      <c r="C372" s="2" t="s">
        <v>41</v>
      </c>
      <c r="D372" s="2" t="s">
        <v>18</v>
      </c>
      <c r="E372" s="5">
        <v>-30590</v>
      </c>
      <c r="F372" s="3" t="s">
        <v>195</v>
      </c>
      <c r="G372" s="3" t="s">
        <v>28</v>
      </c>
      <c r="H372" s="2" t="s">
        <v>21</v>
      </c>
      <c r="I372" s="2" t="s">
        <v>1094</v>
      </c>
      <c r="J372" s="3" t="str">
        <f>HYPERLINK("https://www.boe.es/gazeta/dias/1816/03/30/pdfs/GMD-1816-42.pdf#page=6","Abrir facsímil")</f>
        <v>Abrir facsímil</v>
      </c>
      <c r="K372" s="3" t="s">
        <v>23</v>
      </c>
    </row>
    <row r="373" spans="1:11" ht="42" customHeight="1">
      <c r="A373" s="2" t="s">
        <v>1095</v>
      </c>
      <c r="B373" s="2" t="s">
        <v>1096</v>
      </c>
      <c r="C373" s="2" t="s">
        <v>41</v>
      </c>
      <c r="D373" s="2" t="s">
        <v>18</v>
      </c>
      <c r="E373" s="5">
        <v>-30578</v>
      </c>
      <c r="F373" s="3" t="s">
        <v>91</v>
      </c>
      <c r="G373" s="3" t="s">
        <v>72</v>
      </c>
      <c r="H373" s="2" t="s">
        <v>29</v>
      </c>
      <c r="I373" s="2" t="s">
        <v>1097</v>
      </c>
      <c r="J373" s="3" t="str">
        <f>HYPERLINK("https://www.boe.es/gazeta/dias/1816/04/11/pdfs/GMD-1816-47.pdf#page=7","Abrir facsímil")</f>
        <v>Abrir facsímil</v>
      </c>
      <c r="K373" s="3" t="s">
        <v>31</v>
      </c>
    </row>
    <row r="374" spans="1:11" ht="42" customHeight="1">
      <c r="A374" s="2" t="s">
        <v>1098</v>
      </c>
      <c r="B374" s="2" t="s">
        <v>1099</v>
      </c>
      <c r="C374" s="2" t="s">
        <v>67</v>
      </c>
      <c r="D374" s="2" t="s">
        <v>18</v>
      </c>
      <c r="E374" s="5">
        <v>-30321</v>
      </c>
      <c r="F374" s="3" t="s">
        <v>1086</v>
      </c>
      <c r="G374" s="3" t="s">
        <v>1100</v>
      </c>
      <c r="H374" s="2" t="s">
        <v>21</v>
      </c>
      <c r="I374" s="2" t="s">
        <v>1101</v>
      </c>
      <c r="J374" s="3" t="str">
        <f>HYPERLINK("https://www.boe.es/gazeta/dias/1816/12/24/pdfs/GMD-1816-159.pdf#page=8","Abrir facsímil")</f>
        <v>Abrir facsímil</v>
      </c>
      <c r="K374" s="3" t="s">
        <v>23</v>
      </c>
    </row>
    <row r="375" spans="1:11" ht="42" customHeight="1">
      <c r="A375" s="2" t="s">
        <v>1102</v>
      </c>
      <c r="B375" s="2" t="s">
        <v>1103</v>
      </c>
      <c r="C375" s="2" t="s">
        <v>111</v>
      </c>
      <c r="D375" s="2" t="s">
        <v>112</v>
      </c>
      <c r="E375" s="5">
        <v>-30634</v>
      </c>
      <c r="F375" s="3" t="s">
        <v>1104</v>
      </c>
      <c r="G375" s="3" t="s">
        <v>28</v>
      </c>
      <c r="H375" s="2" t="s">
        <v>21</v>
      </c>
      <c r="I375" s="2" t="s">
        <v>1105</v>
      </c>
      <c r="J375" s="3" t="str">
        <f>HYPERLINK("https://www.boe.es/gazeta/dias/1816/02/15/pdfs/GMD-1816-21.pdf#page=6","Abrir facsímil")</f>
        <v>Abrir facsímil</v>
      </c>
      <c r="K375" s="3" t="s">
        <v>23</v>
      </c>
    </row>
    <row r="376" spans="1:11" ht="42" customHeight="1">
      <c r="A376" s="2" t="s">
        <v>1106</v>
      </c>
      <c r="B376" s="2" t="s">
        <v>1107</v>
      </c>
      <c r="C376" s="2" t="s">
        <v>26</v>
      </c>
      <c r="D376" s="2" t="s">
        <v>18</v>
      </c>
      <c r="E376" s="5">
        <v>-30412</v>
      </c>
      <c r="F376" s="3" t="s">
        <v>388</v>
      </c>
      <c r="G376" s="3" t="s">
        <v>72</v>
      </c>
      <c r="H376" s="2" t="s">
        <v>21</v>
      </c>
      <c r="I376" s="2" t="s">
        <v>1108</v>
      </c>
      <c r="J376" s="3" t="str">
        <f>HYPERLINK("https://www.boe.es/gazeta/dias/1816/09/24/pdfs/GMD-1816-118.pdf#page=7","Abrir facsímil")</f>
        <v>Abrir facsímil</v>
      </c>
      <c r="K376" s="3" t="s">
        <v>23</v>
      </c>
    </row>
    <row r="377" spans="1:11" ht="42" customHeight="1">
      <c r="A377" s="2" t="s">
        <v>1109</v>
      </c>
      <c r="B377" s="2" t="s">
        <v>1110</v>
      </c>
      <c r="C377" s="2" t="s">
        <v>111</v>
      </c>
      <c r="D377" s="2" t="s">
        <v>112</v>
      </c>
      <c r="E377" s="5">
        <v>-30335</v>
      </c>
      <c r="F377" s="3" t="s">
        <v>468</v>
      </c>
      <c r="G377" s="3" t="s">
        <v>103</v>
      </c>
      <c r="H377" s="2" t="s">
        <v>21</v>
      </c>
      <c r="I377" s="2" t="s">
        <v>1111</v>
      </c>
      <c r="J377" s="3" t="str">
        <f>HYPERLINK("https://www.boe.es/gazeta/dias/1816/12/10/pdfs/GMD-1816-153.pdf#page=4","Abrir facsímil")</f>
        <v>Abrir facsímil</v>
      </c>
      <c r="K377" s="3" t="s">
        <v>23</v>
      </c>
    </row>
    <row r="378" spans="1:11" ht="42" customHeight="1">
      <c r="A378" s="2" t="s">
        <v>1112</v>
      </c>
      <c r="B378" s="2" t="s">
        <v>1113</v>
      </c>
      <c r="C378" s="2" t="s">
        <v>34</v>
      </c>
      <c r="D378" s="2" t="s">
        <v>35</v>
      </c>
      <c r="E378" s="5">
        <v>-30331</v>
      </c>
      <c r="F378" s="3" t="s">
        <v>315</v>
      </c>
      <c r="G378" s="3" t="s">
        <v>47</v>
      </c>
      <c r="H378" s="2" t="s">
        <v>21</v>
      </c>
      <c r="I378" s="2" t="s">
        <v>1114</v>
      </c>
      <c r="J378" s="3" t="str">
        <f>HYPERLINK("https://www.boe.es/gazeta/dias/1816/12/14/pdfs/GMD-1816-155.pdf#page=5","Abrir facsímil")</f>
        <v>Abrir facsímil</v>
      </c>
      <c r="K378" s="3" t="s">
        <v>23</v>
      </c>
    </row>
    <row r="379" spans="1:11" ht="42" customHeight="1">
      <c r="A379" s="2" t="s">
        <v>1115</v>
      </c>
      <c r="B379" s="2" t="s">
        <v>1116</v>
      </c>
      <c r="C379" s="2" t="s">
        <v>111</v>
      </c>
      <c r="D379" s="2" t="s">
        <v>112</v>
      </c>
      <c r="E379" s="5">
        <v>-30559</v>
      </c>
      <c r="F379" s="3" t="s">
        <v>165</v>
      </c>
      <c r="G379" s="3" t="s">
        <v>42</v>
      </c>
      <c r="H379" s="2" t="s">
        <v>21</v>
      </c>
      <c r="I379" s="2" t="s">
        <v>1117</v>
      </c>
      <c r="J379" s="3" t="str">
        <f>HYPERLINK("https://www.boe.es/gazeta/dias/1816/04/30/pdfs/GMD-1816-55.pdf#page=8","Abrir facsímil")</f>
        <v>Abrir facsímil</v>
      </c>
      <c r="K379" s="3" t="s">
        <v>23</v>
      </c>
    </row>
    <row r="380" spans="1:11" ht="42" customHeight="1">
      <c r="A380" s="2" t="s">
        <v>1118</v>
      </c>
      <c r="B380" s="2" t="s">
        <v>1119</v>
      </c>
      <c r="C380" s="2" t="s">
        <v>111</v>
      </c>
      <c r="D380" s="2" t="s">
        <v>112</v>
      </c>
      <c r="E380" s="5">
        <v>-30489</v>
      </c>
      <c r="F380" s="3" t="s">
        <v>1120</v>
      </c>
      <c r="G380" s="3" t="s">
        <v>42</v>
      </c>
      <c r="H380" s="2" t="s">
        <v>21</v>
      </c>
      <c r="I380" s="2" t="s">
        <v>1121</v>
      </c>
      <c r="J380" s="3" t="str">
        <f>HYPERLINK("https://www.boe.es/gazeta/dias/1816/07/09/pdfs/GMD-1816-85.pdf#page=8","Abrir facsímil")</f>
        <v>Abrir facsímil</v>
      </c>
      <c r="K380" s="3" t="s">
        <v>23</v>
      </c>
    </row>
    <row r="381" spans="1:11" ht="42" customHeight="1">
      <c r="A381" s="2" t="s">
        <v>1118</v>
      </c>
      <c r="B381" s="2" t="s">
        <v>1119</v>
      </c>
      <c r="C381" s="2" t="s">
        <v>111</v>
      </c>
      <c r="D381" s="2" t="s">
        <v>112</v>
      </c>
      <c r="E381" s="5">
        <v>-30473</v>
      </c>
      <c r="F381" s="3" t="s">
        <v>336</v>
      </c>
      <c r="G381" s="3" t="s">
        <v>562</v>
      </c>
      <c r="H381" s="2" t="s">
        <v>21</v>
      </c>
      <c r="I381" s="2" t="s">
        <v>1122</v>
      </c>
      <c r="J381" s="3" t="str">
        <f>HYPERLINK("https://www.boe.es/gazeta/dias/1816/07/25/pdfs/GMD-1816-92.pdf#page=16","Abrir facsímil")</f>
        <v>Abrir facsímil</v>
      </c>
      <c r="K381" s="3" t="s">
        <v>23</v>
      </c>
    </row>
    <row r="382" spans="1:11" ht="42" customHeight="1">
      <c r="A382" s="2" t="s">
        <v>1118</v>
      </c>
      <c r="B382" s="2" t="s">
        <v>1119</v>
      </c>
      <c r="C382" s="2" t="s">
        <v>111</v>
      </c>
      <c r="D382" s="2" t="s">
        <v>112</v>
      </c>
      <c r="E382" s="5">
        <v>-30445</v>
      </c>
      <c r="F382" s="3" t="s">
        <v>51</v>
      </c>
      <c r="G382" s="3" t="s">
        <v>52</v>
      </c>
      <c r="H382" s="2" t="s">
        <v>21</v>
      </c>
      <c r="I382" s="2" t="s">
        <v>1123</v>
      </c>
      <c r="J382" s="3" t="str">
        <f>HYPERLINK("https://www.boe.es/gazeta/dias/1816/08/22/pdfs/GMD-1816-104.pdf#page=12","Abrir facsímil")</f>
        <v>Abrir facsímil</v>
      </c>
      <c r="K382" s="3" t="s">
        <v>23</v>
      </c>
    </row>
    <row r="383" spans="1:11" ht="42" customHeight="1">
      <c r="A383" s="2" t="s">
        <v>1118</v>
      </c>
      <c r="B383" s="2" t="s">
        <v>1119</v>
      </c>
      <c r="C383" s="2" t="s">
        <v>111</v>
      </c>
      <c r="D383" s="2" t="s">
        <v>112</v>
      </c>
      <c r="E383" s="5">
        <v>-30433</v>
      </c>
      <c r="F383" s="3" t="s">
        <v>954</v>
      </c>
      <c r="G383" s="3" t="s">
        <v>1124</v>
      </c>
      <c r="H383" s="2" t="s">
        <v>21</v>
      </c>
      <c r="I383" s="2" t="s">
        <v>1125</v>
      </c>
      <c r="J383" s="3" t="str">
        <f>HYPERLINK("https://www.boe.es/gazeta/dias/1816/09/03/pdfs/GMD-1816-109.pdf#page=8","Abrir facsímil")</f>
        <v>Abrir facsímil</v>
      </c>
      <c r="K383" s="3" t="s">
        <v>23</v>
      </c>
    </row>
    <row r="384" spans="1:11" ht="42" customHeight="1">
      <c r="A384" s="2" t="s">
        <v>1118</v>
      </c>
      <c r="B384" s="2" t="s">
        <v>1119</v>
      </c>
      <c r="C384" s="2" t="s">
        <v>111</v>
      </c>
      <c r="D384" s="2" t="s">
        <v>112</v>
      </c>
      <c r="E384" s="5">
        <v>-30382</v>
      </c>
      <c r="F384" s="3" t="s">
        <v>326</v>
      </c>
      <c r="G384" s="3" t="s">
        <v>42</v>
      </c>
      <c r="H384" s="2" t="s">
        <v>21</v>
      </c>
      <c r="I384" s="2" t="s">
        <v>1126</v>
      </c>
      <c r="J384" s="3" t="str">
        <f>HYPERLINK("https://www.boe.es/gazeta/dias/1816/10/24/pdfs/GMD-1816-133.pdf#page=8","Abrir facsímil")</f>
        <v>Abrir facsímil</v>
      </c>
      <c r="K384" s="3" t="s">
        <v>23</v>
      </c>
    </row>
    <row r="385" spans="1:11" ht="42" customHeight="1">
      <c r="A385" s="2" t="s">
        <v>1127</v>
      </c>
      <c r="B385" s="2" t="s">
        <v>1128</v>
      </c>
      <c r="C385" s="2" t="s">
        <v>34</v>
      </c>
      <c r="D385" s="2" t="s">
        <v>35</v>
      </c>
      <c r="E385" s="5">
        <v>-30513</v>
      </c>
      <c r="F385" s="3" t="s">
        <v>582</v>
      </c>
      <c r="G385" s="3" t="s">
        <v>1129</v>
      </c>
      <c r="H385" s="2" t="s">
        <v>21</v>
      </c>
      <c r="I385" s="2" t="s">
        <v>1130</v>
      </c>
      <c r="J385" s="3" t="str">
        <f>HYPERLINK("https://www.boe.es/gazeta/dias/1816/06/15/pdfs/GMD-1816-75.pdf#page=4","Abrir facsímil")</f>
        <v>Abrir facsímil</v>
      </c>
      <c r="K385" s="3" t="s">
        <v>23</v>
      </c>
    </row>
    <row r="386" spans="1:11" ht="42" customHeight="1">
      <c r="A386" s="2" t="s">
        <v>1131</v>
      </c>
      <c r="B386" s="2" t="s">
        <v>1132</v>
      </c>
      <c r="C386" s="2" t="s">
        <v>67</v>
      </c>
      <c r="D386" s="2" t="s">
        <v>18</v>
      </c>
      <c r="E386" s="5">
        <v>-30450</v>
      </c>
      <c r="F386" s="3" t="s">
        <v>349</v>
      </c>
      <c r="G386" s="3" t="s">
        <v>28</v>
      </c>
      <c r="H386" s="2" t="s">
        <v>21</v>
      </c>
      <c r="I386" s="2" t="s">
        <v>1133</v>
      </c>
      <c r="J386" s="3" t="str">
        <f>HYPERLINK("https://www.boe.es/gazeta/dias/1816/08/17/pdfs/GMD-1816-102.pdf#page=6","Abrir facsímil")</f>
        <v>Abrir facsímil</v>
      </c>
      <c r="K386" s="3" t="s">
        <v>23</v>
      </c>
    </row>
    <row r="387" spans="1:11" ht="42" customHeight="1">
      <c r="A387" s="2" t="s">
        <v>1134</v>
      </c>
      <c r="B387" s="2" t="s">
        <v>1135</v>
      </c>
      <c r="C387" s="2" t="s">
        <v>26</v>
      </c>
      <c r="D387" s="2" t="s">
        <v>56</v>
      </c>
      <c r="E387" s="5">
        <v>-30393</v>
      </c>
      <c r="F387" s="3" t="s">
        <v>202</v>
      </c>
      <c r="G387" s="3" t="s">
        <v>834</v>
      </c>
      <c r="H387" s="2" t="s">
        <v>21</v>
      </c>
      <c r="I387" s="2" t="s">
        <v>1136</v>
      </c>
      <c r="J387" s="3" t="str">
        <f>HYPERLINK("https://www.boe.es/gazeta/dias/1816/10/13/pdfs/GMD-1816-128E.pdf#page=6","Abrir facsímil")</f>
        <v>Abrir facsímil</v>
      </c>
      <c r="K387" s="3" t="s">
        <v>23</v>
      </c>
    </row>
    <row r="388" spans="1:11" ht="42" customHeight="1">
      <c r="A388" s="2" t="s">
        <v>1137</v>
      </c>
      <c r="B388" s="2" t="s">
        <v>1137</v>
      </c>
      <c r="C388" s="2" t="s">
        <v>34</v>
      </c>
      <c r="D388" s="2" t="s">
        <v>35</v>
      </c>
      <c r="E388" s="5">
        <v>-30639</v>
      </c>
      <c r="F388" s="3" t="s">
        <v>87</v>
      </c>
      <c r="G388" s="3" t="s">
        <v>72</v>
      </c>
      <c r="H388" s="2" t="s">
        <v>21</v>
      </c>
      <c r="I388" s="2" t="s">
        <v>1138</v>
      </c>
      <c r="J388" s="3" t="str">
        <f>HYPERLINK("https://www.boe.es/gazeta/dias/1816/02/10/pdfs/GMD-1816-19.pdf#page=7","Abrir facsímil")</f>
        <v>Abrir facsímil</v>
      </c>
      <c r="K388" s="3" t="s">
        <v>23</v>
      </c>
    </row>
    <row r="389" spans="1:11" ht="42" customHeight="1">
      <c r="A389" s="2" t="s">
        <v>1139</v>
      </c>
      <c r="B389" s="2" t="s">
        <v>1140</v>
      </c>
      <c r="C389" s="2" t="s">
        <v>111</v>
      </c>
      <c r="D389" s="2" t="s">
        <v>112</v>
      </c>
      <c r="E389" s="5">
        <v>-30450</v>
      </c>
      <c r="F389" s="3" t="s">
        <v>349</v>
      </c>
      <c r="G389" s="3" t="s">
        <v>42</v>
      </c>
      <c r="H389" s="2" t="s">
        <v>29</v>
      </c>
      <c r="I389" s="2" t="s">
        <v>1141</v>
      </c>
      <c r="J389" s="3" t="str">
        <f>HYPERLINK("https://www.boe.es/gazeta/dias/1816/08/17/pdfs/GMD-1816-102.pdf#page=8","Abrir facsímil")</f>
        <v>Abrir facsímil</v>
      </c>
      <c r="K389" s="3" t="s">
        <v>31</v>
      </c>
    </row>
    <row r="390" spans="1:11" ht="42" customHeight="1">
      <c r="A390" s="2" t="s">
        <v>1142</v>
      </c>
      <c r="B390" s="2" t="s">
        <v>1143</v>
      </c>
      <c r="C390" s="2" t="s">
        <v>111</v>
      </c>
      <c r="D390" s="2" t="s">
        <v>112</v>
      </c>
      <c r="E390" s="5">
        <v>-30450</v>
      </c>
      <c r="F390" s="3" t="s">
        <v>349</v>
      </c>
      <c r="G390" s="3" t="s">
        <v>28</v>
      </c>
      <c r="H390" s="2" t="s">
        <v>21</v>
      </c>
      <c r="I390" s="2" t="s">
        <v>1144</v>
      </c>
      <c r="J390" s="3" t="str">
        <f>HYPERLINK("https://www.boe.es/gazeta/dias/1816/08/17/pdfs/GMD-1816-102.pdf#page=6","Abrir facsímil")</f>
        <v>Abrir facsímil</v>
      </c>
      <c r="K390" s="3" t="s">
        <v>23</v>
      </c>
    </row>
    <row r="391" spans="1:11" ht="42" customHeight="1">
      <c r="A391" s="2" t="s">
        <v>1145</v>
      </c>
      <c r="B391" s="2" t="s">
        <v>1146</v>
      </c>
      <c r="C391" s="2" t="s">
        <v>41</v>
      </c>
      <c r="D391" s="2" t="s">
        <v>18</v>
      </c>
      <c r="E391" s="5">
        <v>-30571</v>
      </c>
      <c r="F391" s="3" t="s">
        <v>738</v>
      </c>
      <c r="G391" s="3" t="s">
        <v>42</v>
      </c>
      <c r="H391" s="2" t="s">
        <v>21</v>
      </c>
      <c r="I391" s="2" t="s">
        <v>1147</v>
      </c>
      <c r="J391" s="3" t="str">
        <f>HYPERLINK("https://www.boe.es/gazeta/dias/1816/04/18/pdfs/GMD-1816-50.pdf#page=8","Abrir facsímil")</f>
        <v>Abrir facsímil</v>
      </c>
      <c r="K391" s="3" t="s">
        <v>23</v>
      </c>
    </row>
    <row r="392" spans="1:11" ht="42" customHeight="1">
      <c r="A392" s="2" t="s">
        <v>1148</v>
      </c>
      <c r="B392" s="2" t="s">
        <v>1149</v>
      </c>
      <c r="C392" s="2" t="s">
        <v>41</v>
      </c>
      <c r="D392" s="2" t="s">
        <v>18</v>
      </c>
      <c r="E392" s="5">
        <v>-30494</v>
      </c>
      <c r="F392" s="3" t="s">
        <v>174</v>
      </c>
      <c r="G392" s="3" t="s">
        <v>175</v>
      </c>
      <c r="H392" s="2" t="s">
        <v>21</v>
      </c>
      <c r="I392" s="2" t="s">
        <v>1150</v>
      </c>
      <c r="J392" s="3" t="str">
        <f>HYPERLINK("https://www.boe.es/gazeta/dias/1816/07/04/pdfs/GMD-1816-83.pdf#page=11","Abrir facsímil")</f>
        <v>Abrir facsímil</v>
      </c>
      <c r="K392" s="3" t="s">
        <v>23</v>
      </c>
    </row>
    <row r="393" spans="1:11" ht="42" customHeight="1">
      <c r="A393" s="2" t="s">
        <v>1151</v>
      </c>
      <c r="B393" s="2" t="s">
        <v>1152</v>
      </c>
      <c r="C393" s="2" t="s">
        <v>26</v>
      </c>
      <c r="D393" s="2" t="s">
        <v>18</v>
      </c>
      <c r="E393" s="5">
        <v>-30391</v>
      </c>
      <c r="F393" s="3" t="s">
        <v>482</v>
      </c>
      <c r="G393" s="3" t="s">
        <v>72</v>
      </c>
      <c r="H393" s="2" t="s">
        <v>21</v>
      </c>
      <c r="I393" s="2" t="s">
        <v>1153</v>
      </c>
      <c r="J393" s="3" t="str">
        <f>HYPERLINK("https://www.boe.es/gazeta/dias/1816/10/15/pdfs/GMD-1816-129.pdf#page=7","Abrir facsímil")</f>
        <v>Abrir facsímil</v>
      </c>
      <c r="K393" s="3" t="s">
        <v>23</v>
      </c>
    </row>
    <row r="394" spans="1:11" ht="42" customHeight="1">
      <c r="A394" s="2" t="s">
        <v>1154</v>
      </c>
      <c r="B394" s="2" t="s">
        <v>1155</v>
      </c>
      <c r="C394" s="2" t="s">
        <v>34</v>
      </c>
      <c r="D394" s="2" t="s">
        <v>35</v>
      </c>
      <c r="E394" s="5">
        <v>-30415</v>
      </c>
      <c r="F394" s="3" t="s">
        <v>585</v>
      </c>
      <c r="G394" s="3" t="s">
        <v>1156</v>
      </c>
      <c r="H394" s="2" t="s">
        <v>21</v>
      </c>
      <c r="I394" s="2" t="s">
        <v>1157</v>
      </c>
      <c r="J394" s="3" t="str">
        <f>HYPERLINK("https://www.boe.es/gazeta/dias/1816/09/21/pdfs/GMD-1816-117.pdf#page=7","Abrir facsímil")</f>
        <v>Abrir facsímil</v>
      </c>
      <c r="K394" s="3" t="s">
        <v>23</v>
      </c>
    </row>
    <row r="395" spans="1:11" ht="42" customHeight="1">
      <c r="A395" s="2" t="s">
        <v>1158</v>
      </c>
      <c r="B395" s="2" t="s">
        <v>1159</v>
      </c>
      <c r="C395" s="2" t="s">
        <v>67</v>
      </c>
      <c r="D395" s="2" t="s">
        <v>18</v>
      </c>
      <c r="E395" s="5">
        <v>-30473</v>
      </c>
      <c r="F395" s="3" t="s">
        <v>336</v>
      </c>
      <c r="G395" s="3" t="s">
        <v>562</v>
      </c>
      <c r="H395" s="2" t="s">
        <v>29</v>
      </c>
      <c r="I395" s="2" t="s">
        <v>1160</v>
      </c>
      <c r="J395" s="3" t="str">
        <f>HYPERLINK("https://www.boe.es/gazeta/dias/1816/07/25/pdfs/GMD-1816-92.pdf#page=16","Abrir facsímil")</f>
        <v>Abrir facsímil</v>
      </c>
      <c r="K395" s="3" t="s">
        <v>31</v>
      </c>
    </row>
    <row r="396" spans="1:11" ht="42" customHeight="1">
      <c r="A396" s="2" t="s">
        <v>1161</v>
      </c>
      <c r="B396" s="2" t="s">
        <v>1162</v>
      </c>
      <c r="C396" s="2" t="s">
        <v>26</v>
      </c>
      <c r="D396" s="2" t="s">
        <v>56</v>
      </c>
      <c r="E396" s="5">
        <v>-30399</v>
      </c>
      <c r="F396" s="3" t="s">
        <v>57</v>
      </c>
      <c r="G396" s="3" t="s">
        <v>180</v>
      </c>
      <c r="H396" s="2" t="s">
        <v>21</v>
      </c>
      <c r="I396" s="2" t="s">
        <v>1163</v>
      </c>
      <c r="J396" s="3" t="str">
        <f>HYPERLINK("https://www.boe.es/gazeta/dias/1816/10/07/pdfs/GMD-1816-124E.pdf#page=10","Abrir facsímil")</f>
        <v>Abrir facsímil</v>
      </c>
      <c r="K396" s="3" t="s">
        <v>23</v>
      </c>
    </row>
    <row r="397" spans="1:11" ht="42" customHeight="1">
      <c r="A397" s="2" t="s">
        <v>1164</v>
      </c>
      <c r="B397" s="2" t="s">
        <v>1165</v>
      </c>
      <c r="C397" s="2" t="s">
        <v>34</v>
      </c>
      <c r="D397" s="2" t="s">
        <v>35</v>
      </c>
      <c r="E397" s="5">
        <v>-30391</v>
      </c>
      <c r="F397" s="3" t="s">
        <v>482</v>
      </c>
      <c r="G397" s="3" t="s">
        <v>28</v>
      </c>
      <c r="H397" s="2" t="s">
        <v>21</v>
      </c>
      <c r="I397" s="2" t="s">
        <v>1166</v>
      </c>
      <c r="J397" s="3" t="str">
        <f>HYPERLINK("https://www.boe.es/gazeta/dias/1816/10/15/pdfs/GMD-1816-129.pdf#page=6","Abrir facsímil")</f>
        <v>Abrir facsímil</v>
      </c>
      <c r="K397" s="3" t="s">
        <v>23</v>
      </c>
    </row>
    <row r="398" spans="1:11" ht="42" customHeight="1">
      <c r="A398" s="2" t="s">
        <v>1164</v>
      </c>
      <c r="B398" s="2" t="s">
        <v>1165</v>
      </c>
      <c r="C398" s="2" t="s">
        <v>34</v>
      </c>
      <c r="D398" s="2" t="s">
        <v>35</v>
      </c>
      <c r="E398" s="5">
        <v>-30391</v>
      </c>
      <c r="F398" s="3" t="s">
        <v>482</v>
      </c>
      <c r="G398" s="3" t="s">
        <v>72</v>
      </c>
      <c r="H398" s="2" t="s">
        <v>21</v>
      </c>
      <c r="I398" s="2" t="s">
        <v>1167</v>
      </c>
      <c r="J398" s="3" t="str">
        <f>HYPERLINK("https://www.boe.es/gazeta/dias/1816/10/15/pdfs/GMD-1816-129.pdf#page=7","Abrir facsímil")</f>
        <v>Abrir facsímil</v>
      </c>
      <c r="K398" s="3" t="s">
        <v>23</v>
      </c>
    </row>
    <row r="399" spans="1:11" ht="42" customHeight="1">
      <c r="A399" s="2" t="s">
        <v>1168</v>
      </c>
      <c r="B399" s="2" t="s">
        <v>1169</v>
      </c>
      <c r="C399" s="2" t="s">
        <v>34</v>
      </c>
      <c r="D399" s="2" t="s">
        <v>35</v>
      </c>
      <c r="E399" s="5">
        <v>-30650</v>
      </c>
      <c r="F399" s="3" t="s">
        <v>1170</v>
      </c>
      <c r="G399" s="3" t="s">
        <v>42</v>
      </c>
      <c r="H399" s="2" t="s">
        <v>21</v>
      </c>
      <c r="I399" s="2" t="s">
        <v>1171</v>
      </c>
      <c r="J399" s="3" t="str">
        <f>HYPERLINK("https://www.boe.es/gazeta/dias/1816/01/30/pdfs/GMD-1816-14.pdf#page=8","Abrir facsímil")</f>
        <v>Abrir facsímil</v>
      </c>
      <c r="K399" s="3" t="s">
        <v>23</v>
      </c>
    </row>
    <row r="400" spans="1:11" ht="42" customHeight="1">
      <c r="A400" s="2" t="s">
        <v>1172</v>
      </c>
      <c r="B400" s="2" t="s">
        <v>1172</v>
      </c>
      <c r="C400" s="2" t="s">
        <v>26</v>
      </c>
      <c r="D400" s="2" t="s">
        <v>18</v>
      </c>
      <c r="E400" s="5">
        <v>-30389</v>
      </c>
      <c r="F400" s="3" t="s">
        <v>522</v>
      </c>
      <c r="G400" s="3" t="s">
        <v>184</v>
      </c>
      <c r="H400" s="2" t="s">
        <v>21</v>
      </c>
      <c r="I400" s="2" t="s">
        <v>1173</v>
      </c>
      <c r="J400" s="3" t="str">
        <f>HYPERLINK("https://www.boe.es/gazeta/dias/1816/10/17/pdfs/GMD-1816-130.pdf#page=3","Abrir facsímil")</f>
        <v>Abrir facsímil</v>
      </c>
      <c r="K400" s="3" t="s">
        <v>23</v>
      </c>
    </row>
    <row r="401" spans="1:11" ht="42" customHeight="1">
      <c r="A401" s="2" t="s">
        <v>1174</v>
      </c>
      <c r="B401" s="2" t="s">
        <v>1174</v>
      </c>
      <c r="C401" s="2" t="s">
        <v>26</v>
      </c>
      <c r="D401" s="2" t="s">
        <v>18</v>
      </c>
      <c r="E401" s="5">
        <v>-30417</v>
      </c>
      <c r="F401" s="3" t="s">
        <v>62</v>
      </c>
      <c r="G401" s="3" t="s">
        <v>72</v>
      </c>
      <c r="H401" s="2" t="s">
        <v>21</v>
      </c>
      <c r="I401" s="2" t="s">
        <v>1175</v>
      </c>
      <c r="J401" s="3" t="str">
        <f>HYPERLINK("https://www.boe.es/gazeta/dias/1816/09/19/pdfs/GMD-1816-116.pdf#page=7","Abrir facsímil")</f>
        <v>Abrir facsímil</v>
      </c>
      <c r="K401" s="3" t="s">
        <v>23</v>
      </c>
    </row>
    <row r="402" spans="1:11" ht="42" customHeight="1">
      <c r="A402" s="2" t="s">
        <v>1176</v>
      </c>
      <c r="B402" s="2" t="s">
        <v>1177</v>
      </c>
      <c r="C402" s="2" t="s">
        <v>34</v>
      </c>
      <c r="D402" s="2" t="s">
        <v>35</v>
      </c>
      <c r="E402" s="5">
        <v>-30534</v>
      </c>
      <c r="F402" s="3" t="s">
        <v>274</v>
      </c>
      <c r="G402" s="3" t="s">
        <v>47</v>
      </c>
      <c r="H402" s="2" t="s">
        <v>21</v>
      </c>
      <c r="I402" s="2" t="s">
        <v>1178</v>
      </c>
      <c r="J402" s="3" t="str">
        <f>HYPERLINK("https://www.boe.es/gazeta/dias/1816/05/25/pdfs/GMD-1816-66.pdf#page=5","Abrir facsímil")</f>
        <v>Abrir facsímil</v>
      </c>
      <c r="K402" s="3" t="s">
        <v>23</v>
      </c>
    </row>
    <row r="403" spans="1:11" ht="42" customHeight="1">
      <c r="A403" s="2" t="s">
        <v>1179</v>
      </c>
      <c r="B403" s="2" t="s">
        <v>1180</v>
      </c>
      <c r="C403" s="2" t="s">
        <v>26</v>
      </c>
      <c r="D403" s="2" t="s">
        <v>18</v>
      </c>
      <c r="E403" s="5">
        <v>-30445</v>
      </c>
      <c r="F403" s="3" t="s">
        <v>51</v>
      </c>
      <c r="G403" s="3" t="s">
        <v>47</v>
      </c>
      <c r="H403" s="2" t="s">
        <v>21</v>
      </c>
      <c r="I403" s="2" t="s">
        <v>1181</v>
      </c>
      <c r="J403" s="3" t="str">
        <f>HYPERLINK("https://www.boe.es/gazeta/dias/1816/08/22/pdfs/GMD-1816-104.pdf#page=5","Abrir facsímil")</f>
        <v>Abrir facsímil</v>
      </c>
      <c r="K403" s="3" t="s">
        <v>23</v>
      </c>
    </row>
    <row r="404" spans="1:11" ht="42" customHeight="1">
      <c r="A404" s="2" t="s">
        <v>1179</v>
      </c>
      <c r="B404" s="2" t="s">
        <v>1180</v>
      </c>
      <c r="C404" s="2" t="s">
        <v>26</v>
      </c>
      <c r="D404" s="2" t="s">
        <v>18</v>
      </c>
      <c r="E404" s="5">
        <v>-30354</v>
      </c>
      <c r="F404" s="3" t="s">
        <v>68</v>
      </c>
      <c r="G404" s="3" t="s">
        <v>42</v>
      </c>
      <c r="H404" s="2" t="s">
        <v>21</v>
      </c>
      <c r="I404" s="2" t="s">
        <v>1182</v>
      </c>
      <c r="J404" s="3" t="str">
        <f>HYPERLINK("https://www.boe.es/gazeta/dias/1816/11/21/pdfs/GMD-1816-145.pdf#page=8","Abrir facsímil")</f>
        <v>Abrir facsímil</v>
      </c>
      <c r="K404" s="3" t="s">
        <v>23</v>
      </c>
    </row>
    <row r="405" spans="1:11" ht="42" customHeight="1">
      <c r="A405" s="2" t="s">
        <v>1183</v>
      </c>
      <c r="B405" s="2" t="s">
        <v>1184</v>
      </c>
      <c r="C405" s="2" t="s">
        <v>34</v>
      </c>
      <c r="D405" s="2" t="s">
        <v>35</v>
      </c>
      <c r="E405" s="5">
        <v>-30387</v>
      </c>
      <c r="F405" s="3" t="s">
        <v>224</v>
      </c>
      <c r="G405" s="3" t="s">
        <v>42</v>
      </c>
      <c r="H405" s="2" t="s">
        <v>21</v>
      </c>
      <c r="I405" s="2" t="s">
        <v>1185</v>
      </c>
      <c r="J405" s="3" t="str">
        <f>HYPERLINK("https://www.boe.es/gazeta/dias/1816/10/19/pdfs/GMD-1816-131.pdf#page=8","Abrir facsímil")</f>
        <v>Abrir facsímil</v>
      </c>
      <c r="K405" s="3" t="s">
        <v>23</v>
      </c>
    </row>
    <row r="406" spans="1:11" ht="42" customHeight="1">
      <c r="A406" s="2" t="s">
        <v>1186</v>
      </c>
      <c r="B406" s="2" t="s">
        <v>1187</v>
      </c>
      <c r="C406" s="2" t="s">
        <v>26</v>
      </c>
      <c r="D406" s="2" t="s">
        <v>18</v>
      </c>
      <c r="E406" s="5">
        <v>-30641</v>
      </c>
      <c r="F406" s="3" t="s">
        <v>192</v>
      </c>
      <c r="G406" s="3" t="s">
        <v>42</v>
      </c>
      <c r="H406" s="2" t="s">
        <v>21</v>
      </c>
      <c r="I406" s="2" t="s">
        <v>1188</v>
      </c>
      <c r="J406" s="3" t="str">
        <f>HYPERLINK("https://www.boe.es/gazeta/dias/1816/02/08/pdfs/GMD-1816-18.pdf#page=8","Abrir facsímil")</f>
        <v>Abrir facsímil</v>
      </c>
      <c r="K406" s="3" t="s">
        <v>23</v>
      </c>
    </row>
    <row r="407" spans="1:11" ht="42" customHeight="1">
      <c r="A407" s="2" t="s">
        <v>1189</v>
      </c>
      <c r="B407" s="2" t="s">
        <v>1190</v>
      </c>
      <c r="C407" s="2" t="s">
        <v>67</v>
      </c>
      <c r="D407" s="2" t="s">
        <v>18</v>
      </c>
      <c r="E407" s="5">
        <v>-30674</v>
      </c>
      <c r="F407" s="3" t="s">
        <v>19</v>
      </c>
      <c r="G407" s="3" t="s">
        <v>20</v>
      </c>
      <c r="H407" s="2" t="s">
        <v>21</v>
      </c>
      <c r="I407" s="2" t="s">
        <v>1191</v>
      </c>
      <c r="J407" s="3" t="str">
        <f>HYPERLINK("https://www.boe.es/gazeta/dias/1816/01/06/pdfs/GMD-1816-3.pdf#page=8","Abrir facsímil")</f>
        <v>Abrir facsímil</v>
      </c>
      <c r="K407" s="3" t="s">
        <v>23</v>
      </c>
    </row>
    <row r="408" spans="1:11" ht="42" customHeight="1">
      <c r="A408" s="2" t="s">
        <v>1192</v>
      </c>
      <c r="B408" s="2" t="s">
        <v>1193</v>
      </c>
      <c r="C408" s="2" t="s">
        <v>34</v>
      </c>
      <c r="D408" s="2" t="s">
        <v>35</v>
      </c>
      <c r="E408" s="5">
        <v>-30384</v>
      </c>
      <c r="F408" s="3" t="s">
        <v>460</v>
      </c>
      <c r="G408" s="3" t="s">
        <v>28</v>
      </c>
      <c r="H408" s="2" t="s">
        <v>21</v>
      </c>
      <c r="I408" s="2" t="s">
        <v>1194</v>
      </c>
      <c r="J408" s="3" t="str">
        <f>HYPERLINK("https://www.boe.es/gazeta/dias/1816/10/22/pdfs/GMD-1816-132.pdf#page=6","Abrir facsímil")</f>
        <v>Abrir facsímil</v>
      </c>
      <c r="K408" s="3" t="s">
        <v>23</v>
      </c>
    </row>
    <row r="409" spans="1:11" ht="42" customHeight="1">
      <c r="A409" s="2" t="s">
        <v>1195</v>
      </c>
      <c r="B409" s="2" t="s">
        <v>1196</v>
      </c>
      <c r="C409" s="2" t="s">
        <v>111</v>
      </c>
      <c r="D409" s="2" t="s">
        <v>112</v>
      </c>
      <c r="E409" s="5">
        <v>-30578</v>
      </c>
      <c r="F409" s="3" t="s">
        <v>91</v>
      </c>
      <c r="G409" s="3" t="s">
        <v>72</v>
      </c>
      <c r="H409" s="2" t="s">
        <v>21</v>
      </c>
      <c r="I409" s="2" t="s">
        <v>1197</v>
      </c>
      <c r="J409" s="3" t="str">
        <f>HYPERLINK("https://www.boe.es/gazeta/dias/1816/04/11/pdfs/GMD-1816-47.pdf#page=7","Abrir facsímil")</f>
        <v>Abrir facsímil</v>
      </c>
      <c r="K409" s="3" t="s">
        <v>23</v>
      </c>
    </row>
    <row r="410" spans="1:11" ht="42" customHeight="1">
      <c r="A410" s="2" t="s">
        <v>1198</v>
      </c>
      <c r="B410" s="2" t="s">
        <v>1199</v>
      </c>
      <c r="C410" s="2" t="s">
        <v>34</v>
      </c>
      <c r="D410" s="2" t="s">
        <v>56</v>
      </c>
      <c r="E410" s="5">
        <v>-30622</v>
      </c>
      <c r="F410" s="3" t="s">
        <v>907</v>
      </c>
      <c r="G410" s="3" t="s">
        <v>184</v>
      </c>
      <c r="H410" s="2" t="s">
        <v>21</v>
      </c>
      <c r="I410" s="2" t="s">
        <v>1200</v>
      </c>
      <c r="J410" s="3" t="str">
        <f>HYPERLINK("https://www.boe.es/gazeta/dias/1816/02/27/pdfs/GMD-1816-27E.pdf#page=3","Abrir facsímil")</f>
        <v>Abrir facsímil</v>
      </c>
      <c r="K410" s="3" t="s">
        <v>23</v>
      </c>
    </row>
    <row r="411" spans="1:11" ht="42" customHeight="1">
      <c r="A411" s="2" t="s">
        <v>1201</v>
      </c>
      <c r="B411" s="2" t="s">
        <v>1202</v>
      </c>
      <c r="C411" s="2" t="s">
        <v>17</v>
      </c>
      <c r="D411" s="2" t="s">
        <v>18</v>
      </c>
      <c r="E411" s="5">
        <v>-30639</v>
      </c>
      <c r="F411" s="3" t="s">
        <v>87</v>
      </c>
      <c r="G411" s="3" t="s">
        <v>42</v>
      </c>
      <c r="H411" s="2" t="s">
        <v>21</v>
      </c>
      <c r="I411" s="2" t="s">
        <v>1203</v>
      </c>
      <c r="J411" s="3" t="str">
        <f>HYPERLINK("https://www.boe.es/gazeta/dias/1816/02/10/pdfs/GMD-1816-19.pdf#page=8","Abrir facsímil")</f>
        <v>Abrir facsímil</v>
      </c>
      <c r="K411" s="3" t="s">
        <v>23</v>
      </c>
    </row>
    <row r="412" spans="1:11" ht="42" customHeight="1">
      <c r="A412" s="2" t="s">
        <v>1204</v>
      </c>
      <c r="B412" s="2" t="s">
        <v>1205</v>
      </c>
      <c r="C412" s="2" t="s">
        <v>34</v>
      </c>
      <c r="D412" s="2" t="s">
        <v>35</v>
      </c>
      <c r="E412" s="5">
        <v>-30480</v>
      </c>
      <c r="F412" s="3" t="s">
        <v>147</v>
      </c>
      <c r="G412" s="3" t="s">
        <v>42</v>
      </c>
      <c r="H412" s="2" t="s">
        <v>21</v>
      </c>
      <c r="I412" s="2" t="s">
        <v>1206</v>
      </c>
      <c r="J412" s="3" t="str">
        <f>HYPERLINK("https://www.boe.es/gazeta/dias/1816/07/18/pdfs/GMD-1816-89.pdf#page=8","Abrir facsímil")</f>
        <v>Abrir facsímil</v>
      </c>
      <c r="K412" s="3" t="s">
        <v>23</v>
      </c>
    </row>
    <row r="413" spans="1:11" ht="42" customHeight="1">
      <c r="A413" s="2" t="s">
        <v>1207</v>
      </c>
      <c r="B413" s="2" t="s">
        <v>1208</v>
      </c>
      <c r="C413" s="2" t="s">
        <v>26</v>
      </c>
      <c r="D413" s="2" t="s">
        <v>18</v>
      </c>
      <c r="E413" s="5">
        <v>-30524</v>
      </c>
      <c r="F413" s="3" t="s">
        <v>98</v>
      </c>
      <c r="G413" s="3" t="s">
        <v>1209</v>
      </c>
      <c r="H413" s="2" t="s">
        <v>21</v>
      </c>
      <c r="I413" s="2" t="s">
        <v>1210</v>
      </c>
      <c r="J413" s="3" t="str">
        <f>HYPERLINK("https://www.boe.es/gazeta/dias/1816/06/04/pdfs/GMD-1816-70.pdf#page=8","Abrir facsímil")</f>
        <v>Abrir facsímil</v>
      </c>
      <c r="K413" s="3" t="s">
        <v>23</v>
      </c>
    </row>
    <row r="414" spans="1:11" ht="42" customHeight="1">
      <c r="A414" s="2" t="s">
        <v>1211</v>
      </c>
      <c r="B414" s="2" t="s">
        <v>1212</v>
      </c>
      <c r="C414" s="2" t="s">
        <v>67</v>
      </c>
      <c r="D414" s="2" t="s">
        <v>18</v>
      </c>
      <c r="E414" s="5">
        <v>-30534</v>
      </c>
      <c r="F414" s="3" t="s">
        <v>274</v>
      </c>
      <c r="G414" s="3" t="s">
        <v>42</v>
      </c>
      <c r="H414" s="2" t="s">
        <v>21</v>
      </c>
      <c r="I414" s="2" t="s">
        <v>1213</v>
      </c>
      <c r="J414" s="3" t="str">
        <f>HYPERLINK("https://www.boe.es/gazeta/dias/1816/05/25/pdfs/GMD-1816-66.pdf#page=8","Abrir facsímil")</f>
        <v>Abrir facsímil</v>
      </c>
      <c r="K414" s="3" t="s">
        <v>23</v>
      </c>
    </row>
    <row r="415" spans="1:11" ht="42" customHeight="1">
      <c r="A415" s="2" t="s">
        <v>1211</v>
      </c>
      <c r="B415" s="2" t="s">
        <v>1212</v>
      </c>
      <c r="C415" s="2" t="s">
        <v>26</v>
      </c>
      <c r="D415" s="2" t="s">
        <v>18</v>
      </c>
      <c r="E415" s="5">
        <v>-30398</v>
      </c>
      <c r="F415" s="3" t="s">
        <v>447</v>
      </c>
      <c r="G415" s="3" t="s">
        <v>42</v>
      </c>
      <c r="H415" s="2" t="s">
        <v>21</v>
      </c>
      <c r="I415" s="2" t="s">
        <v>1214</v>
      </c>
      <c r="J415" s="3" t="str">
        <f>HYPERLINK("https://www.boe.es/gazeta/dias/1816/10/08/pdfs/GMD-1816-125.pdf#page=8","Abrir facsímil")</f>
        <v>Abrir facsímil</v>
      </c>
      <c r="K415" s="3" t="s">
        <v>23</v>
      </c>
    </row>
    <row r="416" spans="1:11" ht="42" customHeight="1">
      <c r="A416" s="2" t="s">
        <v>1215</v>
      </c>
      <c r="B416" s="2" t="s">
        <v>1216</v>
      </c>
      <c r="C416" s="2" t="s">
        <v>26</v>
      </c>
      <c r="D416" s="2" t="s">
        <v>18</v>
      </c>
      <c r="E416" s="5">
        <v>-30382</v>
      </c>
      <c r="F416" s="3" t="s">
        <v>326</v>
      </c>
      <c r="G416" s="3" t="s">
        <v>42</v>
      </c>
      <c r="H416" s="2" t="s">
        <v>21</v>
      </c>
      <c r="I416" s="2" t="s">
        <v>1217</v>
      </c>
      <c r="J416" s="3" t="str">
        <f>HYPERLINK("https://www.boe.es/gazeta/dias/1816/10/24/pdfs/GMD-1816-133.pdf#page=8","Abrir facsímil")</f>
        <v>Abrir facsímil</v>
      </c>
      <c r="K416" s="3" t="s">
        <v>23</v>
      </c>
    </row>
    <row r="417" spans="1:11" ht="42" customHeight="1">
      <c r="A417" s="2" t="s">
        <v>1218</v>
      </c>
      <c r="B417" s="2" t="s">
        <v>1219</v>
      </c>
      <c r="C417" s="2" t="s">
        <v>34</v>
      </c>
      <c r="D417" s="2" t="s">
        <v>35</v>
      </c>
      <c r="E417" s="5">
        <v>-30389</v>
      </c>
      <c r="F417" s="3" t="s">
        <v>522</v>
      </c>
      <c r="G417" s="3" t="s">
        <v>28</v>
      </c>
      <c r="H417" s="2" t="s">
        <v>21</v>
      </c>
      <c r="I417" s="2" t="s">
        <v>1220</v>
      </c>
      <c r="J417" s="3" t="str">
        <f>HYPERLINK("https://www.boe.es/gazeta/dias/1816/10/17/pdfs/GMD-1816-130.pdf#page=6","Abrir facsímil")</f>
        <v>Abrir facsímil</v>
      </c>
      <c r="K417" s="3" t="s">
        <v>23</v>
      </c>
    </row>
    <row r="418" spans="1:11" ht="42" customHeight="1">
      <c r="A418" s="2" t="s">
        <v>1221</v>
      </c>
      <c r="B418" s="2" t="s">
        <v>1222</v>
      </c>
      <c r="C418" s="2" t="s">
        <v>387</v>
      </c>
      <c r="D418" s="2" t="s">
        <v>18</v>
      </c>
      <c r="E418" s="5">
        <v>-30475</v>
      </c>
      <c r="F418" s="3" t="s">
        <v>319</v>
      </c>
      <c r="G418" s="3" t="s">
        <v>47</v>
      </c>
      <c r="H418" s="2" t="s">
        <v>21</v>
      </c>
      <c r="I418" s="2" t="s">
        <v>1223</v>
      </c>
      <c r="J418" s="3" t="str">
        <f>HYPERLINK("https://www.boe.es/gazeta/dias/1816/07/23/pdfs/GMD-1816-91.pdf#page=5","Abrir facsímil")</f>
        <v>Abrir facsímil</v>
      </c>
      <c r="K418" s="3" t="s">
        <v>23</v>
      </c>
    </row>
    <row r="419" spans="1:11" ht="42" customHeight="1">
      <c r="A419" s="2" t="s">
        <v>1224</v>
      </c>
      <c r="B419" s="2" t="s">
        <v>1225</v>
      </c>
      <c r="C419" s="2" t="s">
        <v>67</v>
      </c>
      <c r="D419" s="2" t="s">
        <v>18</v>
      </c>
      <c r="E419" s="5">
        <v>-30655</v>
      </c>
      <c r="F419" s="3" t="s">
        <v>170</v>
      </c>
      <c r="G419" s="3" t="s">
        <v>47</v>
      </c>
      <c r="H419" s="2" t="s">
        <v>21</v>
      </c>
      <c r="I419" s="2" t="s">
        <v>1226</v>
      </c>
      <c r="J419" s="3" t="str">
        <f>HYPERLINK("https://www.boe.es/gazeta/dias/1816/01/25/pdfs/GMD-1816-11.pdf#page=5","Abrir facsímil")</f>
        <v>Abrir facsímil</v>
      </c>
      <c r="K419" s="3" t="s">
        <v>23</v>
      </c>
    </row>
    <row r="420" spans="1:11" ht="42" customHeight="1">
      <c r="A420" s="2" t="s">
        <v>1227</v>
      </c>
      <c r="B420" s="2" t="s">
        <v>1228</v>
      </c>
      <c r="C420" s="2" t="s">
        <v>111</v>
      </c>
      <c r="D420" s="2" t="s">
        <v>112</v>
      </c>
      <c r="E420" s="5">
        <v>-30384</v>
      </c>
      <c r="F420" s="3" t="s">
        <v>460</v>
      </c>
      <c r="G420" s="3" t="s">
        <v>47</v>
      </c>
      <c r="H420" s="2" t="s">
        <v>21</v>
      </c>
      <c r="I420" s="2" t="s">
        <v>1229</v>
      </c>
      <c r="J420" s="3" t="str">
        <f>HYPERLINK("https://www.boe.es/gazeta/dias/1816/10/22/pdfs/GMD-1816-132.pdf#page=5","Abrir facsímil")</f>
        <v>Abrir facsímil</v>
      </c>
      <c r="K420" s="3" t="s">
        <v>23</v>
      </c>
    </row>
    <row r="421" spans="1:11" ht="42" customHeight="1">
      <c r="A421" s="2" t="s">
        <v>1230</v>
      </c>
      <c r="B421" s="2" t="s">
        <v>1231</v>
      </c>
      <c r="C421" s="2" t="s">
        <v>26</v>
      </c>
      <c r="D421" s="2" t="s">
        <v>18</v>
      </c>
      <c r="E421" s="5">
        <v>-30632</v>
      </c>
      <c r="F421" s="3" t="s">
        <v>89</v>
      </c>
      <c r="G421" s="3" t="s">
        <v>103</v>
      </c>
      <c r="H421" s="2" t="s">
        <v>21</v>
      </c>
      <c r="I421" s="2" t="s">
        <v>1232</v>
      </c>
      <c r="J421" s="3" t="str">
        <f>HYPERLINK("https://www.boe.es/gazeta/dias/1816/02/17/pdfs/GMD-1816-22.pdf#page=4","Abrir facsímil")</f>
        <v>Abrir facsímil</v>
      </c>
      <c r="K421" s="3" t="s">
        <v>23</v>
      </c>
    </row>
    <row r="422" spans="1:11" ht="42" customHeight="1">
      <c r="A422" s="2" t="s">
        <v>1230</v>
      </c>
      <c r="B422" s="2" t="s">
        <v>1231</v>
      </c>
      <c r="C422" s="2" t="s">
        <v>387</v>
      </c>
      <c r="D422" s="2" t="s">
        <v>56</v>
      </c>
      <c r="E422" s="5">
        <v>-30622</v>
      </c>
      <c r="F422" s="3" t="s">
        <v>907</v>
      </c>
      <c r="G422" s="3" t="s">
        <v>270</v>
      </c>
      <c r="H422" s="2" t="s">
        <v>21</v>
      </c>
      <c r="I422" s="2" t="s">
        <v>1233</v>
      </c>
      <c r="J422" s="3" t="str">
        <f>HYPERLINK("https://www.boe.es/gazeta/dias/1816/02/27/pdfs/GMD-1816-27E.pdf#page=2","Abrir facsímil")</f>
        <v>Abrir facsímil</v>
      </c>
      <c r="K422" s="3" t="s">
        <v>23</v>
      </c>
    </row>
    <row r="423" spans="1:11" ht="42" customHeight="1">
      <c r="A423" s="2" t="s">
        <v>1230</v>
      </c>
      <c r="B423" s="2" t="s">
        <v>1231</v>
      </c>
      <c r="C423" s="2" t="s">
        <v>34</v>
      </c>
      <c r="D423" s="2" t="s">
        <v>35</v>
      </c>
      <c r="E423" s="5">
        <v>-30590</v>
      </c>
      <c r="F423" s="3" t="s">
        <v>195</v>
      </c>
      <c r="G423" s="3" t="s">
        <v>103</v>
      </c>
      <c r="H423" s="2" t="s">
        <v>21</v>
      </c>
      <c r="I423" s="2" t="s">
        <v>1234</v>
      </c>
      <c r="J423" s="3" t="str">
        <f>HYPERLINK("https://www.boe.es/gazeta/dias/1816/03/30/pdfs/GMD-1816-42.pdf#page=4","Abrir facsímil")</f>
        <v>Abrir facsímil</v>
      </c>
      <c r="K423" s="3" t="s">
        <v>23</v>
      </c>
    </row>
    <row r="424" spans="1:11" ht="42" customHeight="1">
      <c r="A424" s="2" t="s">
        <v>1230</v>
      </c>
      <c r="B424" s="2" t="s">
        <v>1231</v>
      </c>
      <c r="C424" s="2" t="s">
        <v>67</v>
      </c>
      <c r="D424" s="2" t="s">
        <v>18</v>
      </c>
      <c r="E424" s="5">
        <v>-30590</v>
      </c>
      <c r="F424" s="3" t="s">
        <v>195</v>
      </c>
      <c r="G424" s="3" t="s">
        <v>47</v>
      </c>
      <c r="H424" s="2" t="s">
        <v>21</v>
      </c>
      <c r="I424" s="2" t="s">
        <v>1235</v>
      </c>
      <c r="J424" s="3" t="str">
        <f>HYPERLINK("https://www.boe.es/gazeta/dias/1816/03/30/pdfs/GMD-1816-42.pdf#page=5","Abrir facsímil")</f>
        <v>Abrir facsímil</v>
      </c>
      <c r="K424" s="3" t="s">
        <v>23</v>
      </c>
    </row>
    <row r="425" spans="1:11" ht="42" customHeight="1">
      <c r="A425" s="2" t="s">
        <v>1230</v>
      </c>
      <c r="B425" s="2" t="s">
        <v>1231</v>
      </c>
      <c r="C425" s="2" t="s">
        <v>111</v>
      </c>
      <c r="D425" s="2" t="s">
        <v>112</v>
      </c>
      <c r="E425" s="5">
        <v>-30583</v>
      </c>
      <c r="F425" s="3" t="s">
        <v>241</v>
      </c>
      <c r="G425" s="3" t="s">
        <v>1236</v>
      </c>
      <c r="H425" s="2" t="s">
        <v>21</v>
      </c>
      <c r="I425" s="2" t="s">
        <v>1237</v>
      </c>
      <c r="J425" s="3" t="str">
        <f>HYPERLINK("https://www.boe.es/gazeta/dias/1816/04/06/pdfs/GMD-1816-45.pdf#page=6","Abrir facsímil")</f>
        <v>Abrir facsímil</v>
      </c>
      <c r="K425" s="3" t="s">
        <v>23</v>
      </c>
    </row>
    <row r="426" spans="1:11" ht="42" customHeight="1">
      <c r="A426" s="2" t="s">
        <v>1230</v>
      </c>
      <c r="B426" s="2" t="s">
        <v>1231</v>
      </c>
      <c r="C426" s="2" t="s">
        <v>67</v>
      </c>
      <c r="D426" s="2" t="s">
        <v>18</v>
      </c>
      <c r="E426" s="5">
        <v>-30580</v>
      </c>
      <c r="F426" s="3" t="s">
        <v>107</v>
      </c>
      <c r="G426" s="3" t="s">
        <v>47</v>
      </c>
      <c r="H426" s="2" t="s">
        <v>21</v>
      </c>
      <c r="I426" s="2" t="s">
        <v>1238</v>
      </c>
      <c r="J426" s="3" t="str">
        <f>HYPERLINK("https://www.boe.es/gazeta/dias/1816/04/09/pdfs/GMD-1816-46.pdf#page=5","Abrir facsímil")</f>
        <v>Abrir facsímil</v>
      </c>
      <c r="K426" s="3" t="s">
        <v>23</v>
      </c>
    </row>
    <row r="427" spans="1:11" ht="42" customHeight="1">
      <c r="A427" s="2" t="s">
        <v>1230</v>
      </c>
      <c r="B427" s="2" t="s">
        <v>1231</v>
      </c>
      <c r="C427" s="2" t="s">
        <v>26</v>
      </c>
      <c r="D427" s="2" t="s">
        <v>18</v>
      </c>
      <c r="E427" s="5">
        <v>-30578</v>
      </c>
      <c r="F427" s="3" t="s">
        <v>91</v>
      </c>
      <c r="G427" s="3" t="s">
        <v>1239</v>
      </c>
      <c r="H427" s="2" t="s">
        <v>21</v>
      </c>
      <c r="I427" s="2" t="s">
        <v>1240</v>
      </c>
      <c r="J427" s="3" t="str">
        <f>HYPERLINK("https://www.boe.es/gazeta/dias/1816/04/11/pdfs/GMD-1816-47.pdf#page=6","Abrir facsímil")</f>
        <v>Abrir facsímil</v>
      </c>
      <c r="K427" s="3" t="s">
        <v>23</v>
      </c>
    </row>
    <row r="428" spans="1:11" ht="42" customHeight="1">
      <c r="A428" s="2" t="s">
        <v>1230</v>
      </c>
      <c r="B428" s="2" t="s">
        <v>1231</v>
      </c>
      <c r="C428" s="2" t="s">
        <v>26</v>
      </c>
      <c r="D428" s="2" t="s">
        <v>18</v>
      </c>
      <c r="E428" s="5">
        <v>-30573</v>
      </c>
      <c r="F428" s="3" t="s">
        <v>840</v>
      </c>
      <c r="G428" s="3" t="s">
        <v>72</v>
      </c>
      <c r="H428" s="2" t="s">
        <v>21</v>
      </c>
      <c r="I428" s="2" t="s">
        <v>1241</v>
      </c>
      <c r="J428" s="3" t="str">
        <f>HYPERLINK("https://www.boe.es/gazeta/dias/1816/04/16/pdfs/GMD-1816-49.pdf#page=7","Abrir facsímil")</f>
        <v>Abrir facsímil</v>
      </c>
      <c r="K428" s="3" t="s">
        <v>23</v>
      </c>
    </row>
    <row r="429" spans="1:11" ht="42" customHeight="1">
      <c r="A429" s="2" t="s">
        <v>1230</v>
      </c>
      <c r="B429" s="2" t="s">
        <v>1231</v>
      </c>
      <c r="C429" s="2" t="s">
        <v>111</v>
      </c>
      <c r="D429" s="2" t="s">
        <v>112</v>
      </c>
      <c r="E429" s="5">
        <v>-30550</v>
      </c>
      <c r="F429" s="3" t="s">
        <v>435</v>
      </c>
      <c r="G429" s="3" t="s">
        <v>47</v>
      </c>
      <c r="H429" s="2" t="s">
        <v>21</v>
      </c>
      <c r="I429" s="2" t="s">
        <v>1242</v>
      </c>
      <c r="J429" s="3" t="str">
        <f>HYPERLINK("https://www.boe.es/gazeta/dias/1816/05/09/pdfs/GMD-1816-59.pdf#page=5","Abrir facsímil")</f>
        <v>Abrir facsímil</v>
      </c>
      <c r="K429" s="3" t="s">
        <v>23</v>
      </c>
    </row>
    <row r="430" spans="1:11" ht="42" customHeight="1">
      <c r="A430" s="2" t="s">
        <v>1230</v>
      </c>
      <c r="B430" s="2" t="s">
        <v>1231</v>
      </c>
      <c r="C430" s="2" t="s">
        <v>26</v>
      </c>
      <c r="D430" s="2" t="s">
        <v>18</v>
      </c>
      <c r="E430" s="5">
        <v>-30543</v>
      </c>
      <c r="F430" s="3" t="s">
        <v>94</v>
      </c>
      <c r="G430" s="3" t="s">
        <v>103</v>
      </c>
      <c r="H430" s="2" t="s">
        <v>21</v>
      </c>
      <c r="I430" s="2" t="s">
        <v>1243</v>
      </c>
      <c r="J430" s="3" t="str">
        <f>HYPERLINK("https://www.boe.es/gazeta/dias/1816/05/16/pdfs/GMD-1816-62.pdf#page=4","Abrir facsímil")</f>
        <v>Abrir facsímil</v>
      </c>
      <c r="K430" s="3" t="s">
        <v>23</v>
      </c>
    </row>
    <row r="431" spans="1:11" ht="42" customHeight="1">
      <c r="A431" s="2" t="s">
        <v>1230</v>
      </c>
      <c r="B431" s="2" t="s">
        <v>1231</v>
      </c>
      <c r="C431" s="2" t="s">
        <v>26</v>
      </c>
      <c r="D431" s="2" t="s">
        <v>18</v>
      </c>
      <c r="E431" s="5">
        <v>-30524</v>
      </c>
      <c r="F431" s="3" t="s">
        <v>98</v>
      </c>
      <c r="G431" s="3" t="s">
        <v>47</v>
      </c>
      <c r="H431" s="2" t="s">
        <v>21</v>
      </c>
      <c r="I431" s="2" t="s">
        <v>1244</v>
      </c>
      <c r="J431" s="3" t="str">
        <f>HYPERLINK("https://www.boe.es/gazeta/dias/1816/06/04/pdfs/GMD-1816-70.pdf#page=5","Abrir facsímil")</f>
        <v>Abrir facsímil</v>
      </c>
      <c r="K431" s="3" t="s">
        <v>23</v>
      </c>
    </row>
    <row r="432" spans="1:11" ht="42" customHeight="1">
      <c r="A432" s="2" t="s">
        <v>1230</v>
      </c>
      <c r="B432" s="2" t="s">
        <v>1231</v>
      </c>
      <c r="C432" s="2" t="s">
        <v>26</v>
      </c>
      <c r="D432" s="2" t="s">
        <v>18</v>
      </c>
      <c r="E432" s="5">
        <v>-30496</v>
      </c>
      <c r="F432" s="3" t="s">
        <v>290</v>
      </c>
      <c r="G432" s="3" t="s">
        <v>47</v>
      </c>
      <c r="H432" s="2" t="s">
        <v>21</v>
      </c>
      <c r="I432" s="2" t="s">
        <v>1245</v>
      </c>
      <c r="J432" s="3" t="str">
        <f>HYPERLINK("https://www.boe.es/gazeta/dias/1816/07/02/pdfs/GMD-1816-82.pdf#page=5","Abrir facsímil")</f>
        <v>Abrir facsímil</v>
      </c>
      <c r="K432" s="3" t="s">
        <v>23</v>
      </c>
    </row>
    <row r="433" spans="1:11" ht="42" customHeight="1">
      <c r="A433" s="2" t="s">
        <v>1230</v>
      </c>
      <c r="B433" s="2" t="s">
        <v>1231</v>
      </c>
      <c r="C433" s="2" t="s">
        <v>26</v>
      </c>
      <c r="D433" s="2" t="s">
        <v>18</v>
      </c>
      <c r="E433" s="5">
        <v>-30494</v>
      </c>
      <c r="F433" s="3" t="s">
        <v>174</v>
      </c>
      <c r="G433" s="3" t="s">
        <v>92</v>
      </c>
      <c r="H433" s="2" t="s">
        <v>21</v>
      </c>
      <c r="I433" s="2" t="s">
        <v>1246</v>
      </c>
      <c r="J433" s="3" t="str">
        <f>HYPERLINK("https://www.boe.es/gazeta/dias/1816/07/04/pdfs/GMD-1816-83.pdf#page=9","Abrir facsímil")</f>
        <v>Abrir facsímil</v>
      </c>
      <c r="K433" s="3" t="s">
        <v>23</v>
      </c>
    </row>
    <row r="434" spans="1:11" ht="42" customHeight="1">
      <c r="A434" s="2" t="s">
        <v>1230</v>
      </c>
      <c r="B434" s="2" t="s">
        <v>1231</v>
      </c>
      <c r="C434" s="2" t="s">
        <v>26</v>
      </c>
      <c r="D434" s="2" t="s">
        <v>18</v>
      </c>
      <c r="E434" s="5">
        <v>-30480</v>
      </c>
      <c r="F434" s="3" t="s">
        <v>147</v>
      </c>
      <c r="G434" s="3" t="s">
        <v>28</v>
      </c>
      <c r="H434" s="2" t="s">
        <v>21</v>
      </c>
      <c r="I434" s="2" t="s">
        <v>1247</v>
      </c>
      <c r="J434" s="3" t="str">
        <f>HYPERLINK("https://www.boe.es/gazeta/dias/1816/07/18/pdfs/GMD-1816-89.pdf#page=6","Abrir facsímil")</f>
        <v>Abrir facsímil</v>
      </c>
      <c r="K434" s="3" t="s">
        <v>23</v>
      </c>
    </row>
    <row r="435" spans="1:11" ht="42" customHeight="1">
      <c r="A435" s="2" t="s">
        <v>1248</v>
      </c>
      <c r="B435" s="2" t="s">
        <v>1249</v>
      </c>
      <c r="C435" s="2" t="s">
        <v>111</v>
      </c>
      <c r="D435" s="2" t="s">
        <v>112</v>
      </c>
      <c r="E435" s="5">
        <v>-30438</v>
      </c>
      <c r="F435" s="3" t="s">
        <v>299</v>
      </c>
      <c r="G435" s="3" t="s">
        <v>1250</v>
      </c>
      <c r="H435" s="2" t="s">
        <v>21</v>
      </c>
      <c r="I435" s="2" t="s">
        <v>1251</v>
      </c>
      <c r="J435" s="3" t="str">
        <f>HYPERLINK("https://www.boe.es/gazeta/dias/1816/08/29/pdfs/GMD-1816-107.pdf#page=6","Abrir facsímil")</f>
        <v>Abrir facsímil</v>
      </c>
      <c r="K435" s="3" t="s">
        <v>23</v>
      </c>
    </row>
    <row r="436" spans="1:11" ht="42" customHeight="1">
      <c r="A436" s="2" t="s">
        <v>1230</v>
      </c>
      <c r="B436" s="2" t="s">
        <v>1231</v>
      </c>
      <c r="C436" s="2" t="s">
        <v>387</v>
      </c>
      <c r="D436" s="2" t="s">
        <v>18</v>
      </c>
      <c r="E436" s="5">
        <v>-30438</v>
      </c>
      <c r="F436" s="3" t="s">
        <v>299</v>
      </c>
      <c r="G436" s="3" t="s">
        <v>72</v>
      </c>
      <c r="H436" s="2" t="s">
        <v>21</v>
      </c>
      <c r="I436" s="2" t="s">
        <v>1252</v>
      </c>
      <c r="J436" s="3" t="str">
        <f>HYPERLINK("https://www.boe.es/gazeta/dias/1816/08/29/pdfs/GMD-1816-107.pdf#page=7","Abrir facsímil")</f>
        <v>Abrir facsímil</v>
      </c>
      <c r="K436" s="3" t="s">
        <v>23</v>
      </c>
    </row>
    <row r="437" spans="1:11" ht="42" customHeight="1">
      <c r="A437" s="2" t="s">
        <v>1230</v>
      </c>
      <c r="B437" s="2" t="s">
        <v>1231</v>
      </c>
      <c r="C437" s="2" t="s">
        <v>26</v>
      </c>
      <c r="D437" s="2" t="s">
        <v>18</v>
      </c>
      <c r="E437" s="5">
        <v>-30431</v>
      </c>
      <c r="F437" s="3" t="s">
        <v>756</v>
      </c>
      <c r="G437" s="3" t="s">
        <v>47</v>
      </c>
      <c r="H437" s="2" t="s">
        <v>21</v>
      </c>
      <c r="I437" s="2" t="s">
        <v>1253</v>
      </c>
      <c r="J437" s="3" t="str">
        <f>HYPERLINK("https://www.boe.es/gazeta/dias/1816/09/05/pdfs/GMD-1816-110.pdf#page=5","Abrir facsímil")</f>
        <v>Abrir facsímil</v>
      </c>
      <c r="K437" s="3" t="s">
        <v>23</v>
      </c>
    </row>
    <row r="438" spans="1:11" ht="42" customHeight="1">
      <c r="A438" s="2" t="s">
        <v>1230</v>
      </c>
      <c r="B438" s="2" t="s">
        <v>1231</v>
      </c>
      <c r="C438" s="2" t="s">
        <v>34</v>
      </c>
      <c r="D438" s="2" t="s">
        <v>35</v>
      </c>
      <c r="E438" s="5">
        <v>-30424</v>
      </c>
      <c r="F438" s="3" t="s">
        <v>142</v>
      </c>
      <c r="G438" s="3" t="s">
        <v>42</v>
      </c>
      <c r="H438" s="2" t="s">
        <v>21</v>
      </c>
      <c r="I438" s="2" t="s">
        <v>1254</v>
      </c>
      <c r="J438" s="3" t="str">
        <f>HYPERLINK("https://www.boe.es/gazeta/dias/1816/09/12/pdfs/GMD-1816-113.pdf#page=8","Abrir facsímil")</f>
        <v>Abrir facsímil</v>
      </c>
      <c r="K438" s="3" t="s">
        <v>23</v>
      </c>
    </row>
    <row r="439" spans="1:11" ht="42" customHeight="1">
      <c r="A439" s="2" t="s">
        <v>1230</v>
      </c>
      <c r="B439" s="2" t="s">
        <v>1231</v>
      </c>
      <c r="C439" s="2" t="s">
        <v>26</v>
      </c>
      <c r="D439" s="2" t="s">
        <v>18</v>
      </c>
      <c r="E439" s="5">
        <v>-30422</v>
      </c>
      <c r="F439" s="3" t="s">
        <v>803</v>
      </c>
      <c r="G439" s="3" t="s">
        <v>47</v>
      </c>
      <c r="H439" s="2" t="s">
        <v>21</v>
      </c>
      <c r="I439" s="2" t="s">
        <v>1255</v>
      </c>
      <c r="J439" s="3" t="str">
        <f>HYPERLINK("https://www.boe.es/gazeta/dias/1816/09/14/pdfs/GMD-1816-114.pdf#page=5","Abrir facsímil")</f>
        <v>Abrir facsímil</v>
      </c>
      <c r="K439" s="3" t="s">
        <v>23</v>
      </c>
    </row>
    <row r="440" spans="1:11" ht="42" customHeight="1">
      <c r="A440" s="2" t="s">
        <v>1230</v>
      </c>
      <c r="B440" s="2" t="s">
        <v>1231</v>
      </c>
      <c r="C440" s="2" t="s">
        <v>26</v>
      </c>
      <c r="D440" s="2" t="s">
        <v>18</v>
      </c>
      <c r="E440" s="5">
        <v>-30419</v>
      </c>
      <c r="F440" s="3" t="s">
        <v>1256</v>
      </c>
      <c r="G440" s="3" t="s">
        <v>103</v>
      </c>
      <c r="H440" s="2" t="s">
        <v>21</v>
      </c>
      <c r="I440" s="2" t="s">
        <v>1257</v>
      </c>
      <c r="J440" s="3" t="str">
        <f>HYPERLINK("https://www.boe.es/gazeta/dias/1816/09/17/pdfs/GMD-1816-115.pdf#page=4","Abrir facsímil")</f>
        <v>Abrir facsímil</v>
      </c>
      <c r="K440" s="3" t="s">
        <v>23</v>
      </c>
    </row>
    <row r="441" spans="1:11" ht="42" customHeight="1">
      <c r="A441" s="2" t="s">
        <v>1230</v>
      </c>
      <c r="B441" s="2" t="s">
        <v>1231</v>
      </c>
      <c r="C441" s="2" t="s">
        <v>26</v>
      </c>
      <c r="D441" s="2" t="s">
        <v>18</v>
      </c>
      <c r="E441" s="5">
        <v>-30417</v>
      </c>
      <c r="F441" s="3" t="s">
        <v>62</v>
      </c>
      <c r="G441" s="3" t="s">
        <v>47</v>
      </c>
      <c r="H441" s="2" t="s">
        <v>21</v>
      </c>
      <c r="I441" s="2" t="s">
        <v>1258</v>
      </c>
      <c r="J441" s="3" t="str">
        <f>HYPERLINK("https://www.boe.es/gazeta/dias/1816/09/19/pdfs/GMD-1816-116.pdf#page=5","Abrir facsímil")</f>
        <v>Abrir facsímil</v>
      </c>
      <c r="K441" s="3" t="s">
        <v>23</v>
      </c>
    </row>
    <row r="442" spans="1:11" ht="42" customHeight="1">
      <c r="A442" s="2" t="s">
        <v>1230</v>
      </c>
      <c r="B442" s="2" t="s">
        <v>1231</v>
      </c>
      <c r="C442" s="2" t="s">
        <v>111</v>
      </c>
      <c r="D442" s="2" t="s">
        <v>112</v>
      </c>
      <c r="E442" s="5">
        <v>-30410</v>
      </c>
      <c r="F442" s="3" t="s">
        <v>1259</v>
      </c>
      <c r="G442" s="3" t="s">
        <v>1260</v>
      </c>
      <c r="H442" s="2" t="s">
        <v>21</v>
      </c>
      <c r="I442" s="2" t="s">
        <v>1261</v>
      </c>
      <c r="J442" s="3" t="str">
        <f>HYPERLINK("https://www.boe.es/gazeta/dias/1816/09/26/pdfs/GMD-1816-119.pdf#page=7","Abrir facsímil")</f>
        <v>Abrir facsímil</v>
      </c>
      <c r="K442" s="3" t="s">
        <v>23</v>
      </c>
    </row>
    <row r="443" spans="1:11" ht="42" customHeight="1">
      <c r="A443" s="2" t="s">
        <v>1248</v>
      </c>
      <c r="B443" s="2" t="s">
        <v>1249</v>
      </c>
      <c r="C443" s="2" t="s">
        <v>34</v>
      </c>
      <c r="D443" s="2" t="s">
        <v>35</v>
      </c>
      <c r="E443" s="5">
        <v>-30408</v>
      </c>
      <c r="F443" s="3" t="s">
        <v>295</v>
      </c>
      <c r="G443" s="3" t="s">
        <v>184</v>
      </c>
      <c r="H443" s="2" t="s">
        <v>21</v>
      </c>
      <c r="I443" s="2" t="s">
        <v>1262</v>
      </c>
      <c r="J443" s="3" t="str">
        <f>HYPERLINK("https://www.boe.es/gazeta/dias/1816/09/28/pdfs/GMD-1816-120.pdf#page=3","Abrir facsímil")</f>
        <v>Abrir facsímil</v>
      </c>
      <c r="K443" s="3" t="s">
        <v>23</v>
      </c>
    </row>
    <row r="444" spans="1:11" ht="42" customHeight="1">
      <c r="A444" s="2" t="s">
        <v>1230</v>
      </c>
      <c r="B444" s="2" t="s">
        <v>1231</v>
      </c>
      <c r="C444" s="2" t="s">
        <v>67</v>
      </c>
      <c r="D444" s="2" t="s">
        <v>18</v>
      </c>
      <c r="E444" s="5">
        <v>-30408</v>
      </c>
      <c r="F444" s="3" t="s">
        <v>295</v>
      </c>
      <c r="G444" s="3" t="s">
        <v>103</v>
      </c>
      <c r="H444" s="2" t="s">
        <v>21</v>
      </c>
      <c r="I444" s="2" t="s">
        <v>1263</v>
      </c>
      <c r="J444" s="3" t="str">
        <f>HYPERLINK("https://www.boe.es/gazeta/dias/1816/09/28/pdfs/GMD-1816-120.pdf#page=4","Abrir facsímil")</f>
        <v>Abrir facsímil</v>
      </c>
      <c r="K444" s="3" t="s">
        <v>23</v>
      </c>
    </row>
    <row r="445" spans="1:11" ht="42" customHeight="1">
      <c r="A445" s="2" t="s">
        <v>1230</v>
      </c>
      <c r="B445" s="2" t="s">
        <v>1231</v>
      </c>
      <c r="C445" s="2" t="s">
        <v>26</v>
      </c>
      <c r="D445" s="2" t="s">
        <v>18</v>
      </c>
      <c r="E445" s="5">
        <v>-30403</v>
      </c>
      <c r="F445" s="3" t="s">
        <v>1264</v>
      </c>
      <c r="G445" s="3" t="s">
        <v>28</v>
      </c>
      <c r="H445" s="2" t="s">
        <v>21</v>
      </c>
      <c r="I445" s="2" t="s">
        <v>1265</v>
      </c>
      <c r="J445" s="3" t="str">
        <f>HYPERLINK("https://www.boe.es/gazeta/dias/1816/10/03/pdfs/GMD-1816-122.pdf#page=6","Abrir facsímil")</f>
        <v>Abrir facsímil</v>
      </c>
      <c r="K445" s="3" t="s">
        <v>23</v>
      </c>
    </row>
    <row r="446" spans="1:11" ht="42" customHeight="1">
      <c r="A446" s="2" t="s">
        <v>1230</v>
      </c>
      <c r="B446" s="2" t="s">
        <v>1231</v>
      </c>
      <c r="C446" s="2" t="s">
        <v>26</v>
      </c>
      <c r="D446" s="2" t="s">
        <v>18</v>
      </c>
      <c r="E446" s="5">
        <v>-30401</v>
      </c>
      <c r="F446" s="3" t="s">
        <v>652</v>
      </c>
      <c r="G446" s="3" t="s">
        <v>28</v>
      </c>
      <c r="H446" s="2" t="s">
        <v>21</v>
      </c>
      <c r="I446" s="2" t="s">
        <v>1266</v>
      </c>
      <c r="J446" s="3" t="str">
        <f>HYPERLINK("https://www.boe.es/gazeta/dias/1816/10/05/pdfs/GMD-1816-123.pdf#page=6","Abrir facsímil")</f>
        <v>Abrir facsímil</v>
      </c>
      <c r="K446" s="3" t="s">
        <v>23</v>
      </c>
    </row>
    <row r="447" spans="1:11" ht="42" customHeight="1">
      <c r="A447" s="2" t="s">
        <v>1230</v>
      </c>
      <c r="B447" s="2" t="s">
        <v>1231</v>
      </c>
      <c r="C447" s="2" t="s">
        <v>26</v>
      </c>
      <c r="D447" s="2" t="s">
        <v>18</v>
      </c>
      <c r="E447" s="5">
        <v>-30401</v>
      </c>
      <c r="F447" s="3" t="s">
        <v>652</v>
      </c>
      <c r="G447" s="3" t="s">
        <v>72</v>
      </c>
      <c r="H447" s="2" t="s">
        <v>21</v>
      </c>
      <c r="I447" s="2" t="s">
        <v>1267</v>
      </c>
      <c r="J447" s="3" t="str">
        <f>HYPERLINK("https://www.boe.es/gazeta/dias/1816/10/05/pdfs/GMD-1816-123.pdf#page=7","Abrir facsímil")</f>
        <v>Abrir facsímil</v>
      </c>
      <c r="K447" s="3" t="s">
        <v>23</v>
      </c>
    </row>
    <row r="448" spans="1:11" ht="42" customHeight="1">
      <c r="A448" s="2" t="s">
        <v>1230</v>
      </c>
      <c r="B448" s="2" t="s">
        <v>1231</v>
      </c>
      <c r="C448" s="2" t="s">
        <v>34</v>
      </c>
      <c r="D448" s="2" t="s">
        <v>56</v>
      </c>
      <c r="E448" s="5">
        <v>-30399</v>
      </c>
      <c r="F448" s="3" t="s">
        <v>57</v>
      </c>
      <c r="G448" s="3" t="s">
        <v>72</v>
      </c>
      <c r="H448" s="2" t="s">
        <v>21</v>
      </c>
      <c r="I448" s="2" t="s">
        <v>1268</v>
      </c>
      <c r="J448" s="3" t="str">
        <f>HYPERLINK("https://www.boe.es/gazeta/dias/1816/10/07/pdfs/GMD-1816-124E.pdf#page=7","Abrir facsímil")</f>
        <v>Abrir facsímil</v>
      </c>
      <c r="K448" s="3" t="s">
        <v>23</v>
      </c>
    </row>
    <row r="449" spans="1:11" ht="42" customHeight="1">
      <c r="A449" s="2" t="s">
        <v>1269</v>
      </c>
      <c r="B449" s="2" t="s">
        <v>1270</v>
      </c>
      <c r="C449" s="2" t="s">
        <v>26</v>
      </c>
      <c r="D449" s="2" t="s">
        <v>56</v>
      </c>
      <c r="E449" s="5">
        <v>-30393</v>
      </c>
      <c r="F449" s="3" t="s">
        <v>202</v>
      </c>
      <c r="G449" s="3" t="s">
        <v>58</v>
      </c>
      <c r="H449" s="2" t="s">
        <v>21</v>
      </c>
      <c r="I449" s="2" t="s">
        <v>1271</v>
      </c>
      <c r="J449" s="3" t="str">
        <f>HYPERLINK("https://www.boe.es/gazeta/dias/1816/10/13/pdfs/GMD-1816-128E.pdf#page=1","Abrir facsímil")</f>
        <v>Abrir facsímil</v>
      </c>
      <c r="K449" s="3" t="s">
        <v>23</v>
      </c>
    </row>
    <row r="450" spans="1:11" ht="42" customHeight="1">
      <c r="A450" s="2" t="s">
        <v>1230</v>
      </c>
      <c r="B450" s="2" t="s">
        <v>1231</v>
      </c>
      <c r="C450" s="2" t="s">
        <v>26</v>
      </c>
      <c r="D450" s="2" t="s">
        <v>18</v>
      </c>
      <c r="E450" s="5">
        <v>-30391</v>
      </c>
      <c r="F450" s="3" t="s">
        <v>482</v>
      </c>
      <c r="G450" s="3" t="s">
        <v>47</v>
      </c>
      <c r="H450" s="2" t="s">
        <v>21</v>
      </c>
      <c r="I450" s="2" t="s">
        <v>1272</v>
      </c>
      <c r="J450" s="3" t="str">
        <f>HYPERLINK("https://www.boe.es/gazeta/dias/1816/10/15/pdfs/GMD-1816-129.pdf#page=5","Abrir facsímil")</f>
        <v>Abrir facsímil</v>
      </c>
      <c r="K450" s="3" t="s">
        <v>23</v>
      </c>
    </row>
    <row r="451" spans="1:11" ht="42" customHeight="1">
      <c r="A451" s="2" t="s">
        <v>1230</v>
      </c>
      <c r="B451" s="2" t="s">
        <v>1231</v>
      </c>
      <c r="C451" s="2" t="s">
        <v>26</v>
      </c>
      <c r="D451" s="2" t="s">
        <v>18</v>
      </c>
      <c r="E451" s="5">
        <v>-30389</v>
      </c>
      <c r="F451" s="3" t="s">
        <v>522</v>
      </c>
      <c r="G451" s="3" t="s">
        <v>1273</v>
      </c>
      <c r="H451" s="2" t="s">
        <v>21</v>
      </c>
      <c r="I451" s="2" t="s">
        <v>1274</v>
      </c>
      <c r="J451" s="3" t="str">
        <f>HYPERLINK("https://www.boe.es/gazeta/dias/1816/10/17/pdfs/GMD-1816-130.pdf#page=4","Abrir facsímil")</f>
        <v>Abrir facsímil</v>
      </c>
      <c r="K451" s="3" t="s">
        <v>23</v>
      </c>
    </row>
    <row r="452" spans="1:11" ht="42" customHeight="1">
      <c r="A452" s="2" t="s">
        <v>1230</v>
      </c>
      <c r="B452" s="2" t="s">
        <v>1231</v>
      </c>
      <c r="C452" s="2" t="s">
        <v>387</v>
      </c>
      <c r="D452" s="2" t="s">
        <v>18</v>
      </c>
      <c r="E452" s="5">
        <v>-30377</v>
      </c>
      <c r="F452" s="3" t="s">
        <v>138</v>
      </c>
      <c r="G452" s="3" t="s">
        <v>103</v>
      </c>
      <c r="H452" s="2" t="s">
        <v>21</v>
      </c>
      <c r="I452" s="2" t="s">
        <v>1275</v>
      </c>
      <c r="J452" s="3" t="str">
        <f>HYPERLINK("https://www.boe.es/gazeta/dias/1816/10/29/pdfs/GMD-1816-135.pdf#page=4","Abrir facsímil")</f>
        <v>Abrir facsímil</v>
      </c>
      <c r="K452" s="3" t="s">
        <v>23</v>
      </c>
    </row>
    <row r="453" spans="1:11" ht="42" customHeight="1">
      <c r="A453" s="2" t="s">
        <v>1230</v>
      </c>
      <c r="B453" s="2" t="s">
        <v>1231</v>
      </c>
      <c r="C453" s="2" t="s">
        <v>26</v>
      </c>
      <c r="D453" s="2" t="s">
        <v>18</v>
      </c>
      <c r="E453" s="5">
        <v>-30375</v>
      </c>
      <c r="F453" s="3" t="s">
        <v>404</v>
      </c>
      <c r="G453" s="3" t="s">
        <v>1276</v>
      </c>
      <c r="H453" s="2" t="s">
        <v>21</v>
      </c>
      <c r="I453" s="2" t="s">
        <v>1277</v>
      </c>
      <c r="J453" s="3" t="str">
        <f>HYPERLINK("https://www.boe.es/gazeta/dias/1816/10/31/pdfs/GMD-1816-136.pdf#page=5","Abrir facsímil")</f>
        <v>Abrir facsímil</v>
      </c>
      <c r="K453" s="3" t="s">
        <v>23</v>
      </c>
    </row>
    <row r="454" spans="1:11" ht="42" customHeight="1">
      <c r="A454" s="2" t="s">
        <v>1230</v>
      </c>
      <c r="B454" s="2" t="s">
        <v>1231</v>
      </c>
      <c r="C454" s="2" t="s">
        <v>26</v>
      </c>
      <c r="D454" s="2" t="s">
        <v>18</v>
      </c>
      <c r="E454" s="5">
        <v>-30375</v>
      </c>
      <c r="F454" s="3" t="s">
        <v>404</v>
      </c>
      <c r="G454" s="3" t="s">
        <v>1278</v>
      </c>
      <c r="H454" s="2" t="s">
        <v>21</v>
      </c>
      <c r="I454" s="2" t="s">
        <v>1279</v>
      </c>
      <c r="J454" s="3" t="str">
        <f>HYPERLINK("https://www.boe.es/gazeta/dias/1816/10/31/pdfs/GMD-1816-136.pdf#page=7","Abrir facsímil")</f>
        <v>Abrir facsímil</v>
      </c>
      <c r="K454" s="3" t="s">
        <v>23</v>
      </c>
    </row>
    <row r="455" spans="1:11" ht="42" customHeight="1">
      <c r="A455" s="2" t="s">
        <v>1230</v>
      </c>
      <c r="B455" s="2" t="s">
        <v>1231</v>
      </c>
      <c r="C455" s="2" t="s">
        <v>26</v>
      </c>
      <c r="D455" s="2" t="s">
        <v>18</v>
      </c>
      <c r="E455" s="5">
        <v>-30373</v>
      </c>
      <c r="F455" s="3" t="s">
        <v>1280</v>
      </c>
      <c r="G455" s="3" t="s">
        <v>1281</v>
      </c>
      <c r="H455" s="2" t="s">
        <v>21</v>
      </c>
      <c r="I455" s="2" t="s">
        <v>1282</v>
      </c>
      <c r="J455" s="3" t="str">
        <f>HYPERLINK("https://www.boe.es/gazeta/dias/1816/11/02/pdfs/GMD-1816-137.pdf#page=6","Abrir facsímil")</f>
        <v>Abrir facsímil</v>
      </c>
      <c r="K455" s="3" t="s">
        <v>23</v>
      </c>
    </row>
    <row r="456" spans="1:11" ht="42" customHeight="1">
      <c r="A456" s="2" t="s">
        <v>1230</v>
      </c>
      <c r="B456" s="2" t="s">
        <v>1231</v>
      </c>
      <c r="C456" s="2" t="s">
        <v>26</v>
      </c>
      <c r="D456" s="2" t="s">
        <v>18</v>
      </c>
      <c r="E456" s="5">
        <v>-30373</v>
      </c>
      <c r="F456" s="3" t="s">
        <v>1280</v>
      </c>
      <c r="G456" s="3" t="s">
        <v>47</v>
      </c>
      <c r="H456" s="2" t="s">
        <v>21</v>
      </c>
      <c r="I456" s="2" t="s">
        <v>1283</v>
      </c>
      <c r="J456" s="3" t="str">
        <f>HYPERLINK("https://www.boe.es/gazeta/dias/1816/11/02/pdfs/GMD-1816-137.pdf#page=5","Abrir facsímil")</f>
        <v>Abrir facsímil</v>
      </c>
      <c r="K456" s="3" t="s">
        <v>23</v>
      </c>
    </row>
    <row r="457" spans="1:11" ht="42" customHeight="1">
      <c r="A457" s="2" t="s">
        <v>1230</v>
      </c>
      <c r="B457" s="2" t="s">
        <v>1231</v>
      </c>
      <c r="C457" s="2" t="s">
        <v>17</v>
      </c>
      <c r="D457" s="2" t="s">
        <v>18</v>
      </c>
      <c r="E457" s="5">
        <v>-30373</v>
      </c>
      <c r="F457" s="3" t="s">
        <v>1280</v>
      </c>
      <c r="G457" s="3" t="s">
        <v>72</v>
      </c>
      <c r="H457" s="2" t="s">
        <v>21</v>
      </c>
      <c r="I457" s="2" t="s">
        <v>1284</v>
      </c>
      <c r="J457" s="3" t="str">
        <f>HYPERLINK("https://www.boe.es/gazeta/dias/1816/11/02/pdfs/GMD-1816-137.pdf#page=7","Abrir facsímil")</f>
        <v>Abrir facsímil</v>
      </c>
      <c r="K457" s="3" t="s">
        <v>23</v>
      </c>
    </row>
    <row r="458" spans="1:11" ht="42" customHeight="1">
      <c r="A458" s="2" t="s">
        <v>1230</v>
      </c>
      <c r="B458" s="2" t="s">
        <v>1231</v>
      </c>
      <c r="C458" s="2" t="s">
        <v>41</v>
      </c>
      <c r="D458" s="2" t="s">
        <v>18</v>
      </c>
      <c r="E458" s="5">
        <v>-30363</v>
      </c>
      <c r="F458" s="3" t="s">
        <v>570</v>
      </c>
      <c r="G458" s="3" t="s">
        <v>42</v>
      </c>
      <c r="H458" s="2" t="s">
        <v>21</v>
      </c>
      <c r="I458" s="2" t="s">
        <v>1285</v>
      </c>
      <c r="J458" s="3" t="str">
        <f>HYPERLINK("https://www.boe.es/gazeta/dias/1816/11/12/pdfs/GMD-1816-141.pdf#page=8","Abrir facsímil")</f>
        <v>Abrir facsímil</v>
      </c>
      <c r="K458" s="3" t="s">
        <v>23</v>
      </c>
    </row>
    <row r="459" spans="1:11" ht="42" customHeight="1">
      <c r="A459" s="2" t="s">
        <v>1230</v>
      </c>
      <c r="B459" s="2" t="s">
        <v>1231</v>
      </c>
      <c r="C459" s="2" t="s">
        <v>34</v>
      </c>
      <c r="D459" s="2" t="s">
        <v>35</v>
      </c>
      <c r="E459" s="5">
        <v>-30359</v>
      </c>
      <c r="F459" s="3" t="s">
        <v>812</v>
      </c>
      <c r="G459" s="3" t="s">
        <v>103</v>
      </c>
      <c r="H459" s="2" t="s">
        <v>21</v>
      </c>
      <c r="I459" s="2" t="s">
        <v>1286</v>
      </c>
      <c r="J459" s="3" t="str">
        <f>HYPERLINK("https://www.boe.es/gazeta/dias/1816/11/16/pdfs/GMD-1816-143.pdf#page=4","Abrir facsímil")</f>
        <v>Abrir facsímil</v>
      </c>
      <c r="K459" s="3" t="s">
        <v>23</v>
      </c>
    </row>
    <row r="460" spans="1:11" ht="42" customHeight="1">
      <c r="A460" s="2" t="s">
        <v>1230</v>
      </c>
      <c r="B460" s="2" t="s">
        <v>1231</v>
      </c>
      <c r="C460" s="2" t="s">
        <v>26</v>
      </c>
      <c r="D460" s="2" t="s">
        <v>18</v>
      </c>
      <c r="E460" s="5">
        <v>-30328</v>
      </c>
      <c r="F460" s="3" t="s">
        <v>573</v>
      </c>
      <c r="G460" s="3" t="s">
        <v>47</v>
      </c>
      <c r="H460" s="2" t="s">
        <v>21</v>
      </c>
      <c r="I460" s="2" t="s">
        <v>1287</v>
      </c>
      <c r="J460" s="3" t="str">
        <f>HYPERLINK("https://www.boe.es/gazeta/dias/1816/12/17/pdfs/GMD-1816-156.pdf#page=5","Abrir facsímil")</f>
        <v>Abrir facsímil</v>
      </c>
      <c r="K460" s="3" t="s">
        <v>23</v>
      </c>
    </row>
    <row r="461" spans="1:11" ht="42" customHeight="1">
      <c r="A461" s="2" t="s">
        <v>1230</v>
      </c>
      <c r="B461" s="2" t="s">
        <v>1231</v>
      </c>
      <c r="C461" s="2" t="s">
        <v>26</v>
      </c>
      <c r="D461" s="2" t="s">
        <v>18</v>
      </c>
      <c r="E461" s="5">
        <v>-30324</v>
      </c>
      <c r="F461" s="3" t="s">
        <v>46</v>
      </c>
      <c r="G461" s="3" t="s">
        <v>47</v>
      </c>
      <c r="H461" s="2" t="s">
        <v>21</v>
      </c>
      <c r="I461" s="2" t="s">
        <v>1288</v>
      </c>
      <c r="J461" s="3" t="str">
        <f>HYPERLINK("https://www.boe.es/gazeta/dias/1816/12/21/pdfs/GMD-1816-158.pdf#page=5","Abrir facsímil")</f>
        <v>Abrir facsímil</v>
      </c>
      <c r="K461" s="3" t="s">
        <v>23</v>
      </c>
    </row>
    <row r="462" spans="1:11" ht="42" customHeight="1">
      <c r="A462" s="2" t="s">
        <v>1289</v>
      </c>
      <c r="B462" s="2" t="s">
        <v>1290</v>
      </c>
      <c r="C462" s="2" t="s">
        <v>111</v>
      </c>
      <c r="D462" s="2" t="s">
        <v>112</v>
      </c>
      <c r="E462" s="5">
        <v>-30431</v>
      </c>
      <c r="F462" s="3" t="s">
        <v>756</v>
      </c>
      <c r="G462" s="3" t="s">
        <v>103</v>
      </c>
      <c r="H462" s="2" t="s">
        <v>21</v>
      </c>
      <c r="I462" s="2" t="s">
        <v>1291</v>
      </c>
      <c r="J462" s="3" t="str">
        <f>HYPERLINK("https://www.boe.es/gazeta/dias/1816/09/05/pdfs/GMD-1816-110.pdf#page=4","Abrir facsímil")</f>
        <v>Abrir facsímil</v>
      </c>
      <c r="K462" s="3" t="s">
        <v>23</v>
      </c>
    </row>
    <row r="463" spans="1:11" ht="42" customHeight="1">
      <c r="A463" s="2" t="s">
        <v>1292</v>
      </c>
      <c r="B463" s="2" t="s">
        <v>1293</v>
      </c>
      <c r="C463" s="2" t="s">
        <v>26</v>
      </c>
      <c r="D463" s="2" t="s">
        <v>18</v>
      </c>
      <c r="E463" s="5">
        <v>-30382</v>
      </c>
      <c r="F463" s="3" t="s">
        <v>326</v>
      </c>
      <c r="G463" s="3" t="s">
        <v>47</v>
      </c>
      <c r="H463" s="2" t="s">
        <v>21</v>
      </c>
      <c r="I463" s="2" t="s">
        <v>1294</v>
      </c>
      <c r="J463" s="3" t="str">
        <f>HYPERLINK("https://www.boe.es/gazeta/dias/1816/10/24/pdfs/GMD-1816-133.pdf#page=5","Abrir facsímil")</f>
        <v>Abrir facsímil</v>
      </c>
      <c r="K463" s="3" t="s">
        <v>23</v>
      </c>
    </row>
    <row r="464" spans="1:11" ht="42" customHeight="1">
      <c r="A464" s="2" t="s">
        <v>1295</v>
      </c>
      <c r="B464" s="2" t="s">
        <v>1296</v>
      </c>
      <c r="C464" s="2" t="s">
        <v>34</v>
      </c>
      <c r="D464" s="2" t="s">
        <v>35</v>
      </c>
      <c r="E464" s="5">
        <v>-30398</v>
      </c>
      <c r="F464" s="3" t="s">
        <v>447</v>
      </c>
      <c r="G464" s="3" t="s">
        <v>47</v>
      </c>
      <c r="H464" s="2" t="s">
        <v>21</v>
      </c>
      <c r="I464" s="2" t="s">
        <v>1297</v>
      </c>
      <c r="J464" s="3" t="str">
        <f>HYPERLINK("https://www.boe.es/gazeta/dias/1816/10/08/pdfs/GMD-1816-125.pdf#page=5","Abrir facsímil")</f>
        <v>Abrir facsímil</v>
      </c>
      <c r="K464" s="3" t="s">
        <v>23</v>
      </c>
    </row>
    <row r="465" spans="1:11" ht="42" customHeight="1">
      <c r="A465" s="2" t="s">
        <v>1298</v>
      </c>
      <c r="B465" s="2" t="s">
        <v>1299</v>
      </c>
      <c r="C465" s="2" t="s">
        <v>81</v>
      </c>
      <c r="D465" s="2" t="s">
        <v>18</v>
      </c>
      <c r="E465" s="5">
        <v>-30592</v>
      </c>
      <c r="F465" s="3" t="s">
        <v>236</v>
      </c>
      <c r="G465" s="3" t="s">
        <v>606</v>
      </c>
      <c r="H465" s="2" t="s">
        <v>21</v>
      </c>
      <c r="I465" s="2" t="s">
        <v>1300</v>
      </c>
      <c r="J465" s="3" t="str">
        <f>HYPERLINK("https://www.boe.es/gazeta/dias/1816/03/28/pdfs/GMD-1816-41.pdf#page=12","Abrir facsímil")</f>
        <v>Abrir facsímil</v>
      </c>
      <c r="K465" s="3" t="s">
        <v>23</v>
      </c>
    </row>
    <row r="466" spans="1:11" ht="42" customHeight="1">
      <c r="A466" s="2" t="s">
        <v>1301</v>
      </c>
      <c r="B466" s="2" t="s">
        <v>1302</v>
      </c>
      <c r="C466" s="2" t="s">
        <v>67</v>
      </c>
      <c r="D466" s="2" t="s">
        <v>18</v>
      </c>
      <c r="E466" s="5">
        <v>-30324</v>
      </c>
      <c r="F466" s="3" t="s">
        <v>46</v>
      </c>
      <c r="G466" s="3" t="s">
        <v>42</v>
      </c>
      <c r="H466" s="2" t="s">
        <v>21</v>
      </c>
      <c r="I466" s="2" t="s">
        <v>1303</v>
      </c>
      <c r="J466" s="3" t="str">
        <f>HYPERLINK("https://www.boe.es/gazeta/dias/1816/12/21/pdfs/GMD-1816-158.pdf#page=8","Abrir facsímil")</f>
        <v>Abrir facsímil</v>
      </c>
      <c r="K466" s="3" t="s">
        <v>23</v>
      </c>
    </row>
    <row r="467" spans="1:11" ht="42" customHeight="1">
      <c r="A467" s="2" t="s">
        <v>1304</v>
      </c>
      <c r="B467" s="2" t="s">
        <v>1305</v>
      </c>
      <c r="C467" s="2" t="s">
        <v>26</v>
      </c>
      <c r="D467" s="2" t="s">
        <v>18</v>
      </c>
      <c r="E467" s="5">
        <v>-30394</v>
      </c>
      <c r="F467" s="3" t="s">
        <v>589</v>
      </c>
      <c r="G467" s="3" t="s">
        <v>1306</v>
      </c>
      <c r="H467" s="2" t="s">
        <v>21</v>
      </c>
      <c r="I467" s="2" t="s">
        <v>1307</v>
      </c>
      <c r="J467" s="3" t="str">
        <f>HYPERLINK("https://www.boe.es/gazeta/dias/1816/10/12/pdfs/GMD-1816-127.pdf#page=4","Abrir facsímil")</f>
        <v>Abrir facsímil</v>
      </c>
      <c r="K467" s="3" t="s">
        <v>23</v>
      </c>
    </row>
    <row r="468" spans="1:11" ht="42" customHeight="1">
      <c r="A468" s="2" t="s">
        <v>1308</v>
      </c>
      <c r="B468" s="2" t="s">
        <v>1309</v>
      </c>
      <c r="C468" s="2" t="s">
        <v>17</v>
      </c>
      <c r="D468" s="2" t="s">
        <v>18</v>
      </c>
      <c r="E468" s="5">
        <v>-30487</v>
      </c>
      <c r="F468" s="3" t="s">
        <v>397</v>
      </c>
      <c r="G468" s="3" t="s">
        <v>175</v>
      </c>
      <c r="H468" s="2" t="s">
        <v>21</v>
      </c>
      <c r="I468" s="2" t="s">
        <v>1310</v>
      </c>
      <c r="J468" s="3" t="str">
        <f>HYPERLINK("https://www.boe.es/gazeta/dias/1816/07/11/pdfs/GMD-1816-86.pdf#page=11","Abrir facsímil")</f>
        <v>Abrir facsímil</v>
      </c>
      <c r="K468" s="3" t="s">
        <v>23</v>
      </c>
    </row>
    <row r="469" spans="1:11" ht="42" customHeight="1">
      <c r="A469" s="2" t="s">
        <v>1311</v>
      </c>
      <c r="B469" s="2" t="s">
        <v>1312</v>
      </c>
      <c r="C469" s="2" t="s">
        <v>111</v>
      </c>
      <c r="D469" s="2" t="s">
        <v>112</v>
      </c>
      <c r="E469" s="5">
        <v>-30438</v>
      </c>
      <c r="F469" s="3" t="s">
        <v>299</v>
      </c>
      <c r="G469" s="3" t="s">
        <v>1250</v>
      </c>
      <c r="H469" s="2" t="s">
        <v>21</v>
      </c>
      <c r="I469" s="2" t="s">
        <v>1313</v>
      </c>
      <c r="J469" s="3" t="str">
        <f>HYPERLINK("https://www.boe.es/gazeta/dias/1816/08/29/pdfs/GMD-1816-107.pdf#page=6","Abrir facsímil")</f>
        <v>Abrir facsímil</v>
      </c>
      <c r="K469" s="3" t="s">
        <v>23</v>
      </c>
    </row>
    <row r="470" spans="1:11" ht="42" customHeight="1">
      <c r="A470" s="2" t="s">
        <v>1314</v>
      </c>
      <c r="B470" s="2" t="s">
        <v>1314</v>
      </c>
      <c r="C470" s="2" t="s">
        <v>34</v>
      </c>
      <c r="D470" s="2" t="s">
        <v>35</v>
      </c>
      <c r="E470" s="5">
        <v>-30499</v>
      </c>
      <c r="F470" s="3" t="s">
        <v>971</v>
      </c>
      <c r="G470" s="3" t="s">
        <v>184</v>
      </c>
      <c r="H470" s="2" t="s">
        <v>21</v>
      </c>
      <c r="I470" s="2" t="s">
        <v>1315</v>
      </c>
      <c r="J470" s="3" t="str">
        <f>HYPERLINK("https://www.boe.es/gazeta/dias/1816/06/29/pdfs/GMD-1816-81.pdf#page=3","Abrir facsímil")</f>
        <v>Abrir facsímil</v>
      </c>
      <c r="K470" s="3" t="s">
        <v>23</v>
      </c>
    </row>
    <row r="471" spans="1:11" ht="42" customHeight="1">
      <c r="A471" s="2" t="s">
        <v>1316</v>
      </c>
      <c r="B471" s="2" t="s">
        <v>1317</v>
      </c>
      <c r="C471" s="2" t="s">
        <v>67</v>
      </c>
      <c r="D471" s="2" t="s">
        <v>18</v>
      </c>
      <c r="E471" s="5">
        <v>-30410</v>
      </c>
      <c r="F471" s="3" t="s">
        <v>1259</v>
      </c>
      <c r="G471" s="3" t="s">
        <v>1318</v>
      </c>
      <c r="H471" s="2" t="s">
        <v>21</v>
      </c>
      <c r="I471" s="2" t="s">
        <v>1319</v>
      </c>
      <c r="J471" s="3" t="str">
        <f>HYPERLINK("https://www.boe.es/gazeta/dias/1816/09/26/pdfs/GMD-1816-119.pdf#page=4","Abrir facsímil")</f>
        <v>Abrir facsímil</v>
      </c>
      <c r="K471" s="3" t="s">
        <v>23</v>
      </c>
    </row>
    <row r="472" spans="1:11" ht="42" customHeight="1">
      <c r="A472" s="2" t="s">
        <v>1320</v>
      </c>
      <c r="B472" s="2" t="s">
        <v>1321</v>
      </c>
      <c r="C472" s="2" t="s">
        <v>34</v>
      </c>
      <c r="D472" s="2" t="s">
        <v>35</v>
      </c>
      <c r="E472" s="5">
        <v>-30410</v>
      </c>
      <c r="F472" s="3" t="s">
        <v>1259</v>
      </c>
      <c r="G472" s="3" t="s">
        <v>47</v>
      </c>
      <c r="H472" s="2" t="s">
        <v>21</v>
      </c>
      <c r="I472" s="2" t="s">
        <v>1322</v>
      </c>
      <c r="J472" s="3" t="str">
        <f>HYPERLINK("https://www.boe.es/gazeta/dias/1816/09/26/pdfs/GMD-1816-119.pdf#page=5","Abrir facsímil")</f>
        <v>Abrir facsímil</v>
      </c>
      <c r="K472" s="3" t="s">
        <v>23</v>
      </c>
    </row>
    <row r="473" spans="1:11" ht="42" customHeight="1">
      <c r="A473" s="2" t="s">
        <v>1323</v>
      </c>
      <c r="B473" s="2" t="s">
        <v>1324</v>
      </c>
      <c r="C473" s="2" t="s">
        <v>34</v>
      </c>
      <c r="D473" s="2" t="s">
        <v>35</v>
      </c>
      <c r="E473" s="5">
        <v>-30394</v>
      </c>
      <c r="F473" s="3" t="s">
        <v>589</v>
      </c>
      <c r="G473" s="3" t="s">
        <v>72</v>
      </c>
      <c r="H473" s="2" t="s">
        <v>21</v>
      </c>
      <c r="I473" s="2" t="s">
        <v>1325</v>
      </c>
      <c r="J473" s="3" t="str">
        <f>HYPERLINK("https://www.boe.es/gazeta/dias/1816/10/12/pdfs/GMD-1816-127.pdf#page=7","Abrir facsímil")</f>
        <v>Abrir facsímil</v>
      </c>
      <c r="K473" s="3" t="s">
        <v>23</v>
      </c>
    </row>
    <row r="474" spans="1:11" ht="42" customHeight="1">
      <c r="A474" s="2" t="s">
        <v>1326</v>
      </c>
      <c r="B474" s="2" t="s">
        <v>1327</v>
      </c>
      <c r="C474" s="2" t="s">
        <v>26</v>
      </c>
      <c r="D474" s="2" t="s">
        <v>18</v>
      </c>
      <c r="E474" s="5">
        <v>-30438</v>
      </c>
      <c r="F474" s="3" t="s">
        <v>299</v>
      </c>
      <c r="G474" s="3" t="s">
        <v>300</v>
      </c>
      <c r="H474" s="2" t="s">
        <v>21</v>
      </c>
      <c r="I474" s="2" t="s">
        <v>1328</v>
      </c>
      <c r="J474" s="3" t="str">
        <f>HYPERLINK("https://www.boe.es/gazeta/dias/1816/08/29/pdfs/GMD-1816-107.pdf#page=12","Abrir facsímil")</f>
        <v>Abrir facsímil</v>
      </c>
      <c r="K474" s="3" t="s">
        <v>23</v>
      </c>
    </row>
    <row r="475" spans="1:11" ht="42" customHeight="1">
      <c r="A475" s="2" t="s">
        <v>1326</v>
      </c>
      <c r="B475" s="2" t="s">
        <v>1327</v>
      </c>
      <c r="C475" s="2" t="s">
        <v>34</v>
      </c>
      <c r="D475" s="2" t="s">
        <v>35</v>
      </c>
      <c r="E475" s="5">
        <v>-30394</v>
      </c>
      <c r="F475" s="3" t="s">
        <v>589</v>
      </c>
      <c r="G475" s="3" t="s">
        <v>72</v>
      </c>
      <c r="H475" s="2" t="s">
        <v>21</v>
      </c>
      <c r="I475" s="2" t="s">
        <v>1329</v>
      </c>
      <c r="J475" s="3" t="str">
        <f>HYPERLINK("https://www.boe.es/gazeta/dias/1816/10/12/pdfs/GMD-1816-127.pdf#page=7","Abrir facsímil")</f>
        <v>Abrir facsímil</v>
      </c>
      <c r="K475" s="3" t="s">
        <v>23</v>
      </c>
    </row>
    <row r="476" spans="1:11" ht="42" customHeight="1">
      <c r="A476" s="2" t="s">
        <v>1330</v>
      </c>
      <c r="B476" s="2" t="s">
        <v>1330</v>
      </c>
      <c r="C476" s="2" t="s">
        <v>26</v>
      </c>
      <c r="D476" s="2" t="s">
        <v>18</v>
      </c>
      <c r="E476" s="5">
        <v>-30426</v>
      </c>
      <c r="F476" s="3" t="s">
        <v>779</v>
      </c>
      <c r="G476" s="3" t="s">
        <v>1331</v>
      </c>
      <c r="H476" s="2" t="s">
        <v>21</v>
      </c>
      <c r="I476" s="2" t="s">
        <v>1332</v>
      </c>
      <c r="J476" s="3" t="str">
        <f>HYPERLINK("https://www.boe.es/gazeta/dias/1816/09/10/pdfs/GMD-1816-112.pdf#page=5","Abrir facsímil")</f>
        <v>Abrir facsímil</v>
      </c>
      <c r="K476" s="3" t="s">
        <v>23</v>
      </c>
    </row>
    <row r="477" spans="1:11" ht="42" customHeight="1">
      <c r="A477" s="2" t="s">
        <v>1333</v>
      </c>
      <c r="B477" s="2" t="s">
        <v>1334</v>
      </c>
      <c r="C477" s="2" t="s">
        <v>81</v>
      </c>
      <c r="D477" s="2" t="s">
        <v>18</v>
      </c>
      <c r="E477" s="5">
        <v>-30382</v>
      </c>
      <c r="F477" s="3" t="s">
        <v>326</v>
      </c>
      <c r="G477" s="3" t="s">
        <v>42</v>
      </c>
      <c r="H477" s="2" t="s">
        <v>21</v>
      </c>
      <c r="I477" s="2" t="s">
        <v>1335</v>
      </c>
      <c r="J477" s="3" t="str">
        <f>HYPERLINK("https://www.boe.es/gazeta/dias/1816/10/24/pdfs/GMD-1816-133.pdf#page=8","Abrir facsímil")</f>
        <v>Abrir facsímil</v>
      </c>
      <c r="K477" s="3" t="s">
        <v>23</v>
      </c>
    </row>
    <row r="478" spans="1:11" ht="42" customHeight="1">
      <c r="A478" s="2" t="s">
        <v>1336</v>
      </c>
      <c r="B478" s="2" t="s">
        <v>1337</v>
      </c>
      <c r="C478" s="2" t="s">
        <v>34</v>
      </c>
      <c r="D478" s="2" t="s">
        <v>35</v>
      </c>
      <c r="E478" s="5">
        <v>-30338</v>
      </c>
      <c r="F478" s="3" t="s">
        <v>464</v>
      </c>
      <c r="G478" s="3" t="s">
        <v>42</v>
      </c>
      <c r="H478" s="2" t="s">
        <v>21</v>
      </c>
      <c r="I478" s="2" t="s">
        <v>1338</v>
      </c>
      <c r="J478" s="3" t="str">
        <f>HYPERLINK("https://www.boe.es/gazeta/dias/1816/12/07/pdfs/GMD-1816-152.pdf#page=8","Abrir facsímil")</f>
        <v>Abrir facsímil</v>
      </c>
      <c r="K478" s="3" t="s">
        <v>23</v>
      </c>
    </row>
    <row r="479" spans="1:11" ht="42" customHeight="1">
      <c r="A479" s="2" t="s">
        <v>1339</v>
      </c>
      <c r="B479" s="2" t="s">
        <v>1340</v>
      </c>
      <c r="C479" s="2" t="s">
        <v>34</v>
      </c>
      <c r="D479" s="2" t="s">
        <v>35</v>
      </c>
      <c r="E479" s="5">
        <v>-30513</v>
      </c>
      <c r="F479" s="3" t="s">
        <v>582</v>
      </c>
      <c r="G479" s="3" t="s">
        <v>47</v>
      </c>
      <c r="H479" s="2" t="s">
        <v>21</v>
      </c>
      <c r="I479" s="2" t="s">
        <v>1341</v>
      </c>
      <c r="J479" s="3" t="str">
        <f>HYPERLINK("https://www.boe.es/gazeta/dias/1816/06/15/pdfs/GMD-1816-75.pdf#page=5","Abrir facsímil")</f>
        <v>Abrir facsímil</v>
      </c>
      <c r="K479" s="3" t="s">
        <v>23</v>
      </c>
    </row>
    <row r="480" spans="1:11" ht="42" customHeight="1">
      <c r="A480" s="2" t="s">
        <v>1342</v>
      </c>
      <c r="B480" s="2" t="s">
        <v>1343</v>
      </c>
      <c r="C480" s="2" t="s">
        <v>34</v>
      </c>
      <c r="D480" s="2" t="s">
        <v>35</v>
      </c>
      <c r="E480" s="5">
        <v>-30576</v>
      </c>
      <c r="F480" s="3" t="s">
        <v>353</v>
      </c>
      <c r="G480" s="3" t="s">
        <v>72</v>
      </c>
      <c r="H480" s="2" t="s">
        <v>21</v>
      </c>
      <c r="I480" s="2" t="s">
        <v>1344</v>
      </c>
      <c r="J480" s="3" t="str">
        <f>HYPERLINK("https://www.boe.es/gazeta/dias/1816/04/13/pdfs/GMD-1816-48.pdf#page=7","Abrir facsímil")</f>
        <v>Abrir facsímil</v>
      </c>
      <c r="K480" s="3" t="s">
        <v>23</v>
      </c>
    </row>
    <row r="481" spans="1:11" ht="42" customHeight="1">
      <c r="A481" s="2" t="s">
        <v>1345</v>
      </c>
      <c r="B481" s="2" t="s">
        <v>1346</v>
      </c>
      <c r="C481" s="2" t="s">
        <v>26</v>
      </c>
      <c r="D481" s="2" t="s">
        <v>18</v>
      </c>
      <c r="E481" s="5">
        <v>-30431</v>
      </c>
      <c r="F481" s="3" t="s">
        <v>756</v>
      </c>
      <c r="G481" s="3" t="s">
        <v>72</v>
      </c>
      <c r="H481" s="2" t="s">
        <v>21</v>
      </c>
      <c r="I481" s="2" t="s">
        <v>1347</v>
      </c>
      <c r="J481" s="3" t="str">
        <f>HYPERLINK("https://www.boe.es/gazeta/dias/1816/09/05/pdfs/GMD-1816-110.pdf#page=7","Abrir facsímil")</f>
        <v>Abrir facsímil</v>
      </c>
      <c r="K481" s="3" t="s">
        <v>23</v>
      </c>
    </row>
    <row r="482" spans="1:11" ht="42" customHeight="1">
      <c r="A482" s="2" t="s">
        <v>1348</v>
      </c>
      <c r="B482" s="2" t="s">
        <v>1349</v>
      </c>
      <c r="C482" s="2" t="s">
        <v>26</v>
      </c>
      <c r="D482" s="2" t="s">
        <v>18</v>
      </c>
      <c r="E482" s="5">
        <v>-30391</v>
      </c>
      <c r="F482" s="3" t="s">
        <v>482</v>
      </c>
      <c r="G482" s="3" t="s">
        <v>72</v>
      </c>
      <c r="H482" s="2" t="s">
        <v>21</v>
      </c>
      <c r="I482" s="2" t="s">
        <v>1350</v>
      </c>
      <c r="J482" s="3" t="str">
        <f>HYPERLINK("https://www.boe.es/gazeta/dias/1816/10/15/pdfs/GMD-1816-129.pdf#page=7","Abrir facsímil")</f>
        <v>Abrir facsímil</v>
      </c>
      <c r="K482" s="3" t="s">
        <v>23</v>
      </c>
    </row>
    <row r="483" spans="1:11" ht="42" customHeight="1">
      <c r="A483" s="2" t="s">
        <v>1351</v>
      </c>
      <c r="B483" s="2" t="s">
        <v>1352</v>
      </c>
      <c r="C483" s="2" t="s">
        <v>34</v>
      </c>
      <c r="D483" s="2" t="s">
        <v>35</v>
      </c>
      <c r="E483" s="5">
        <v>-30415</v>
      </c>
      <c r="F483" s="3" t="s">
        <v>585</v>
      </c>
      <c r="G483" s="3" t="s">
        <v>1156</v>
      </c>
      <c r="H483" s="2" t="s">
        <v>21</v>
      </c>
      <c r="I483" s="2" t="s">
        <v>1353</v>
      </c>
      <c r="J483" s="3" t="str">
        <f>HYPERLINK("https://www.boe.es/gazeta/dias/1816/09/21/pdfs/GMD-1816-117.pdf#page=7","Abrir facsímil")</f>
        <v>Abrir facsímil</v>
      </c>
      <c r="K483" s="3" t="s">
        <v>23</v>
      </c>
    </row>
    <row r="484" spans="1:11" ht="42" customHeight="1">
      <c r="A484" s="2" t="s">
        <v>1354</v>
      </c>
      <c r="B484" s="2" t="s">
        <v>1355</v>
      </c>
      <c r="C484" s="2" t="s">
        <v>26</v>
      </c>
      <c r="D484" s="2" t="s">
        <v>18</v>
      </c>
      <c r="E484" s="5">
        <v>-30438</v>
      </c>
      <c r="F484" s="3" t="s">
        <v>299</v>
      </c>
      <c r="G484" s="3" t="s">
        <v>300</v>
      </c>
      <c r="H484" s="2" t="s">
        <v>21</v>
      </c>
      <c r="I484" s="2" t="s">
        <v>1356</v>
      </c>
      <c r="J484" s="3" t="str">
        <f>HYPERLINK("https://www.boe.es/gazeta/dias/1816/08/29/pdfs/GMD-1816-107.pdf#page=12","Abrir facsímil")</f>
        <v>Abrir facsímil</v>
      </c>
      <c r="K484" s="3" t="s">
        <v>23</v>
      </c>
    </row>
    <row r="485" spans="1:11" ht="42" customHeight="1">
      <c r="A485" s="2" t="s">
        <v>1357</v>
      </c>
      <c r="B485" s="2" t="s">
        <v>1358</v>
      </c>
      <c r="C485" s="2" t="s">
        <v>111</v>
      </c>
      <c r="D485" s="2" t="s">
        <v>112</v>
      </c>
      <c r="E485" s="5">
        <v>-30401</v>
      </c>
      <c r="F485" s="3" t="s">
        <v>652</v>
      </c>
      <c r="G485" s="3" t="s">
        <v>28</v>
      </c>
      <c r="H485" s="2" t="s">
        <v>21</v>
      </c>
      <c r="I485" s="2" t="s">
        <v>1359</v>
      </c>
      <c r="J485" s="3" t="str">
        <f>HYPERLINK("https://www.boe.es/gazeta/dias/1816/10/05/pdfs/GMD-1816-123.pdf#page=6","Abrir facsímil")</f>
        <v>Abrir facsímil</v>
      </c>
      <c r="K485" s="3" t="s">
        <v>23</v>
      </c>
    </row>
    <row r="486" spans="1:11" ht="42" customHeight="1">
      <c r="A486" s="2" t="s">
        <v>1360</v>
      </c>
      <c r="B486" s="2" t="s">
        <v>1361</v>
      </c>
      <c r="C486" s="2" t="s">
        <v>81</v>
      </c>
      <c r="D486" s="2" t="s">
        <v>18</v>
      </c>
      <c r="E486" s="5">
        <v>-30473</v>
      </c>
      <c r="F486" s="3" t="s">
        <v>336</v>
      </c>
      <c r="G486" s="3" t="s">
        <v>42</v>
      </c>
      <c r="H486" s="2" t="s">
        <v>21</v>
      </c>
      <c r="I486" s="2" t="s">
        <v>1362</v>
      </c>
      <c r="J486" s="3" t="str">
        <f>HYPERLINK("https://www.boe.es/gazeta/dias/1816/07/25/pdfs/GMD-1816-92.pdf#page=8","Abrir facsímil")</f>
        <v>Abrir facsímil</v>
      </c>
      <c r="K486" s="3" t="s">
        <v>23</v>
      </c>
    </row>
    <row r="487" spans="1:11" ht="42" customHeight="1">
      <c r="A487" s="2" t="s">
        <v>1363</v>
      </c>
      <c r="B487" s="2" t="s">
        <v>1364</v>
      </c>
      <c r="C487" s="2" t="s">
        <v>26</v>
      </c>
      <c r="D487" s="2" t="s">
        <v>18</v>
      </c>
      <c r="E487" s="5">
        <v>-30485</v>
      </c>
      <c r="F487" s="3" t="s">
        <v>156</v>
      </c>
      <c r="G487" s="3" t="s">
        <v>161</v>
      </c>
      <c r="H487" s="2" t="s">
        <v>21</v>
      </c>
      <c r="I487" s="2" t="s">
        <v>1365</v>
      </c>
      <c r="J487" s="3" t="str">
        <f>HYPERLINK("https://www.boe.es/gazeta/dias/1816/07/13/pdfs/GMD-1816-87.pdf#page=4","Abrir facsímil")</f>
        <v>Abrir facsímil</v>
      </c>
      <c r="K487" s="3" t="s">
        <v>23</v>
      </c>
    </row>
    <row r="488" spans="1:11" ht="42" customHeight="1">
      <c r="A488" s="2" t="s">
        <v>1366</v>
      </c>
      <c r="B488" s="2" t="s">
        <v>1367</v>
      </c>
      <c r="C488" s="2" t="s">
        <v>111</v>
      </c>
      <c r="D488" s="2" t="s">
        <v>112</v>
      </c>
      <c r="E488" s="5">
        <v>-30487</v>
      </c>
      <c r="F488" s="3" t="s">
        <v>397</v>
      </c>
      <c r="G488" s="3" t="s">
        <v>180</v>
      </c>
      <c r="H488" s="2" t="s">
        <v>21</v>
      </c>
      <c r="I488" s="2" t="s">
        <v>1368</v>
      </c>
      <c r="J488" s="3" t="str">
        <f>HYPERLINK("https://www.boe.es/gazeta/dias/1816/07/11/pdfs/GMD-1816-86.pdf#page=10","Abrir facsímil")</f>
        <v>Abrir facsímil</v>
      </c>
      <c r="K488" s="3" t="s">
        <v>23</v>
      </c>
    </row>
    <row r="489" spans="1:11" ht="42" customHeight="1">
      <c r="A489" s="2" t="s">
        <v>1366</v>
      </c>
      <c r="B489" s="2" t="s">
        <v>1367</v>
      </c>
      <c r="C489" s="2" t="s">
        <v>26</v>
      </c>
      <c r="D489" s="2" t="s">
        <v>18</v>
      </c>
      <c r="E489" s="5">
        <v>-30384</v>
      </c>
      <c r="F489" s="3" t="s">
        <v>460</v>
      </c>
      <c r="G489" s="3" t="s">
        <v>28</v>
      </c>
      <c r="H489" s="2" t="s">
        <v>21</v>
      </c>
      <c r="I489" s="2" t="s">
        <v>1369</v>
      </c>
      <c r="J489" s="3" t="str">
        <f>HYPERLINK("https://www.boe.es/gazeta/dias/1816/10/22/pdfs/GMD-1816-132.pdf#page=6","Abrir facsímil")</f>
        <v>Abrir facsímil</v>
      </c>
      <c r="K489" s="3" t="s">
        <v>23</v>
      </c>
    </row>
    <row r="490" spans="1:11" ht="42" customHeight="1">
      <c r="A490" s="2" t="s">
        <v>1370</v>
      </c>
      <c r="B490" s="2" t="s">
        <v>1371</v>
      </c>
      <c r="C490" s="2" t="s">
        <v>34</v>
      </c>
      <c r="D490" s="2" t="s">
        <v>35</v>
      </c>
      <c r="E490" s="5">
        <v>-30382</v>
      </c>
      <c r="F490" s="3" t="s">
        <v>326</v>
      </c>
      <c r="G490" s="3" t="s">
        <v>42</v>
      </c>
      <c r="H490" s="2" t="s">
        <v>21</v>
      </c>
      <c r="I490" s="2" t="s">
        <v>1372</v>
      </c>
      <c r="J490" s="3" t="str">
        <f>HYPERLINK("https://www.boe.es/gazeta/dias/1816/10/24/pdfs/GMD-1816-133.pdf#page=8","Abrir facsímil")</f>
        <v>Abrir facsímil</v>
      </c>
      <c r="K490" s="3" t="s">
        <v>23</v>
      </c>
    </row>
    <row r="491" spans="1:11" ht="42" customHeight="1">
      <c r="A491" s="2" t="s">
        <v>1373</v>
      </c>
      <c r="B491" s="2" t="s">
        <v>1374</v>
      </c>
      <c r="C491" s="2" t="s">
        <v>387</v>
      </c>
      <c r="D491" s="2" t="s">
        <v>18</v>
      </c>
      <c r="E491" s="5">
        <v>-30461</v>
      </c>
      <c r="F491" s="3" t="s">
        <v>912</v>
      </c>
      <c r="G491" s="3" t="s">
        <v>1375</v>
      </c>
      <c r="H491" s="2" t="s">
        <v>21</v>
      </c>
      <c r="I491" s="2" t="s">
        <v>1376</v>
      </c>
      <c r="J491" s="3" t="str">
        <f>HYPERLINK("https://www.boe.es/gazeta/dias/1816/08/06/pdfs/GMD-1816-97.pdf#page=6","Abrir facsímil")</f>
        <v>Abrir facsímil</v>
      </c>
      <c r="K491" s="3" t="s">
        <v>23</v>
      </c>
    </row>
    <row r="492" spans="1:11" ht="42" customHeight="1">
      <c r="A492" s="2" t="s">
        <v>1377</v>
      </c>
      <c r="B492" s="2" t="s">
        <v>1378</v>
      </c>
      <c r="C492" s="2" t="s">
        <v>41</v>
      </c>
      <c r="D492" s="2" t="s">
        <v>18</v>
      </c>
      <c r="E492" s="5">
        <v>-30391</v>
      </c>
      <c r="F492" s="3" t="s">
        <v>482</v>
      </c>
      <c r="G492" s="3" t="s">
        <v>28</v>
      </c>
      <c r="H492" s="2" t="s">
        <v>21</v>
      </c>
      <c r="I492" s="2" t="s">
        <v>1379</v>
      </c>
      <c r="J492" s="3" t="str">
        <f>HYPERLINK("https://www.boe.es/gazeta/dias/1816/10/15/pdfs/GMD-1816-129.pdf#page=6","Abrir facsímil")</f>
        <v>Abrir facsímil</v>
      </c>
      <c r="K492" s="3" t="s">
        <v>23</v>
      </c>
    </row>
    <row r="493" spans="1:11" ht="42" customHeight="1">
      <c r="A493" s="2" t="s">
        <v>1380</v>
      </c>
      <c r="B493" s="2" t="s">
        <v>1381</v>
      </c>
      <c r="C493" s="2" t="s">
        <v>34</v>
      </c>
      <c r="D493" s="2" t="s">
        <v>35</v>
      </c>
      <c r="E493" s="5">
        <v>-30345</v>
      </c>
      <c r="F493" s="3" t="s">
        <v>1382</v>
      </c>
      <c r="G493" s="3" t="s">
        <v>103</v>
      </c>
      <c r="H493" s="2" t="s">
        <v>21</v>
      </c>
      <c r="I493" s="2" t="s">
        <v>1383</v>
      </c>
      <c r="J493" s="3" t="str">
        <f>HYPERLINK("https://www.boe.es/gazeta/dias/1816/11/30/pdfs/GMD-1816-149.pdf#page=4","Abrir facsímil")</f>
        <v>Abrir facsímil</v>
      </c>
      <c r="K493" s="3" t="s">
        <v>23</v>
      </c>
    </row>
    <row r="494" spans="1:11" ht="42" customHeight="1">
      <c r="A494" s="2" t="s">
        <v>1384</v>
      </c>
      <c r="B494" s="2" t="s">
        <v>1385</v>
      </c>
      <c r="C494" s="2" t="s">
        <v>111</v>
      </c>
      <c r="D494" s="2" t="s">
        <v>56</v>
      </c>
      <c r="E494" s="5">
        <v>-30393</v>
      </c>
      <c r="F494" s="3" t="s">
        <v>202</v>
      </c>
      <c r="G494" s="3" t="s">
        <v>184</v>
      </c>
      <c r="H494" s="2" t="s">
        <v>29</v>
      </c>
      <c r="I494" s="2" t="s">
        <v>1386</v>
      </c>
      <c r="J494" s="3" t="str">
        <f>HYPERLINK("https://www.boe.es/gazeta/dias/1816/10/13/pdfs/GMD-1816-128E.pdf#page=3","Abrir facsímil")</f>
        <v>Abrir facsímil</v>
      </c>
      <c r="K494" s="3" t="s">
        <v>31</v>
      </c>
    </row>
    <row r="495" spans="1:11" ht="42" customHeight="1">
      <c r="A495" s="2" t="s">
        <v>1387</v>
      </c>
      <c r="B495" s="2" t="s">
        <v>1388</v>
      </c>
      <c r="C495" s="2" t="s">
        <v>26</v>
      </c>
      <c r="D495" s="2" t="s">
        <v>18</v>
      </c>
      <c r="E495" s="5">
        <v>-30576</v>
      </c>
      <c r="F495" s="3" t="s">
        <v>353</v>
      </c>
      <c r="G495" s="3" t="s">
        <v>72</v>
      </c>
      <c r="H495" s="2" t="s">
        <v>21</v>
      </c>
      <c r="I495" s="2" t="s">
        <v>1389</v>
      </c>
      <c r="J495" s="3" t="str">
        <f>HYPERLINK("https://www.boe.es/gazeta/dias/1816/04/13/pdfs/GMD-1816-48.pdf#page=7","Abrir facsímil")</f>
        <v>Abrir facsímil</v>
      </c>
      <c r="K495" s="3" t="s">
        <v>23</v>
      </c>
    </row>
    <row r="496" spans="1:11" ht="42" customHeight="1">
      <c r="A496" s="2" t="s">
        <v>1390</v>
      </c>
      <c r="B496" s="2" t="s">
        <v>1391</v>
      </c>
      <c r="C496" s="2" t="s">
        <v>34</v>
      </c>
      <c r="D496" s="2" t="s">
        <v>35</v>
      </c>
      <c r="E496" s="5">
        <v>-30356</v>
      </c>
      <c r="F496" s="3" t="s">
        <v>824</v>
      </c>
      <c r="G496" s="3" t="s">
        <v>28</v>
      </c>
      <c r="H496" s="2" t="s">
        <v>21</v>
      </c>
      <c r="I496" s="2" t="s">
        <v>1392</v>
      </c>
      <c r="J496" s="3" t="str">
        <f>HYPERLINK("https://www.boe.es/gazeta/dias/1816/11/19/pdfs/GMD-1816-144.pdf#page=6","Abrir facsímil")</f>
        <v>Abrir facsímil</v>
      </c>
      <c r="K496" s="3" t="s">
        <v>23</v>
      </c>
    </row>
    <row r="497" spans="1:11" ht="42" customHeight="1">
      <c r="A497" s="2" t="s">
        <v>1393</v>
      </c>
      <c r="B497" s="2" t="s">
        <v>1394</v>
      </c>
      <c r="C497" s="2" t="s">
        <v>17</v>
      </c>
      <c r="D497" s="2" t="s">
        <v>18</v>
      </c>
      <c r="E497" s="5">
        <v>-30613</v>
      </c>
      <c r="F497" s="3" t="s">
        <v>392</v>
      </c>
      <c r="G497" s="3" t="s">
        <v>1395</v>
      </c>
      <c r="H497" s="2" t="s">
        <v>21</v>
      </c>
      <c r="I497" s="2" t="s">
        <v>1396</v>
      </c>
      <c r="J497" s="3" t="str">
        <f>HYPERLINK("https://www.boe.es/gazeta/dias/1816/03/07/pdfs/GMD-1816-31.pdf#page=8","Abrir facsímil")</f>
        <v>Abrir facsímil</v>
      </c>
      <c r="K497" s="3" t="s">
        <v>23</v>
      </c>
    </row>
    <row r="498" spans="1:11" ht="42" customHeight="1">
      <c r="A498" s="2" t="s">
        <v>1397</v>
      </c>
      <c r="B498" s="2" t="s">
        <v>1398</v>
      </c>
      <c r="C498" s="2" t="s">
        <v>41</v>
      </c>
      <c r="D498" s="2" t="s">
        <v>18</v>
      </c>
      <c r="E498" s="5">
        <v>-30415</v>
      </c>
      <c r="F498" s="3" t="s">
        <v>585</v>
      </c>
      <c r="G498" s="3" t="s">
        <v>28</v>
      </c>
      <c r="H498" s="2" t="s">
        <v>21</v>
      </c>
      <c r="I498" s="2" t="s">
        <v>1399</v>
      </c>
      <c r="J498" s="3" t="str">
        <f>HYPERLINK("https://www.boe.es/gazeta/dias/1816/09/21/pdfs/GMD-1816-117.pdf#page=6","Abrir facsímil")</f>
        <v>Abrir facsímil</v>
      </c>
      <c r="K498" s="3" t="s">
        <v>23</v>
      </c>
    </row>
    <row r="499" spans="1:11" ht="42" customHeight="1">
      <c r="A499" s="2" t="s">
        <v>1400</v>
      </c>
      <c r="B499" s="2" t="s">
        <v>1401</v>
      </c>
      <c r="C499" s="2" t="s">
        <v>111</v>
      </c>
      <c r="D499" s="2" t="s">
        <v>112</v>
      </c>
      <c r="E499" s="5">
        <v>-30557</v>
      </c>
      <c r="F499" s="3" t="s">
        <v>508</v>
      </c>
      <c r="G499" s="3" t="s">
        <v>42</v>
      </c>
      <c r="H499" s="2" t="s">
        <v>29</v>
      </c>
      <c r="I499" s="2" t="s">
        <v>1402</v>
      </c>
      <c r="J499" s="3" t="str">
        <f>HYPERLINK("https://www.boe.es/gazeta/dias/1816/05/02/pdfs/GMD-1816-56.pdf#page=8","Abrir facsímil")</f>
        <v>Abrir facsímil</v>
      </c>
      <c r="K499" s="3" t="s">
        <v>31</v>
      </c>
    </row>
    <row r="500" spans="1:11" ht="42" customHeight="1">
      <c r="A500" s="2" t="s">
        <v>1403</v>
      </c>
      <c r="B500" s="2" t="s">
        <v>1404</v>
      </c>
      <c r="C500" s="2" t="s">
        <v>67</v>
      </c>
      <c r="D500" s="2" t="s">
        <v>18</v>
      </c>
      <c r="E500" s="5">
        <v>-30422</v>
      </c>
      <c r="F500" s="3" t="s">
        <v>803</v>
      </c>
      <c r="G500" s="3" t="s">
        <v>1405</v>
      </c>
      <c r="H500" s="2" t="s">
        <v>29</v>
      </c>
      <c r="I500" s="2" t="s">
        <v>1406</v>
      </c>
      <c r="J500" s="3" t="str">
        <f>HYPERLINK("https://www.boe.es/gazeta/dias/1816/09/14/pdfs/GMD-1816-114.pdf#page=8","Abrir facsímil")</f>
        <v>Abrir facsímil</v>
      </c>
      <c r="K500" s="3" t="s">
        <v>31</v>
      </c>
    </row>
    <row r="501" spans="1:11" ht="42" customHeight="1">
      <c r="A501" s="2" t="s">
        <v>1407</v>
      </c>
      <c r="B501" s="2" t="s">
        <v>1408</v>
      </c>
      <c r="C501" s="2" t="s">
        <v>26</v>
      </c>
      <c r="D501" s="2" t="s">
        <v>18</v>
      </c>
      <c r="E501" s="5">
        <v>-30317</v>
      </c>
      <c r="F501" s="3" t="s">
        <v>1030</v>
      </c>
      <c r="G501" s="3" t="s">
        <v>1409</v>
      </c>
      <c r="H501" s="2" t="s">
        <v>29</v>
      </c>
      <c r="I501" s="2" t="s">
        <v>1410</v>
      </c>
      <c r="J501" s="3" t="str">
        <f>HYPERLINK("https://www.boe.es/gazeta/dias/1816/12/28/pdfs/GMD-1816-161.pdf#page=8","Abrir facsímil")</f>
        <v>Abrir facsímil</v>
      </c>
      <c r="K501" s="3" t="s">
        <v>31</v>
      </c>
    </row>
    <row r="502" spans="1:11" ht="42" customHeight="1">
      <c r="A502" s="2" t="s">
        <v>1411</v>
      </c>
      <c r="B502" s="2" t="s">
        <v>1412</v>
      </c>
      <c r="C502" s="2" t="s">
        <v>34</v>
      </c>
      <c r="D502" s="2" t="s">
        <v>35</v>
      </c>
      <c r="E502" s="5">
        <v>-30599</v>
      </c>
      <c r="F502" s="3" t="s">
        <v>552</v>
      </c>
      <c r="G502" s="3" t="s">
        <v>103</v>
      </c>
      <c r="H502" s="2" t="s">
        <v>21</v>
      </c>
      <c r="I502" s="2" t="s">
        <v>1413</v>
      </c>
      <c r="J502" s="3" t="str">
        <f>HYPERLINK("https://www.boe.es/gazeta/dias/1816/03/21/pdfs/GMD-1816-38.pdf#page=4","Abrir facsímil")</f>
        <v>Abrir facsímil</v>
      </c>
      <c r="K502" s="3" t="s">
        <v>23</v>
      </c>
    </row>
    <row r="503" spans="1:11" ht="42" customHeight="1">
      <c r="A503" s="2" t="s">
        <v>1414</v>
      </c>
      <c r="B503" s="2" t="s">
        <v>1415</v>
      </c>
      <c r="C503" s="2" t="s">
        <v>67</v>
      </c>
      <c r="D503" s="2" t="s">
        <v>18</v>
      </c>
      <c r="E503" s="5">
        <v>-30471</v>
      </c>
      <c r="F503" s="3" t="s">
        <v>639</v>
      </c>
      <c r="G503" s="3" t="s">
        <v>28</v>
      </c>
      <c r="H503" s="2" t="s">
        <v>21</v>
      </c>
      <c r="I503" s="2" t="s">
        <v>1416</v>
      </c>
      <c r="J503" s="3" t="str">
        <f>HYPERLINK("https://www.boe.es/gazeta/dias/1816/07/27/pdfs/GMD-1816-93.pdf#page=6","Abrir facsímil")</f>
        <v>Abrir facsímil</v>
      </c>
      <c r="K503" s="3" t="s">
        <v>23</v>
      </c>
    </row>
    <row r="504" spans="1:11" ht="42" customHeight="1">
      <c r="A504" s="2" t="s">
        <v>1417</v>
      </c>
      <c r="B504" s="2" t="s">
        <v>1418</v>
      </c>
      <c r="C504" s="2" t="s">
        <v>34</v>
      </c>
      <c r="D504" s="2" t="s">
        <v>35</v>
      </c>
      <c r="E504" s="5">
        <v>-30531</v>
      </c>
      <c r="F504" s="3" t="s">
        <v>535</v>
      </c>
      <c r="G504" s="3" t="s">
        <v>47</v>
      </c>
      <c r="H504" s="2" t="s">
        <v>21</v>
      </c>
      <c r="I504" s="2" t="s">
        <v>1419</v>
      </c>
      <c r="J504" s="3" t="str">
        <f>HYPERLINK("https://www.boe.es/gazeta/dias/1816/05/28/pdfs/GMD-1816-67.pdf#page=5","Abrir facsímil")</f>
        <v>Abrir facsímil</v>
      </c>
      <c r="K504" s="3" t="s">
        <v>23</v>
      </c>
    </row>
    <row r="505" spans="1:11" ht="42" customHeight="1">
      <c r="A505" s="2" t="s">
        <v>1420</v>
      </c>
      <c r="B505" s="2" t="s">
        <v>1421</v>
      </c>
      <c r="C505" s="2" t="s">
        <v>34</v>
      </c>
      <c r="D505" s="2" t="s">
        <v>35</v>
      </c>
      <c r="E505" s="5">
        <v>-30583</v>
      </c>
      <c r="F505" s="3" t="s">
        <v>241</v>
      </c>
      <c r="G505" s="3" t="s">
        <v>184</v>
      </c>
      <c r="H505" s="2" t="s">
        <v>21</v>
      </c>
      <c r="I505" s="2" t="s">
        <v>1422</v>
      </c>
      <c r="J505" s="3" t="str">
        <f>HYPERLINK("https://www.boe.es/gazeta/dias/1816/04/06/pdfs/GMD-1816-45.pdf#page=3","Abrir facsímil")</f>
        <v>Abrir facsímil</v>
      </c>
      <c r="K505" s="3" t="s">
        <v>23</v>
      </c>
    </row>
    <row r="506" spans="1:11" ht="42" customHeight="1">
      <c r="A506" s="2" t="s">
        <v>1423</v>
      </c>
      <c r="B506" s="2" t="s">
        <v>1424</v>
      </c>
      <c r="C506" s="2" t="s">
        <v>111</v>
      </c>
      <c r="D506" s="2" t="s">
        <v>112</v>
      </c>
      <c r="E506" s="5">
        <v>-30352</v>
      </c>
      <c r="F506" s="3" t="s">
        <v>407</v>
      </c>
      <c r="G506" s="3" t="s">
        <v>47</v>
      </c>
      <c r="H506" s="2" t="s">
        <v>21</v>
      </c>
      <c r="I506" s="2" t="s">
        <v>1425</v>
      </c>
      <c r="J506" s="3" t="str">
        <f>HYPERLINK("https://www.boe.es/gazeta/dias/1816/11/23/pdfs/GMD-1816-146.pdf#page=5","Abrir facsímil")</f>
        <v>Abrir facsímil</v>
      </c>
      <c r="K506" s="3" t="s">
        <v>23</v>
      </c>
    </row>
    <row r="507" spans="1:11" ht="42" customHeight="1">
      <c r="A507" s="2" t="s">
        <v>1426</v>
      </c>
      <c r="B507" s="2" t="s">
        <v>1427</v>
      </c>
      <c r="C507" s="2" t="s">
        <v>111</v>
      </c>
      <c r="D507" s="2" t="s">
        <v>112</v>
      </c>
      <c r="E507" s="5">
        <v>-30394</v>
      </c>
      <c r="F507" s="3" t="s">
        <v>589</v>
      </c>
      <c r="G507" s="3" t="s">
        <v>1306</v>
      </c>
      <c r="H507" s="2" t="s">
        <v>21</v>
      </c>
      <c r="I507" s="2" t="s">
        <v>1428</v>
      </c>
      <c r="J507" s="3" t="str">
        <f>HYPERLINK("https://www.boe.es/gazeta/dias/1816/10/12/pdfs/GMD-1816-127.pdf#page=4","Abrir facsímil")</f>
        <v>Abrir facsímil</v>
      </c>
      <c r="K507" s="3" t="s">
        <v>23</v>
      </c>
    </row>
    <row r="508" spans="1:11" ht="42" customHeight="1">
      <c r="A508" s="2" t="s">
        <v>1429</v>
      </c>
      <c r="B508" s="2" t="s">
        <v>1430</v>
      </c>
      <c r="C508" s="2" t="s">
        <v>34</v>
      </c>
      <c r="D508" s="2" t="s">
        <v>35</v>
      </c>
      <c r="E508" s="5">
        <v>-30650</v>
      </c>
      <c r="F508" s="3" t="s">
        <v>1170</v>
      </c>
      <c r="G508" s="3" t="s">
        <v>103</v>
      </c>
      <c r="H508" s="2" t="s">
        <v>21</v>
      </c>
      <c r="I508" s="2" t="s">
        <v>1431</v>
      </c>
      <c r="J508" s="3" t="str">
        <f>HYPERLINK("https://www.boe.es/gazeta/dias/1816/01/30/pdfs/GMD-1816-14.pdf#page=4","Abrir facsímil")</f>
        <v>Abrir facsímil</v>
      </c>
      <c r="K508" s="3" t="s">
        <v>23</v>
      </c>
    </row>
    <row r="509" spans="1:11" ht="42" customHeight="1">
      <c r="A509" s="2" t="s">
        <v>1432</v>
      </c>
      <c r="B509" s="2" t="s">
        <v>1433</v>
      </c>
      <c r="C509" s="2" t="s">
        <v>34</v>
      </c>
      <c r="D509" s="2" t="s">
        <v>35</v>
      </c>
      <c r="E509" s="5">
        <v>-30564</v>
      </c>
      <c r="F509" s="3" t="s">
        <v>963</v>
      </c>
      <c r="G509" s="3" t="s">
        <v>964</v>
      </c>
      <c r="H509" s="2" t="s">
        <v>21</v>
      </c>
      <c r="I509" s="2" t="s">
        <v>1434</v>
      </c>
      <c r="J509" s="3" t="str">
        <f>HYPERLINK("https://www.boe.es/gazeta/dias/1816/04/25/pdfs/GMD-1816-53.pdf#page=6","Abrir facsímil")</f>
        <v>Abrir facsímil</v>
      </c>
      <c r="K509" s="3" t="s">
        <v>23</v>
      </c>
    </row>
    <row r="510" spans="1:11" ht="42" customHeight="1">
      <c r="A510" s="2" t="s">
        <v>1435</v>
      </c>
      <c r="B510" s="2" t="s">
        <v>1436</v>
      </c>
      <c r="C510" s="2" t="s">
        <v>387</v>
      </c>
      <c r="D510" s="2" t="s">
        <v>18</v>
      </c>
      <c r="E510" s="5">
        <v>-30529</v>
      </c>
      <c r="F510" s="3" t="s">
        <v>432</v>
      </c>
      <c r="G510" s="3" t="s">
        <v>42</v>
      </c>
      <c r="H510" s="2" t="s">
        <v>21</v>
      </c>
      <c r="I510" s="2" t="s">
        <v>1437</v>
      </c>
      <c r="J510" s="3" t="str">
        <f>HYPERLINK("https://www.boe.es/gazeta/dias/1816/05/30/pdfs/GMD-1816-68.pdf#page=8","Abrir facsímil")</f>
        <v>Abrir facsímil</v>
      </c>
      <c r="K510" s="3" t="s">
        <v>23</v>
      </c>
    </row>
    <row r="511" spans="1:11" ht="42" customHeight="1">
      <c r="A511" s="2" t="s">
        <v>1438</v>
      </c>
      <c r="B511" s="2" t="s">
        <v>1439</v>
      </c>
      <c r="C511" s="2" t="s">
        <v>26</v>
      </c>
      <c r="D511" s="2" t="s">
        <v>18</v>
      </c>
      <c r="E511" s="5">
        <v>-30382</v>
      </c>
      <c r="F511" s="3" t="s">
        <v>326</v>
      </c>
      <c r="G511" s="3" t="s">
        <v>28</v>
      </c>
      <c r="H511" s="2" t="s">
        <v>21</v>
      </c>
      <c r="I511" s="2" t="s">
        <v>1440</v>
      </c>
      <c r="J511" s="3" t="str">
        <f>HYPERLINK("https://www.boe.es/gazeta/dias/1816/10/24/pdfs/GMD-1816-133.pdf#page=6","Abrir facsímil")</f>
        <v>Abrir facsímil</v>
      </c>
      <c r="K511" s="3" t="s">
        <v>23</v>
      </c>
    </row>
    <row r="512" spans="1:11" ht="42" customHeight="1">
      <c r="A512" s="2" t="s">
        <v>1441</v>
      </c>
      <c r="B512" s="2" t="s">
        <v>1442</v>
      </c>
      <c r="C512" s="2" t="s">
        <v>111</v>
      </c>
      <c r="D512" s="2" t="s">
        <v>112</v>
      </c>
      <c r="E512" s="5">
        <v>-30559</v>
      </c>
      <c r="F512" s="3" t="s">
        <v>165</v>
      </c>
      <c r="G512" s="3" t="s">
        <v>166</v>
      </c>
      <c r="H512" s="2" t="s">
        <v>21</v>
      </c>
      <c r="I512" s="2" t="s">
        <v>1443</v>
      </c>
      <c r="J512" s="3" t="str">
        <f>HYPERLINK("https://www.boe.es/gazeta/dias/1816/04/30/pdfs/GMD-1816-55.pdf#page=7","Abrir facsímil")</f>
        <v>Abrir facsímil</v>
      </c>
      <c r="K512" s="3" t="s">
        <v>23</v>
      </c>
    </row>
    <row r="513" spans="1:11" ht="42" customHeight="1">
      <c r="A513" s="2" t="s">
        <v>1444</v>
      </c>
      <c r="B513" s="2" t="s">
        <v>1445</v>
      </c>
      <c r="C513" s="2" t="s">
        <v>67</v>
      </c>
      <c r="D513" s="2" t="s">
        <v>18</v>
      </c>
      <c r="E513" s="5">
        <v>-30594</v>
      </c>
      <c r="F513" s="3" t="s">
        <v>234</v>
      </c>
      <c r="G513" s="3" t="s">
        <v>52</v>
      </c>
      <c r="H513" s="2" t="s">
        <v>21</v>
      </c>
      <c r="I513" s="2" t="s">
        <v>1446</v>
      </c>
      <c r="J513" s="3" t="str">
        <f>HYPERLINK("https://www.boe.es/gazeta/dias/1816/03/26/pdfs/GMD-1816-40.pdf#page=12","Abrir facsímil")</f>
        <v>Abrir facsímil</v>
      </c>
      <c r="K513" s="3" t="s">
        <v>23</v>
      </c>
    </row>
    <row r="514" spans="1:11" ht="42" customHeight="1">
      <c r="A514" s="2" t="s">
        <v>1447</v>
      </c>
      <c r="B514" s="2" t="s">
        <v>1448</v>
      </c>
      <c r="C514" s="2" t="s">
        <v>17</v>
      </c>
      <c r="D514" s="2" t="s">
        <v>56</v>
      </c>
      <c r="E514" s="5">
        <v>-30393</v>
      </c>
      <c r="F514" s="3" t="s">
        <v>202</v>
      </c>
      <c r="G514" s="3" t="s">
        <v>270</v>
      </c>
      <c r="H514" s="2" t="s">
        <v>29</v>
      </c>
      <c r="I514" s="2" t="s">
        <v>1449</v>
      </c>
      <c r="J514" s="3" t="str">
        <f>HYPERLINK("https://www.boe.es/gazeta/dias/1816/10/13/pdfs/GMD-1816-128E.pdf#page=2","Abrir facsímil")</f>
        <v>Abrir facsímil</v>
      </c>
      <c r="K514" s="3" t="s">
        <v>31</v>
      </c>
    </row>
    <row r="515" spans="1:11" ht="42" customHeight="1">
      <c r="A515" s="2" t="s">
        <v>1450</v>
      </c>
      <c r="B515" s="2" t="s">
        <v>1451</v>
      </c>
      <c r="C515" s="2" t="s">
        <v>34</v>
      </c>
      <c r="D515" s="2" t="s">
        <v>35</v>
      </c>
      <c r="E515" s="5">
        <v>-30464</v>
      </c>
      <c r="F515" s="3" t="s">
        <v>215</v>
      </c>
      <c r="G515" s="3" t="s">
        <v>47</v>
      </c>
      <c r="H515" s="2" t="s">
        <v>29</v>
      </c>
      <c r="I515" s="2" t="s">
        <v>1452</v>
      </c>
      <c r="J515" s="3" t="str">
        <f>HYPERLINK("https://www.boe.es/gazeta/dias/1816/08/03/pdfs/GMD-1816-96.pdf#page=5","Abrir facsímil")</f>
        <v>Abrir facsímil</v>
      </c>
      <c r="K515" s="3" t="s">
        <v>31</v>
      </c>
    </row>
    <row r="516" spans="1:11" ht="42" customHeight="1">
      <c r="A516" s="2" t="s">
        <v>1453</v>
      </c>
      <c r="B516" s="2" t="s">
        <v>1454</v>
      </c>
      <c r="C516" s="2" t="s">
        <v>34</v>
      </c>
      <c r="D516" s="2" t="s">
        <v>35</v>
      </c>
      <c r="E516" s="5">
        <v>-30436</v>
      </c>
      <c r="F516" s="3" t="s">
        <v>102</v>
      </c>
      <c r="G516" s="3" t="s">
        <v>92</v>
      </c>
      <c r="H516" s="2" t="s">
        <v>21</v>
      </c>
      <c r="I516" s="2" t="s">
        <v>1455</v>
      </c>
      <c r="J516" s="3" t="str">
        <f>HYPERLINK("https://www.boe.es/gazeta/dias/1816/08/31/pdfs/GMD-1816-108.pdf#page=9","Abrir facsímil")</f>
        <v>Abrir facsímil</v>
      </c>
      <c r="K516" s="3" t="s">
        <v>23</v>
      </c>
    </row>
    <row r="517" spans="1:11" ht="42" customHeight="1">
      <c r="A517" s="2" t="s">
        <v>1456</v>
      </c>
      <c r="B517" s="2" t="s">
        <v>1456</v>
      </c>
      <c r="C517" s="2" t="s">
        <v>34</v>
      </c>
      <c r="D517" s="2" t="s">
        <v>35</v>
      </c>
      <c r="E517" s="5">
        <v>-30485</v>
      </c>
      <c r="F517" s="3" t="s">
        <v>156</v>
      </c>
      <c r="G517" s="3" t="s">
        <v>58</v>
      </c>
      <c r="H517" s="2" t="s">
        <v>21</v>
      </c>
      <c r="I517" s="2" t="s">
        <v>1457</v>
      </c>
      <c r="J517" s="3" t="str">
        <f>HYPERLINK("https://www.boe.es/gazeta/dias/1816/07/13/pdfs/GMD-1816-87.pdf#page=1","Abrir facsímil")</f>
        <v>Abrir facsímil</v>
      </c>
      <c r="K517" s="3" t="s">
        <v>23</v>
      </c>
    </row>
    <row r="518" spans="1:11" ht="42" customHeight="1">
      <c r="A518" s="2" t="s">
        <v>1458</v>
      </c>
      <c r="B518" s="2" t="s">
        <v>1459</v>
      </c>
      <c r="C518" s="2" t="s">
        <v>26</v>
      </c>
      <c r="D518" s="2" t="s">
        <v>18</v>
      </c>
      <c r="E518" s="5">
        <v>-30445</v>
      </c>
      <c r="F518" s="3" t="s">
        <v>51</v>
      </c>
      <c r="G518" s="3" t="s">
        <v>47</v>
      </c>
      <c r="H518" s="2" t="s">
        <v>21</v>
      </c>
      <c r="I518" s="2" t="s">
        <v>1460</v>
      </c>
      <c r="J518" s="3" t="str">
        <f>HYPERLINK("https://www.boe.es/gazeta/dias/1816/08/22/pdfs/GMD-1816-104.pdf#page=5","Abrir facsímil")</f>
        <v>Abrir facsímil</v>
      </c>
      <c r="K518" s="3" t="s">
        <v>23</v>
      </c>
    </row>
    <row r="519" spans="1:11" ht="42" customHeight="1">
      <c r="A519" s="2" t="s">
        <v>1461</v>
      </c>
      <c r="B519" s="2" t="s">
        <v>1462</v>
      </c>
      <c r="C519" s="2" t="s">
        <v>34</v>
      </c>
      <c r="D519" s="2" t="s">
        <v>35</v>
      </c>
      <c r="E519" s="5">
        <v>-30335</v>
      </c>
      <c r="F519" s="3" t="s">
        <v>468</v>
      </c>
      <c r="G519" s="3" t="s">
        <v>1463</v>
      </c>
      <c r="H519" s="2" t="s">
        <v>29</v>
      </c>
      <c r="I519" s="2" t="s">
        <v>1464</v>
      </c>
      <c r="J519" s="3" t="str">
        <f>HYPERLINK("https://www.boe.es/gazeta/dias/1816/12/10/pdfs/GMD-1816-153.pdf#page=6","Abrir facsímil")</f>
        <v>Abrir facsímil</v>
      </c>
      <c r="K519" s="3" t="s">
        <v>31</v>
      </c>
    </row>
    <row r="520" spans="1:11" ht="42" customHeight="1">
      <c r="A520" s="2" t="s">
        <v>1465</v>
      </c>
      <c r="B520" s="2" t="s">
        <v>1466</v>
      </c>
      <c r="C520" s="2" t="s">
        <v>111</v>
      </c>
      <c r="D520" s="2" t="s">
        <v>56</v>
      </c>
      <c r="E520" s="5">
        <v>-30393</v>
      </c>
      <c r="F520" s="3" t="s">
        <v>202</v>
      </c>
      <c r="G520" s="3" t="s">
        <v>270</v>
      </c>
      <c r="H520" s="2" t="s">
        <v>21</v>
      </c>
      <c r="I520" s="2" t="s">
        <v>1467</v>
      </c>
      <c r="J520" s="3" t="str">
        <f>HYPERLINK("https://www.boe.es/gazeta/dias/1816/10/13/pdfs/GMD-1816-128E.pdf#page=2","Abrir facsímil")</f>
        <v>Abrir facsímil</v>
      </c>
      <c r="K520" s="3" t="s">
        <v>23</v>
      </c>
    </row>
    <row r="521" spans="1:11" ht="42" customHeight="1">
      <c r="A521" s="2" t="s">
        <v>1468</v>
      </c>
      <c r="B521" s="2" t="s">
        <v>1469</v>
      </c>
      <c r="C521" s="2" t="s">
        <v>111</v>
      </c>
      <c r="D521" s="2" t="s">
        <v>112</v>
      </c>
      <c r="E521" s="5">
        <v>-30636</v>
      </c>
      <c r="F521" s="3" t="s">
        <v>82</v>
      </c>
      <c r="G521" s="3" t="s">
        <v>72</v>
      </c>
      <c r="H521" s="2" t="s">
        <v>21</v>
      </c>
      <c r="I521" s="2" t="s">
        <v>1470</v>
      </c>
      <c r="J521" s="3" t="str">
        <f>HYPERLINK("https://www.boe.es/gazeta/dias/1816/02/13/pdfs/GMD-1816-20.pdf#page=7","Abrir facsímil")</f>
        <v>Abrir facsímil</v>
      </c>
      <c r="K521" s="3" t="s">
        <v>23</v>
      </c>
    </row>
    <row r="522" spans="1:11" ht="42" customHeight="1">
      <c r="A522" s="2" t="s">
        <v>1471</v>
      </c>
      <c r="B522" s="2" t="s">
        <v>1472</v>
      </c>
      <c r="C522" s="2" t="s">
        <v>34</v>
      </c>
      <c r="D522" s="2" t="s">
        <v>35</v>
      </c>
      <c r="E522" s="5">
        <v>-30377</v>
      </c>
      <c r="F522" s="3" t="s">
        <v>138</v>
      </c>
      <c r="G522" s="3" t="s">
        <v>47</v>
      </c>
      <c r="H522" s="2" t="s">
        <v>21</v>
      </c>
      <c r="I522" s="2" t="s">
        <v>1473</v>
      </c>
      <c r="J522" s="3" t="str">
        <f>HYPERLINK("https://www.boe.es/gazeta/dias/1816/10/29/pdfs/GMD-1816-135.pdf#page=5","Abrir facsímil")</f>
        <v>Abrir facsímil</v>
      </c>
      <c r="K522" s="3" t="s">
        <v>23</v>
      </c>
    </row>
    <row r="523" spans="1:11" ht="42" customHeight="1">
      <c r="A523" s="2" t="s">
        <v>1474</v>
      </c>
      <c r="B523" s="2" t="s">
        <v>1475</v>
      </c>
      <c r="C523" s="2" t="s">
        <v>26</v>
      </c>
      <c r="D523" s="2" t="s">
        <v>18</v>
      </c>
      <c r="E523" s="5">
        <v>-30391</v>
      </c>
      <c r="F523" s="3" t="s">
        <v>482</v>
      </c>
      <c r="G523" s="3" t="s">
        <v>72</v>
      </c>
      <c r="H523" s="2" t="s">
        <v>21</v>
      </c>
      <c r="I523" s="2" t="s">
        <v>1476</v>
      </c>
      <c r="J523" s="3" t="str">
        <f>HYPERLINK("https://www.boe.es/gazeta/dias/1816/10/15/pdfs/GMD-1816-129.pdf#page=7","Abrir facsímil")</f>
        <v>Abrir facsímil</v>
      </c>
      <c r="K523" s="3" t="s">
        <v>23</v>
      </c>
    </row>
    <row r="524" spans="1:11" ht="42" customHeight="1">
      <c r="A524" s="2" t="s">
        <v>1477</v>
      </c>
      <c r="B524" s="2" t="s">
        <v>1478</v>
      </c>
      <c r="C524" s="2" t="s">
        <v>111</v>
      </c>
      <c r="D524" s="2" t="s">
        <v>112</v>
      </c>
      <c r="E524" s="5">
        <v>-30370</v>
      </c>
      <c r="F524" s="3" t="s">
        <v>669</v>
      </c>
      <c r="G524" s="3" t="s">
        <v>103</v>
      </c>
      <c r="H524" s="2" t="s">
        <v>21</v>
      </c>
      <c r="I524" s="2" t="s">
        <v>1479</v>
      </c>
      <c r="J524" s="3" t="str">
        <f>HYPERLINK("https://www.boe.es/gazeta/dias/1816/11/05/pdfs/GMD-1816-138.pdf#page=4","Abrir facsímil")</f>
        <v>Abrir facsímil</v>
      </c>
      <c r="K524" s="3" t="s">
        <v>23</v>
      </c>
    </row>
    <row r="525" spans="1:11" ht="42" customHeight="1">
      <c r="A525" s="2" t="s">
        <v>1480</v>
      </c>
      <c r="B525" s="2" t="s">
        <v>1481</v>
      </c>
      <c r="C525" s="2" t="s">
        <v>41</v>
      </c>
      <c r="D525" s="2" t="s">
        <v>56</v>
      </c>
      <c r="E525" s="5">
        <v>-30393</v>
      </c>
      <c r="F525" s="3" t="s">
        <v>202</v>
      </c>
      <c r="G525" s="3" t="s">
        <v>270</v>
      </c>
      <c r="H525" s="2" t="s">
        <v>21</v>
      </c>
      <c r="I525" s="2" t="s">
        <v>1482</v>
      </c>
      <c r="J525" s="3" t="str">
        <f>HYPERLINK("https://www.boe.es/gazeta/dias/1816/10/13/pdfs/GMD-1816-128E.pdf#page=2","Abrir facsímil")</f>
        <v>Abrir facsímil</v>
      </c>
      <c r="K525" s="3" t="s">
        <v>23</v>
      </c>
    </row>
    <row r="526" spans="1:11" ht="42" customHeight="1">
      <c r="A526" s="2" t="s">
        <v>1483</v>
      </c>
      <c r="B526" s="2" t="s">
        <v>1484</v>
      </c>
      <c r="C526" s="2" t="s">
        <v>111</v>
      </c>
      <c r="D526" s="2" t="s">
        <v>112</v>
      </c>
      <c r="E526" s="5">
        <v>-30326</v>
      </c>
      <c r="F526" s="3" t="s">
        <v>377</v>
      </c>
      <c r="G526" s="3" t="s">
        <v>72</v>
      </c>
      <c r="H526" s="2" t="s">
        <v>21</v>
      </c>
      <c r="I526" s="2" t="s">
        <v>1485</v>
      </c>
      <c r="J526" s="3" t="str">
        <f>HYPERLINK("https://www.boe.es/gazeta/dias/1816/12/19/pdfs/GMD-1816-157.pdf#page=7","Abrir facsímil")</f>
        <v>Abrir facsímil</v>
      </c>
      <c r="K526" s="3" t="s">
        <v>23</v>
      </c>
    </row>
    <row r="527" spans="1:11" ht="42" customHeight="1">
      <c r="A527" s="2" t="s">
        <v>1486</v>
      </c>
      <c r="B527" s="2" t="s">
        <v>1486</v>
      </c>
      <c r="C527" s="2" t="s">
        <v>26</v>
      </c>
      <c r="D527" s="2" t="s">
        <v>18</v>
      </c>
      <c r="E527" s="5">
        <v>-30545</v>
      </c>
      <c r="F527" s="3" t="s">
        <v>127</v>
      </c>
      <c r="G527" s="3" t="s">
        <v>184</v>
      </c>
      <c r="H527" s="2" t="s">
        <v>21</v>
      </c>
      <c r="I527" s="2" t="s">
        <v>1487</v>
      </c>
      <c r="J527" s="3" t="str">
        <f>HYPERLINK("https://www.boe.es/gazeta/dias/1816/05/14/pdfs/GMD-1816-61.pdf#page=3","Abrir facsímil")</f>
        <v>Abrir facsímil</v>
      </c>
      <c r="K527" s="3" t="s">
        <v>23</v>
      </c>
    </row>
    <row r="528" spans="1:11" ht="42" customHeight="1">
      <c r="A528" s="2" t="s">
        <v>1488</v>
      </c>
      <c r="B528" s="2" t="s">
        <v>1489</v>
      </c>
      <c r="C528" s="2" t="s">
        <v>26</v>
      </c>
      <c r="D528" s="2" t="s">
        <v>18</v>
      </c>
      <c r="E528" s="5">
        <v>-30648</v>
      </c>
      <c r="F528" s="3" t="s">
        <v>872</v>
      </c>
      <c r="G528" s="3" t="s">
        <v>72</v>
      </c>
      <c r="H528" s="2" t="s">
        <v>21</v>
      </c>
      <c r="I528" s="2" t="s">
        <v>1490</v>
      </c>
      <c r="J528" s="3" t="str">
        <f>HYPERLINK("https://www.boe.es/gazeta/dias/1816/02/01/pdfs/GMD-1816-15.pdf#page=7","Abrir facsímil")</f>
        <v>Abrir facsímil</v>
      </c>
      <c r="K528" s="3" t="s">
        <v>23</v>
      </c>
    </row>
    <row r="529" spans="1:11" ht="42" customHeight="1">
      <c r="A529" s="2" t="s">
        <v>1491</v>
      </c>
      <c r="B529" s="2" t="s">
        <v>1492</v>
      </c>
      <c r="C529" s="2" t="s">
        <v>26</v>
      </c>
      <c r="D529" s="2" t="s">
        <v>18</v>
      </c>
      <c r="E529" s="5">
        <v>-30648</v>
      </c>
      <c r="F529" s="3" t="s">
        <v>872</v>
      </c>
      <c r="G529" s="3" t="s">
        <v>28</v>
      </c>
      <c r="H529" s="2" t="s">
        <v>21</v>
      </c>
      <c r="I529" s="2" t="s">
        <v>1493</v>
      </c>
      <c r="J529" s="3" t="str">
        <f>HYPERLINK("https://www.boe.es/gazeta/dias/1816/02/01/pdfs/GMD-1816-15.pdf#page=6","Abrir facsímil")</f>
        <v>Abrir facsímil</v>
      </c>
      <c r="K529" s="3" t="s">
        <v>23</v>
      </c>
    </row>
    <row r="530" spans="1:11" ht="42" customHeight="1">
      <c r="A530" s="2" t="s">
        <v>1494</v>
      </c>
      <c r="B530" s="2" t="s">
        <v>1495</v>
      </c>
      <c r="C530" s="2" t="s">
        <v>26</v>
      </c>
      <c r="D530" s="2" t="s">
        <v>18</v>
      </c>
      <c r="E530" s="5">
        <v>-30445</v>
      </c>
      <c r="F530" s="3" t="s">
        <v>51</v>
      </c>
      <c r="G530" s="3" t="s">
        <v>47</v>
      </c>
      <c r="H530" s="2" t="s">
        <v>21</v>
      </c>
      <c r="I530" s="2" t="s">
        <v>1496</v>
      </c>
      <c r="J530" s="3" t="str">
        <f>HYPERLINK("https://www.boe.es/gazeta/dias/1816/08/22/pdfs/GMD-1816-104.pdf#page=5","Abrir facsímil")</f>
        <v>Abrir facsímil</v>
      </c>
      <c r="K530" s="3" t="s">
        <v>23</v>
      </c>
    </row>
    <row r="531" spans="1:11" ht="42" customHeight="1">
      <c r="A531" s="2" t="s">
        <v>1497</v>
      </c>
      <c r="B531" s="2" t="s">
        <v>1498</v>
      </c>
      <c r="C531" s="2" t="s">
        <v>26</v>
      </c>
      <c r="D531" s="2" t="s">
        <v>18</v>
      </c>
      <c r="E531" s="5">
        <v>-30394</v>
      </c>
      <c r="F531" s="3" t="s">
        <v>589</v>
      </c>
      <c r="G531" s="3" t="s">
        <v>42</v>
      </c>
      <c r="H531" s="2" t="s">
        <v>21</v>
      </c>
      <c r="I531" s="2" t="s">
        <v>1499</v>
      </c>
      <c r="J531" s="3" t="str">
        <f>HYPERLINK("https://www.boe.es/gazeta/dias/1816/10/12/pdfs/GMD-1816-127.pdf#page=8","Abrir facsímil")</f>
        <v>Abrir facsímil</v>
      </c>
      <c r="K531" s="3" t="s">
        <v>23</v>
      </c>
    </row>
    <row r="532" spans="1:11" ht="42" customHeight="1">
      <c r="A532" s="2" t="s">
        <v>1500</v>
      </c>
      <c r="B532" s="2" t="s">
        <v>1501</v>
      </c>
      <c r="C532" s="2" t="s">
        <v>26</v>
      </c>
      <c r="D532" s="2" t="s">
        <v>18</v>
      </c>
      <c r="E532" s="5">
        <v>-30354</v>
      </c>
      <c r="F532" s="3" t="s">
        <v>68</v>
      </c>
      <c r="G532" s="3" t="s">
        <v>42</v>
      </c>
      <c r="H532" s="2" t="s">
        <v>21</v>
      </c>
      <c r="I532" s="2" t="s">
        <v>1502</v>
      </c>
      <c r="J532" s="3" t="str">
        <f>HYPERLINK("https://www.boe.es/gazeta/dias/1816/11/21/pdfs/GMD-1816-145.pdf#page=8","Abrir facsímil")</f>
        <v>Abrir facsímil</v>
      </c>
      <c r="K532" s="3" t="s">
        <v>23</v>
      </c>
    </row>
    <row r="533" spans="1:11" ht="42" customHeight="1">
      <c r="A533" s="2" t="s">
        <v>1503</v>
      </c>
      <c r="B533" s="2" t="s">
        <v>1504</v>
      </c>
      <c r="C533" s="2" t="s">
        <v>111</v>
      </c>
      <c r="D533" s="2" t="s">
        <v>112</v>
      </c>
      <c r="E533" s="5">
        <v>-30335</v>
      </c>
      <c r="F533" s="3" t="s">
        <v>468</v>
      </c>
      <c r="G533" s="3" t="s">
        <v>47</v>
      </c>
      <c r="H533" s="2" t="s">
        <v>21</v>
      </c>
      <c r="I533" s="2" t="s">
        <v>1505</v>
      </c>
      <c r="J533" s="3" t="str">
        <f>HYPERLINK("https://www.boe.es/gazeta/dias/1816/12/10/pdfs/GMD-1816-153.pdf#page=5","Abrir facsímil")</f>
        <v>Abrir facsímil</v>
      </c>
      <c r="K533" s="3" t="s">
        <v>23</v>
      </c>
    </row>
    <row r="534" spans="1:11" ht="42" customHeight="1">
      <c r="A534" s="2" t="s">
        <v>1506</v>
      </c>
      <c r="B534" s="2" t="s">
        <v>1507</v>
      </c>
      <c r="C534" s="2" t="s">
        <v>67</v>
      </c>
      <c r="D534" s="2" t="s">
        <v>56</v>
      </c>
      <c r="E534" s="5">
        <v>-30393</v>
      </c>
      <c r="F534" s="3" t="s">
        <v>202</v>
      </c>
      <c r="G534" s="3" t="s">
        <v>270</v>
      </c>
      <c r="H534" s="2" t="s">
        <v>21</v>
      </c>
      <c r="I534" s="2" t="s">
        <v>1508</v>
      </c>
      <c r="J534" s="3" t="str">
        <f>HYPERLINK("https://www.boe.es/gazeta/dias/1816/10/13/pdfs/GMD-1816-128E.pdf#page=2","Abrir facsímil")</f>
        <v>Abrir facsímil</v>
      </c>
      <c r="K534" s="3" t="s">
        <v>23</v>
      </c>
    </row>
    <row r="535" spans="1:11" ht="42" customHeight="1">
      <c r="A535" s="2" t="s">
        <v>1509</v>
      </c>
      <c r="B535" s="2" t="s">
        <v>1510</v>
      </c>
      <c r="C535" s="2" t="s">
        <v>111</v>
      </c>
      <c r="D535" s="2" t="s">
        <v>112</v>
      </c>
      <c r="E535" s="5">
        <v>-30513</v>
      </c>
      <c r="F535" s="3" t="s">
        <v>582</v>
      </c>
      <c r="G535" s="3" t="s">
        <v>42</v>
      </c>
      <c r="H535" s="2" t="s">
        <v>21</v>
      </c>
      <c r="I535" s="2" t="s">
        <v>1511</v>
      </c>
      <c r="J535" s="3" t="str">
        <f>HYPERLINK("https://www.boe.es/gazeta/dias/1816/06/15/pdfs/GMD-1816-75.pdf#page=8","Abrir facsímil")</f>
        <v>Abrir facsímil</v>
      </c>
      <c r="K535" s="3" t="s">
        <v>23</v>
      </c>
    </row>
    <row r="536" spans="1:11" ht="42" customHeight="1">
      <c r="A536" s="2" t="s">
        <v>1512</v>
      </c>
      <c r="B536" s="2" t="s">
        <v>1513</v>
      </c>
      <c r="C536" s="2" t="s">
        <v>111</v>
      </c>
      <c r="D536" s="2" t="s">
        <v>112</v>
      </c>
      <c r="E536" s="5">
        <v>-30513</v>
      </c>
      <c r="F536" s="3" t="s">
        <v>582</v>
      </c>
      <c r="G536" s="3" t="s">
        <v>42</v>
      </c>
      <c r="H536" s="2" t="s">
        <v>21</v>
      </c>
      <c r="I536" s="2" t="s">
        <v>1514</v>
      </c>
      <c r="J536" s="3" t="str">
        <f>HYPERLINK("https://www.boe.es/gazeta/dias/1816/06/15/pdfs/GMD-1816-75.pdf#page=8","Abrir facsímil")</f>
        <v>Abrir facsímil</v>
      </c>
      <c r="K536" s="3" t="s">
        <v>23</v>
      </c>
    </row>
    <row r="537" spans="1:11" ht="42" customHeight="1">
      <c r="A537" s="2" t="s">
        <v>1515</v>
      </c>
      <c r="B537" s="2" t="s">
        <v>1515</v>
      </c>
      <c r="C537" s="2" t="s">
        <v>111</v>
      </c>
      <c r="D537" s="2" t="s">
        <v>112</v>
      </c>
      <c r="E537" s="5">
        <v>-30667</v>
      </c>
      <c r="F537" s="3" t="s">
        <v>659</v>
      </c>
      <c r="G537" s="3" t="s">
        <v>1516</v>
      </c>
      <c r="H537" s="2" t="s">
        <v>21</v>
      </c>
      <c r="I537" s="2" t="s">
        <v>1517</v>
      </c>
      <c r="J537" s="3" t="str">
        <f>HYPERLINK("https://www.boe.es/gazeta/dias/1816/01/13/pdfs/GMD-1816-6.pdf#page=6","Abrir facsímil")</f>
        <v>Abrir facsímil</v>
      </c>
      <c r="K537" s="3" t="s">
        <v>23</v>
      </c>
    </row>
    <row r="538" spans="1:11" ht="42" customHeight="1">
      <c r="A538" s="2" t="s">
        <v>1515</v>
      </c>
      <c r="B538" s="2" t="s">
        <v>1515</v>
      </c>
      <c r="C538" s="2" t="s">
        <v>41</v>
      </c>
      <c r="D538" s="2" t="s">
        <v>18</v>
      </c>
      <c r="E538" s="5">
        <v>-30571</v>
      </c>
      <c r="F538" s="3" t="s">
        <v>738</v>
      </c>
      <c r="G538" s="3" t="s">
        <v>42</v>
      </c>
      <c r="H538" s="2" t="s">
        <v>21</v>
      </c>
      <c r="I538" s="2" t="s">
        <v>1518</v>
      </c>
      <c r="J538" s="3" t="str">
        <f>HYPERLINK("https://www.boe.es/gazeta/dias/1816/04/18/pdfs/GMD-1816-50.pdf#page=8","Abrir facsímil")</f>
        <v>Abrir facsímil</v>
      </c>
      <c r="K538" s="3" t="s">
        <v>23</v>
      </c>
    </row>
    <row r="539" spans="1:11" ht="42" customHeight="1">
      <c r="A539" s="2" t="s">
        <v>1519</v>
      </c>
      <c r="B539" s="2" t="s">
        <v>1519</v>
      </c>
      <c r="C539" s="2" t="s">
        <v>26</v>
      </c>
      <c r="D539" s="2" t="s">
        <v>18</v>
      </c>
      <c r="E539" s="5">
        <v>-30557</v>
      </c>
      <c r="F539" s="3" t="s">
        <v>508</v>
      </c>
      <c r="G539" s="3" t="s">
        <v>47</v>
      </c>
      <c r="H539" s="2" t="s">
        <v>21</v>
      </c>
      <c r="I539" s="2" t="s">
        <v>1520</v>
      </c>
      <c r="J539" s="3" t="str">
        <f>HYPERLINK("https://www.boe.es/gazeta/dias/1816/05/02/pdfs/GMD-1816-56.pdf#page=5","Abrir facsímil")</f>
        <v>Abrir facsímil</v>
      </c>
      <c r="K539" s="3" t="s">
        <v>23</v>
      </c>
    </row>
    <row r="540" spans="1:11" ht="42" customHeight="1">
      <c r="A540" s="2" t="s">
        <v>1521</v>
      </c>
      <c r="B540" s="2" t="s">
        <v>1522</v>
      </c>
      <c r="C540" s="2" t="s">
        <v>81</v>
      </c>
      <c r="D540" s="2" t="s">
        <v>18</v>
      </c>
      <c r="E540" s="5">
        <v>-30454</v>
      </c>
      <c r="F540" s="3" t="s">
        <v>188</v>
      </c>
      <c r="G540" s="3" t="s">
        <v>52</v>
      </c>
      <c r="H540" s="2" t="s">
        <v>21</v>
      </c>
      <c r="I540" s="2" t="s">
        <v>1523</v>
      </c>
      <c r="J540" s="3" t="str">
        <f>HYPERLINK("https://www.boe.es/gazeta/dias/1816/08/13/pdfs/GMD-1816-100.pdf#page=12","Abrir facsímil")</f>
        <v>Abrir facsímil</v>
      </c>
      <c r="K540" s="3" t="s">
        <v>23</v>
      </c>
    </row>
    <row r="541" spans="1:11" ht="42" customHeight="1">
      <c r="A541" s="2" t="s">
        <v>1524</v>
      </c>
      <c r="B541" s="2" t="s">
        <v>1525</v>
      </c>
      <c r="C541" s="2" t="s">
        <v>111</v>
      </c>
      <c r="D541" s="2" t="s">
        <v>56</v>
      </c>
      <c r="E541" s="5">
        <v>-30393</v>
      </c>
      <c r="F541" s="3" t="s">
        <v>202</v>
      </c>
      <c r="G541" s="3" t="s">
        <v>645</v>
      </c>
      <c r="H541" s="2" t="s">
        <v>21</v>
      </c>
      <c r="I541" s="2" t="s">
        <v>1526</v>
      </c>
      <c r="J541" s="3" t="str">
        <f>HYPERLINK("https://www.boe.es/gazeta/dias/1816/10/13/pdfs/GMD-1816-128E.pdf#page=4","Abrir facsímil")</f>
        <v>Abrir facsímil</v>
      </c>
      <c r="K541" s="3" t="s">
        <v>23</v>
      </c>
    </row>
    <row r="542" spans="1:11" ht="42" customHeight="1">
      <c r="A542" s="2" t="s">
        <v>1527</v>
      </c>
      <c r="B542" s="2" t="s">
        <v>1528</v>
      </c>
      <c r="C542" s="2" t="s">
        <v>34</v>
      </c>
      <c r="D542" s="2" t="s">
        <v>35</v>
      </c>
      <c r="E542" s="5">
        <v>-30464</v>
      </c>
      <c r="F542" s="3" t="s">
        <v>215</v>
      </c>
      <c r="G542" s="3" t="s">
        <v>92</v>
      </c>
      <c r="H542" s="2" t="s">
        <v>29</v>
      </c>
      <c r="I542" s="2" t="s">
        <v>1529</v>
      </c>
      <c r="J542" s="3" t="str">
        <f>HYPERLINK("https://www.boe.es/gazeta/dias/1816/08/03/pdfs/GMD-1816-96.pdf#page=9","Abrir facsímil")</f>
        <v>Abrir facsímil</v>
      </c>
      <c r="K542" s="3" t="s">
        <v>31</v>
      </c>
    </row>
    <row r="543" spans="1:11" ht="42" customHeight="1">
      <c r="A543" s="2" t="s">
        <v>1530</v>
      </c>
      <c r="B543" s="2" t="s">
        <v>1531</v>
      </c>
      <c r="C543" s="2" t="s">
        <v>26</v>
      </c>
      <c r="D543" s="2" t="s">
        <v>18</v>
      </c>
      <c r="E543" s="5">
        <v>-30655</v>
      </c>
      <c r="F543" s="3" t="s">
        <v>170</v>
      </c>
      <c r="G543" s="3" t="s">
        <v>72</v>
      </c>
      <c r="H543" s="2" t="s">
        <v>21</v>
      </c>
      <c r="I543" s="2" t="s">
        <v>1532</v>
      </c>
      <c r="J543" s="3" t="str">
        <f>HYPERLINK("https://www.boe.es/gazeta/dias/1816/01/25/pdfs/GMD-1816-11.pdf#page=7","Abrir facsímil")</f>
        <v>Abrir facsímil</v>
      </c>
      <c r="K543" s="3" t="s">
        <v>23</v>
      </c>
    </row>
    <row r="544" spans="1:11" ht="42" customHeight="1">
      <c r="A544" s="2" t="s">
        <v>1533</v>
      </c>
      <c r="B544" s="2" t="s">
        <v>1534</v>
      </c>
      <c r="C544" s="2" t="s">
        <v>111</v>
      </c>
      <c r="D544" s="2" t="s">
        <v>112</v>
      </c>
      <c r="E544" s="5">
        <v>-30557</v>
      </c>
      <c r="F544" s="3" t="s">
        <v>508</v>
      </c>
      <c r="G544" s="3" t="s">
        <v>103</v>
      </c>
      <c r="H544" s="2" t="s">
        <v>21</v>
      </c>
      <c r="I544" s="2" t="s">
        <v>1535</v>
      </c>
      <c r="J544" s="3" t="str">
        <f>HYPERLINK("https://www.boe.es/gazeta/dias/1816/05/02/pdfs/GMD-1816-56.pdf#page=4","Abrir facsímil")</f>
        <v>Abrir facsímil</v>
      </c>
      <c r="K544" s="3" t="s">
        <v>23</v>
      </c>
    </row>
    <row r="545" spans="1:11" ht="42" customHeight="1">
      <c r="A545" s="2" t="s">
        <v>1536</v>
      </c>
      <c r="B545" s="2" t="s">
        <v>1537</v>
      </c>
      <c r="C545" s="2" t="s">
        <v>34</v>
      </c>
      <c r="D545" s="2" t="s">
        <v>35</v>
      </c>
      <c r="E545" s="5">
        <v>-30499</v>
      </c>
      <c r="F545" s="3" t="s">
        <v>971</v>
      </c>
      <c r="G545" s="3" t="s">
        <v>92</v>
      </c>
      <c r="H545" s="2" t="s">
        <v>21</v>
      </c>
      <c r="I545" s="2" t="s">
        <v>1538</v>
      </c>
      <c r="J545" s="3" t="str">
        <f>HYPERLINK("https://www.boe.es/gazeta/dias/1816/06/29/pdfs/GMD-1816-81.pdf#page=9","Abrir facsímil")</f>
        <v>Abrir facsímil</v>
      </c>
      <c r="K545" s="3" t="s">
        <v>23</v>
      </c>
    </row>
    <row r="546" spans="1:11" ht="42" customHeight="1">
      <c r="A546" s="2" t="s">
        <v>1536</v>
      </c>
      <c r="B546" s="2" t="s">
        <v>1537</v>
      </c>
      <c r="C546" s="2" t="s">
        <v>34</v>
      </c>
      <c r="D546" s="2" t="s">
        <v>35</v>
      </c>
      <c r="E546" s="5">
        <v>-30326</v>
      </c>
      <c r="F546" s="3" t="s">
        <v>377</v>
      </c>
      <c r="G546" s="3" t="s">
        <v>47</v>
      </c>
      <c r="H546" s="2" t="s">
        <v>21</v>
      </c>
      <c r="I546" s="2" t="s">
        <v>1539</v>
      </c>
      <c r="J546" s="3" t="str">
        <f>HYPERLINK("https://www.boe.es/gazeta/dias/1816/12/19/pdfs/GMD-1816-157.pdf#page=5","Abrir facsímil")</f>
        <v>Abrir facsímil</v>
      </c>
      <c r="K546" s="3" t="s">
        <v>23</v>
      </c>
    </row>
    <row r="547" spans="1:11" ht="42" customHeight="1">
      <c r="A547" s="2" t="s">
        <v>1536</v>
      </c>
      <c r="B547" s="2" t="s">
        <v>1537</v>
      </c>
      <c r="C547" s="2" t="s">
        <v>34</v>
      </c>
      <c r="D547" s="2" t="s">
        <v>35</v>
      </c>
      <c r="E547" s="5">
        <v>-30326</v>
      </c>
      <c r="F547" s="3" t="s">
        <v>377</v>
      </c>
      <c r="G547" s="3" t="s">
        <v>28</v>
      </c>
      <c r="H547" s="2" t="s">
        <v>21</v>
      </c>
      <c r="I547" s="2" t="s">
        <v>1540</v>
      </c>
      <c r="J547" s="3" t="str">
        <f>HYPERLINK("https://www.boe.es/gazeta/dias/1816/12/19/pdfs/GMD-1816-157.pdf#page=6","Abrir facsímil")</f>
        <v>Abrir facsímil</v>
      </c>
      <c r="K547" s="3" t="s">
        <v>23</v>
      </c>
    </row>
    <row r="548" spans="1:11" ht="42" customHeight="1">
      <c r="A548" s="2" t="s">
        <v>1536</v>
      </c>
      <c r="B548" s="2" t="s">
        <v>1537</v>
      </c>
      <c r="C548" s="2" t="s">
        <v>34</v>
      </c>
      <c r="D548" s="2" t="s">
        <v>35</v>
      </c>
      <c r="E548" s="5">
        <v>-30326</v>
      </c>
      <c r="F548" s="3" t="s">
        <v>377</v>
      </c>
      <c r="G548" s="3" t="s">
        <v>72</v>
      </c>
      <c r="H548" s="2" t="s">
        <v>21</v>
      </c>
      <c r="I548" s="2" t="s">
        <v>1541</v>
      </c>
      <c r="J548" s="3" t="str">
        <f>HYPERLINK("https://www.boe.es/gazeta/dias/1816/12/19/pdfs/GMD-1816-157.pdf#page=7","Abrir facsímil")</f>
        <v>Abrir facsímil</v>
      </c>
      <c r="K548" s="3" t="s">
        <v>23</v>
      </c>
    </row>
    <row r="549" spans="1:11" ht="42" customHeight="1">
      <c r="A549" s="2" t="s">
        <v>1542</v>
      </c>
      <c r="B549" s="2" t="s">
        <v>1543</v>
      </c>
      <c r="C549" s="2" t="s">
        <v>26</v>
      </c>
      <c r="D549" s="2" t="s">
        <v>18</v>
      </c>
      <c r="E549" s="5">
        <v>-30410</v>
      </c>
      <c r="F549" s="3" t="s">
        <v>1259</v>
      </c>
      <c r="G549" s="3" t="s">
        <v>175</v>
      </c>
      <c r="H549" s="2" t="s">
        <v>21</v>
      </c>
      <c r="I549" s="2" t="s">
        <v>1544</v>
      </c>
      <c r="J549" s="3" t="str">
        <f>HYPERLINK("https://www.boe.es/gazeta/dias/1816/09/26/pdfs/GMD-1816-119.pdf#page=11","Abrir facsímil")</f>
        <v>Abrir facsímil</v>
      </c>
      <c r="K549" s="3" t="s">
        <v>23</v>
      </c>
    </row>
    <row r="550" spans="1:11" ht="42" customHeight="1">
      <c r="A550" s="2" t="s">
        <v>1545</v>
      </c>
      <c r="B550" s="2" t="s">
        <v>1546</v>
      </c>
      <c r="C550" s="2" t="s">
        <v>34</v>
      </c>
      <c r="D550" s="2" t="s">
        <v>35</v>
      </c>
      <c r="E550" s="5">
        <v>-30433</v>
      </c>
      <c r="F550" s="3" t="s">
        <v>954</v>
      </c>
      <c r="G550" s="3" t="s">
        <v>28</v>
      </c>
      <c r="H550" s="2" t="s">
        <v>21</v>
      </c>
      <c r="I550" s="2" t="s">
        <v>1547</v>
      </c>
      <c r="J550" s="3" t="str">
        <f>HYPERLINK("https://www.boe.es/gazeta/dias/1816/09/03/pdfs/GMD-1816-109.pdf#page=6","Abrir facsímil")</f>
        <v>Abrir facsímil</v>
      </c>
      <c r="K550" s="3" t="s">
        <v>23</v>
      </c>
    </row>
    <row r="551" spans="1:11" ht="42" customHeight="1">
      <c r="A551" s="2" t="s">
        <v>1548</v>
      </c>
      <c r="B551" s="2" t="s">
        <v>1549</v>
      </c>
      <c r="C551" s="2" t="s">
        <v>34</v>
      </c>
      <c r="D551" s="2" t="s">
        <v>35</v>
      </c>
      <c r="E551" s="5">
        <v>-30415</v>
      </c>
      <c r="F551" s="3" t="s">
        <v>585</v>
      </c>
      <c r="G551" s="3" t="s">
        <v>52</v>
      </c>
      <c r="H551" s="2" t="s">
        <v>21</v>
      </c>
      <c r="I551" s="2" t="s">
        <v>1550</v>
      </c>
      <c r="J551" s="3" t="str">
        <f>HYPERLINK("https://www.boe.es/gazeta/dias/1816/09/21/pdfs/GMD-1816-117.pdf#page=12","Abrir facsímil")</f>
        <v>Abrir facsímil</v>
      </c>
      <c r="K551" s="3" t="s">
        <v>23</v>
      </c>
    </row>
    <row r="552" spans="1:11" ht="42" customHeight="1">
      <c r="A552" s="2" t="s">
        <v>1551</v>
      </c>
      <c r="B552" s="2" t="s">
        <v>1552</v>
      </c>
      <c r="C552" s="2" t="s">
        <v>111</v>
      </c>
      <c r="D552" s="2" t="s">
        <v>112</v>
      </c>
      <c r="E552" s="5">
        <v>-30352</v>
      </c>
      <c r="F552" s="3" t="s">
        <v>407</v>
      </c>
      <c r="G552" s="3" t="s">
        <v>1553</v>
      </c>
      <c r="H552" s="2" t="s">
        <v>29</v>
      </c>
      <c r="I552" s="2" t="s">
        <v>1554</v>
      </c>
      <c r="J552" s="3" t="str">
        <f>HYPERLINK("https://www.boe.es/gazeta/dias/1816/11/23/pdfs/GMD-1816-146.pdf#page=4","Abrir facsímil")</f>
        <v>Abrir facsímil</v>
      </c>
      <c r="K552" s="3" t="s">
        <v>31</v>
      </c>
    </row>
    <row r="553" spans="1:11" ht="42" customHeight="1">
      <c r="A553" s="2" t="s">
        <v>1555</v>
      </c>
      <c r="B553" s="2" t="s">
        <v>1555</v>
      </c>
      <c r="C553" s="2" t="s">
        <v>34</v>
      </c>
      <c r="D553" s="2" t="s">
        <v>35</v>
      </c>
      <c r="E553" s="5">
        <v>-30354</v>
      </c>
      <c r="F553" s="3" t="s">
        <v>68</v>
      </c>
      <c r="G553" s="3" t="s">
        <v>58</v>
      </c>
      <c r="H553" s="2" t="s">
        <v>21</v>
      </c>
      <c r="I553" s="2" t="s">
        <v>1556</v>
      </c>
      <c r="J553" s="3" t="str">
        <f>HYPERLINK("https://www.boe.es/gazeta/dias/1816/11/21/pdfs/GMD-1816-145.pdf#page=1","Abrir facsímil")</f>
        <v>Abrir facsímil</v>
      </c>
      <c r="K553" s="3" t="s">
        <v>23</v>
      </c>
    </row>
    <row r="554" spans="1:11" ht="42" customHeight="1">
      <c r="A554" s="2" t="s">
        <v>1557</v>
      </c>
      <c r="B554" s="2" t="s">
        <v>1558</v>
      </c>
      <c r="C554" s="2" t="s">
        <v>111</v>
      </c>
      <c r="D554" s="2" t="s">
        <v>112</v>
      </c>
      <c r="E554" s="5">
        <v>-30375</v>
      </c>
      <c r="F554" s="3" t="s">
        <v>404</v>
      </c>
      <c r="G554" s="3" t="s">
        <v>405</v>
      </c>
      <c r="H554" s="2" t="s">
        <v>21</v>
      </c>
      <c r="I554" s="2" t="s">
        <v>1559</v>
      </c>
      <c r="J554" s="3" t="str">
        <f>HYPERLINK("https://www.boe.es/gazeta/dias/1816/10/31/pdfs/GMD-1816-136.pdf#page=6","Abrir facsímil")</f>
        <v>Abrir facsímil</v>
      </c>
      <c r="K554" s="3" t="s">
        <v>23</v>
      </c>
    </row>
    <row r="555" spans="1:11" ht="42" customHeight="1">
      <c r="A555" s="2" t="s">
        <v>1560</v>
      </c>
      <c r="B555" s="2" t="s">
        <v>1561</v>
      </c>
      <c r="C555" s="2" t="s">
        <v>17</v>
      </c>
      <c r="D555" s="2" t="s">
        <v>18</v>
      </c>
      <c r="E555" s="5">
        <v>-30338</v>
      </c>
      <c r="F555" s="3" t="s">
        <v>464</v>
      </c>
      <c r="G555" s="3" t="s">
        <v>42</v>
      </c>
      <c r="H555" s="2" t="s">
        <v>21</v>
      </c>
      <c r="I555" s="2" t="s">
        <v>1562</v>
      </c>
      <c r="J555" s="3" t="str">
        <f>HYPERLINK("https://www.boe.es/gazeta/dias/1816/12/07/pdfs/GMD-1816-152.pdf#page=8","Abrir facsímil")</f>
        <v>Abrir facsímil</v>
      </c>
      <c r="K555" s="3" t="s">
        <v>23</v>
      </c>
    </row>
    <row r="556" spans="1:11" ht="42" customHeight="1">
      <c r="A556" s="2" t="s">
        <v>1563</v>
      </c>
      <c r="B556" s="2" t="s">
        <v>1564</v>
      </c>
      <c r="C556" s="2" t="s">
        <v>67</v>
      </c>
      <c r="D556" s="2" t="s">
        <v>18</v>
      </c>
      <c r="E556" s="5">
        <v>-30657</v>
      </c>
      <c r="F556" s="3" t="s">
        <v>899</v>
      </c>
      <c r="G556" s="3" t="s">
        <v>42</v>
      </c>
      <c r="H556" s="2" t="s">
        <v>21</v>
      </c>
      <c r="I556" s="2" t="s">
        <v>1565</v>
      </c>
      <c r="J556" s="3" t="str">
        <f>HYPERLINK("https://www.boe.es/gazeta/dias/1816/01/23/pdfs/GMD-1816-10.pdf#page=8","Abrir facsímil")</f>
        <v>Abrir facsímil</v>
      </c>
      <c r="K556" s="3" t="s">
        <v>23</v>
      </c>
    </row>
    <row r="557" spans="1:11" ht="42" customHeight="1">
      <c r="A557" s="2" t="s">
        <v>1566</v>
      </c>
      <c r="B557" s="2" t="s">
        <v>1567</v>
      </c>
      <c r="C557" s="2" t="s">
        <v>34</v>
      </c>
      <c r="D557" s="2" t="s">
        <v>35</v>
      </c>
      <c r="E557" s="5">
        <v>-30391</v>
      </c>
      <c r="F557" s="3" t="s">
        <v>482</v>
      </c>
      <c r="G557" s="3" t="s">
        <v>28</v>
      </c>
      <c r="H557" s="2" t="s">
        <v>21</v>
      </c>
      <c r="I557" s="2" t="s">
        <v>1568</v>
      </c>
      <c r="J557" s="3" t="str">
        <f>HYPERLINK("https://www.boe.es/gazeta/dias/1816/10/15/pdfs/GMD-1816-129.pdf#page=6","Abrir facsímil")</f>
        <v>Abrir facsímil</v>
      </c>
      <c r="K557" s="3" t="s">
        <v>23</v>
      </c>
    </row>
    <row r="558" spans="1:11" ht="42" customHeight="1">
      <c r="A558" s="2" t="s">
        <v>1569</v>
      </c>
      <c r="B558" s="2" t="s">
        <v>1570</v>
      </c>
      <c r="C558" s="2" t="s">
        <v>34</v>
      </c>
      <c r="D558" s="2" t="s">
        <v>35</v>
      </c>
      <c r="E558" s="5">
        <v>-30534</v>
      </c>
      <c r="F558" s="3" t="s">
        <v>274</v>
      </c>
      <c r="G558" s="3" t="s">
        <v>47</v>
      </c>
      <c r="H558" s="2" t="s">
        <v>21</v>
      </c>
      <c r="I558" s="2" t="s">
        <v>1571</v>
      </c>
      <c r="J558" s="3" t="str">
        <f>HYPERLINK("https://www.boe.es/gazeta/dias/1816/05/25/pdfs/GMD-1816-66.pdf#page=5","Abrir facsímil")</f>
        <v>Abrir facsímil</v>
      </c>
      <c r="K558" s="3" t="s">
        <v>23</v>
      </c>
    </row>
    <row r="559" spans="1:11" ht="42" customHeight="1">
      <c r="A559" s="2" t="s">
        <v>1572</v>
      </c>
      <c r="B559" s="2" t="s">
        <v>1573</v>
      </c>
      <c r="C559" s="2" t="s">
        <v>34</v>
      </c>
      <c r="D559" s="2" t="s">
        <v>35</v>
      </c>
      <c r="E559" s="5">
        <v>-30384</v>
      </c>
      <c r="F559" s="3" t="s">
        <v>460</v>
      </c>
      <c r="G559" s="3" t="s">
        <v>47</v>
      </c>
      <c r="H559" s="2" t="s">
        <v>21</v>
      </c>
      <c r="I559" s="2" t="s">
        <v>1574</v>
      </c>
      <c r="J559" s="3" t="str">
        <f>HYPERLINK("https://www.boe.es/gazeta/dias/1816/10/22/pdfs/GMD-1816-132.pdf#page=5","Abrir facsímil")</f>
        <v>Abrir facsímil</v>
      </c>
      <c r="K559" s="3" t="s">
        <v>23</v>
      </c>
    </row>
    <row r="560" spans="1:11" ht="42" customHeight="1">
      <c r="A560" s="2" t="s">
        <v>1575</v>
      </c>
      <c r="B560" s="2" t="s">
        <v>1576</v>
      </c>
      <c r="C560" s="2" t="s">
        <v>34</v>
      </c>
      <c r="D560" s="2" t="s">
        <v>35</v>
      </c>
      <c r="E560" s="5">
        <v>-30594</v>
      </c>
      <c r="F560" s="3" t="s">
        <v>234</v>
      </c>
      <c r="G560" s="3" t="s">
        <v>42</v>
      </c>
      <c r="H560" s="2" t="s">
        <v>21</v>
      </c>
      <c r="I560" s="2" t="s">
        <v>1577</v>
      </c>
      <c r="J560" s="3" t="str">
        <f>HYPERLINK("https://www.boe.es/gazeta/dias/1816/03/26/pdfs/GMD-1816-40.pdf#page=8","Abrir facsímil")</f>
        <v>Abrir facsímil</v>
      </c>
      <c r="K560" s="3" t="s">
        <v>23</v>
      </c>
    </row>
    <row r="561" spans="1:11" ht="42" customHeight="1">
      <c r="A561" s="2" t="s">
        <v>1578</v>
      </c>
      <c r="B561" s="2" t="s">
        <v>1579</v>
      </c>
      <c r="C561" s="2" t="s">
        <v>34</v>
      </c>
      <c r="D561" s="2" t="s">
        <v>35</v>
      </c>
      <c r="E561" s="5">
        <v>-30580</v>
      </c>
      <c r="F561" s="3" t="s">
        <v>107</v>
      </c>
      <c r="G561" s="3" t="s">
        <v>28</v>
      </c>
      <c r="H561" s="2" t="s">
        <v>21</v>
      </c>
      <c r="I561" s="2" t="s">
        <v>1580</v>
      </c>
      <c r="J561" s="3" t="str">
        <f>HYPERLINK("https://www.boe.es/gazeta/dias/1816/04/09/pdfs/GMD-1816-46.pdf#page=6","Abrir facsímil")</f>
        <v>Abrir facsímil</v>
      </c>
      <c r="K561" s="3" t="s">
        <v>23</v>
      </c>
    </row>
    <row r="562" spans="1:11" ht="42" customHeight="1">
      <c r="A562" s="2" t="s">
        <v>1581</v>
      </c>
      <c r="B562" s="2" t="s">
        <v>1582</v>
      </c>
      <c r="C562" s="2" t="s">
        <v>81</v>
      </c>
      <c r="D562" s="2" t="s">
        <v>18</v>
      </c>
      <c r="E562" s="5">
        <v>-30366</v>
      </c>
      <c r="F562" s="3" t="s">
        <v>179</v>
      </c>
      <c r="G562" s="3" t="s">
        <v>52</v>
      </c>
      <c r="H562" s="2" t="s">
        <v>21</v>
      </c>
      <c r="I562" s="2" t="s">
        <v>1583</v>
      </c>
      <c r="J562" s="3" t="str">
        <f>HYPERLINK("https://www.boe.es/gazeta/dias/1816/11/09/pdfs/GMD-1816-140.pdf#page=12","Abrir facsímil")</f>
        <v>Abrir facsímil</v>
      </c>
      <c r="K562" s="3" t="s">
        <v>23</v>
      </c>
    </row>
    <row r="563" spans="1:11" ht="42" customHeight="1">
      <c r="A563" s="2" t="s">
        <v>1584</v>
      </c>
      <c r="B563" s="2" t="s">
        <v>1585</v>
      </c>
      <c r="C563" s="2" t="s">
        <v>67</v>
      </c>
      <c r="D563" s="2" t="s">
        <v>18</v>
      </c>
      <c r="E563" s="5">
        <v>-30457</v>
      </c>
      <c r="F563" s="3" t="s">
        <v>539</v>
      </c>
      <c r="G563" s="3" t="s">
        <v>47</v>
      </c>
      <c r="H563" s="2" t="s">
        <v>21</v>
      </c>
      <c r="I563" s="2" t="s">
        <v>1586</v>
      </c>
      <c r="J563" s="3" t="str">
        <f>HYPERLINK("https://www.boe.es/gazeta/dias/1816/08/10/pdfs/GMD-1816-99.pdf#page=5","Abrir facsímil")</f>
        <v>Abrir facsímil</v>
      </c>
      <c r="K563" s="3" t="s">
        <v>23</v>
      </c>
    </row>
    <row r="564" spans="1:11" ht="42" customHeight="1">
      <c r="A564" s="2" t="s">
        <v>1587</v>
      </c>
      <c r="B564" s="2" t="s">
        <v>1588</v>
      </c>
      <c r="C564" s="2" t="s">
        <v>17</v>
      </c>
      <c r="D564" s="2" t="s">
        <v>18</v>
      </c>
      <c r="E564" s="5">
        <v>-30401</v>
      </c>
      <c r="F564" s="3" t="s">
        <v>652</v>
      </c>
      <c r="G564" s="3" t="s">
        <v>28</v>
      </c>
      <c r="H564" s="2" t="s">
        <v>21</v>
      </c>
      <c r="I564" s="2" t="s">
        <v>1589</v>
      </c>
      <c r="J564" s="3" t="str">
        <f>HYPERLINK("https://www.boe.es/gazeta/dias/1816/10/05/pdfs/GMD-1816-123.pdf#page=6","Abrir facsímil")</f>
        <v>Abrir facsímil</v>
      </c>
      <c r="K564" s="3" t="s">
        <v>23</v>
      </c>
    </row>
    <row r="565" spans="1:11" ht="42" customHeight="1">
      <c r="A565" s="2" t="s">
        <v>1590</v>
      </c>
      <c r="B565" s="2" t="s">
        <v>1591</v>
      </c>
      <c r="C565" s="2" t="s">
        <v>111</v>
      </c>
      <c r="D565" s="2" t="s">
        <v>112</v>
      </c>
      <c r="E565" s="5">
        <v>-30576</v>
      </c>
      <c r="F565" s="3" t="s">
        <v>353</v>
      </c>
      <c r="G565" s="3" t="s">
        <v>72</v>
      </c>
      <c r="H565" s="2" t="s">
        <v>21</v>
      </c>
      <c r="I565" s="2" t="s">
        <v>1592</v>
      </c>
      <c r="J565" s="3" t="str">
        <f>HYPERLINK("https://www.boe.es/gazeta/dias/1816/04/13/pdfs/GMD-1816-48.pdf#page=7","Abrir facsímil")</f>
        <v>Abrir facsímil</v>
      </c>
      <c r="K565" s="3" t="s">
        <v>23</v>
      </c>
    </row>
    <row r="566" spans="1:11" ht="42" customHeight="1">
      <c r="A566" s="2" t="s">
        <v>1593</v>
      </c>
      <c r="B566" s="2" t="s">
        <v>1594</v>
      </c>
      <c r="C566" s="2" t="s">
        <v>111</v>
      </c>
      <c r="D566" s="2" t="s">
        <v>112</v>
      </c>
      <c r="E566" s="5">
        <v>-30317</v>
      </c>
      <c r="F566" s="3" t="s">
        <v>1030</v>
      </c>
      <c r="G566" s="3" t="s">
        <v>47</v>
      </c>
      <c r="H566" s="2" t="s">
        <v>29</v>
      </c>
      <c r="I566" s="2" t="s">
        <v>1595</v>
      </c>
      <c r="J566" s="3" t="str">
        <f>HYPERLINK("https://www.boe.es/gazeta/dias/1816/12/28/pdfs/GMD-1816-161.pdf#page=5","Abrir facsímil")</f>
        <v>Abrir facsímil</v>
      </c>
      <c r="K566" s="3" t="s">
        <v>31</v>
      </c>
    </row>
    <row r="567" spans="1:11" ht="42" customHeight="1">
      <c r="A567" s="2" t="s">
        <v>1596</v>
      </c>
      <c r="B567" s="2" t="s">
        <v>1597</v>
      </c>
      <c r="C567" s="2" t="s">
        <v>26</v>
      </c>
      <c r="D567" s="2" t="s">
        <v>18</v>
      </c>
      <c r="E567" s="5">
        <v>-30335</v>
      </c>
      <c r="F567" s="3" t="s">
        <v>468</v>
      </c>
      <c r="G567" s="3" t="s">
        <v>47</v>
      </c>
      <c r="H567" s="2" t="s">
        <v>21</v>
      </c>
      <c r="I567" s="2" t="s">
        <v>1598</v>
      </c>
      <c r="J567" s="3" t="str">
        <f>HYPERLINK("https://www.boe.es/gazeta/dias/1816/12/10/pdfs/GMD-1816-153.pdf#page=5","Abrir facsímil")</f>
        <v>Abrir facsímil</v>
      </c>
      <c r="K567" s="3" t="s">
        <v>23</v>
      </c>
    </row>
    <row r="568" spans="1:11" ht="42" customHeight="1">
      <c r="A568" s="2" t="s">
        <v>1599</v>
      </c>
      <c r="B568" s="2" t="s">
        <v>1599</v>
      </c>
      <c r="C568" s="2" t="s">
        <v>111</v>
      </c>
      <c r="D568" s="2" t="s">
        <v>112</v>
      </c>
      <c r="E568" s="5">
        <v>-30503</v>
      </c>
      <c r="F568" s="3" t="s">
        <v>1600</v>
      </c>
      <c r="G568" s="3" t="s">
        <v>184</v>
      </c>
      <c r="H568" s="2" t="s">
        <v>21</v>
      </c>
      <c r="I568" s="2" t="s">
        <v>1601</v>
      </c>
      <c r="J568" s="3" t="str">
        <f>HYPERLINK("https://www.boe.es/gazeta/dias/1816/06/25/pdfs/GMD-1816-79.pdf#page=3","Abrir facsímil")</f>
        <v>Abrir facsímil</v>
      </c>
      <c r="K568" s="3" t="s">
        <v>23</v>
      </c>
    </row>
    <row r="569" spans="1:11" ht="42" customHeight="1">
      <c r="A569" s="2" t="s">
        <v>1602</v>
      </c>
      <c r="B569" s="2" t="s">
        <v>1602</v>
      </c>
      <c r="C569" s="2" t="s">
        <v>34</v>
      </c>
      <c r="D569" s="2" t="s">
        <v>35</v>
      </c>
      <c r="E569" s="5">
        <v>-30342</v>
      </c>
      <c r="F569" s="3" t="s">
        <v>116</v>
      </c>
      <c r="G569" s="3" t="s">
        <v>47</v>
      </c>
      <c r="H569" s="2" t="s">
        <v>21</v>
      </c>
      <c r="I569" s="2" t="s">
        <v>1603</v>
      </c>
      <c r="J569" s="3" t="str">
        <f>HYPERLINK("https://www.boe.es/gazeta/dias/1816/12/03/pdfs/GMD-1816-150.pdf#page=5","Abrir facsímil")</f>
        <v>Abrir facsímil</v>
      </c>
      <c r="K569" s="3" t="s">
        <v>23</v>
      </c>
    </row>
    <row r="570" spans="1:11" ht="42" customHeight="1">
      <c r="A570" s="2" t="s">
        <v>1604</v>
      </c>
      <c r="B570" s="2" t="s">
        <v>1604</v>
      </c>
      <c r="C570" s="2" t="s">
        <v>111</v>
      </c>
      <c r="D570" s="2" t="s">
        <v>112</v>
      </c>
      <c r="E570" s="5">
        <v>-30424</v>
      </c>
      <c r="F570" s="3" t="s">
        <v>142</v>
      </c>
      <c r="G570" s="3" t="s">
        <v>52</v>
      </c>
      <c r="H570" s="2" t="s">
        <v>21</v>
      </c>
      <c r="I570" s="2" t="s">
        <v>1605</v>
      </c>
      <c r="J570" s="3" t="str">
        <f>HYPERLINK("https://www.boe.es/gazeta/dias/1816/09/12/pdfs/GMD-1816-113.pdf#page=12","Abrir facsímil")</f>
        <v>Abrir facsímil</v>
      </c>
      <c r="K570" s="3" t="s">
        <v>23</v>
      </c>
    </row>
    <row r="571" spans="1:11" ht="42" customHeight="1">
      <c r="A571" s="2" t="s">
        <v>1606</v>
      </c>
      <c r="B571" s="2" t="s">
        <v>1606</v>
      </c>
      <c r="C571" s="2" t="s">
        <v>111</v>
      </c>
      <c r="D571" s="2" t="s">
        <v>112</v>
      </c>
      <c r="E571" s="5">
        <v>-30464</v>
      </c>
      <c r="F571" s="3" t="s">
        <v>215</v>
      </c>
      <c r="G571" s="3" t="s">
        <v>216</v>
      </c>
      <c r="H571" s="2" t="s">
        <v>21</v>
      </c>
      <c r="I571" s="2" t="s">
        <v>1607</v>
      </c>
      <c r="J571" s="3" t="str">
        <f>HYPERLINK("https://www.boe.es/gazeta/dias/1816/08/03/pdfs/GMD-1816-96.pdf#page=4","Abrir facsímil")</f>
        <v>Abrir facsímil</v>
      </c>
      <c r="K571" s="3" t="s">
        <v>23</v>
      </c>
    </row>
    <row r="572" spans="1:11" ht="42" customHeight="1">
      <c r="A572" s="2" t="s">
        <v>1608</v>
      </c>
      <c r="B572" s="2" t="s">
        <v>1609</v>
      </c>
      <c r="C572" s="2" t="s">
        <v>34</v>
      </c>
      <c r="D572" s="2" t="s">
        <v>35</v>
      </c>
      <c r="E572" s="5">
        <v>-30384</v>
      </c>
      <c r="F572" s="3" t="s">
        <v>460</v>
      </c>
      <c r="G572" s="3" t="s">
        <v>103</v>
      </c>
      <c r="H572" s="2" t="s">
        <v>21</v>
      </c>
      <c r="I572" s="2" t="s">
        <v>1610</v>
      </c>
      <c r="J572" s="3" t="str">
        <f>HYPERLINK("https://www.boe.es/gazeta/dias/1816/10/22/pdfs/GMD-1816-132.pdf#page=4","Abrir facsímil")</f>
        <v>Abrir facsímil</v>
      </c>
      <c r="K572" s="3" t="s">
        <v>23</v>
      </c>
    </row>
    <row r="573" spans="1:11" ht="42" customHeight="1">
      <c r="A573" s="2" t="s">
        <v>1611</v>
      </c>
      <c r="B573" s="2" t="s">
        <v>1611</v>
      </c>
      <c r="C573" s="2" t="s">
        <v>34</v>
      </c>
      <c r="D573" s="2" t="s">
        <v>35</v>
      </c>
      <c r="E573" s="5">
        <v>-30643</v>
      </c>
      <c r="F573" s="3" t="s">
        <v>620</v>
      </c>
      <c r="G573" s="3" t="s">
        <v>42</v>
      </c>
      <c r="H573" s="2" t="s">
        <v>21</v>
      </c>
      <c r="I573" s="2" t="s">
        <v>1612</v>
      </c>
      <c r="J573" s="3" t="str">
        <f>HYPERLINK("https://www.boe.es/gazeta/dias/1816/02/06/pdfs/GMD-1816-17.pdf#page=8","Abrir facsímil")</f>
        <v>Abrir facsímil</v>
      </c>
      <c r="K573" s="3" t="s">
        <v>23</v>
      </c>
    </row>
    <row r="574" spans="1:11" ht="42" customHeight="1">
      <c r="A574" s="2" t="s">
        <v>1613</v>
      </c>
      <c r="B574" s="2" t="s">
        <v>1614</v>
      </c>
      <c r="C574" s="2" t="s">
        <v>34</v>
      </c>
      <c r="D574" s="2" t="s">
        <v>35</v>
      </c>
      <c r="E574" s="5">
        <v>-30473</v>
      </c>
      <c r="F574" s="3" t="s">
        <v>336</v>
      </c>
      <c r="G574" s="3" t="s">
        <v>1615</v>
      </c>
      <c r="H574" s="2" t="s">
        <v>21</v>
      </c>
      <c r="I574" s="2" t="s">
        <v>1616</v>
      </c>
      <c r="J574" s="3" t="str">
        <f>HYPERLINK("https://www.boe.es/gazeta/dias/1816/07/25/pdfs/GMD-1816-92.pdf#page=6","Abrir facsímil")</f>
        <v>Abrir facsímil</v>
      </c>
      <c r="K574" s="3" t="s">
        <v>23</v>
      </c>
    </row>
    <row r="575" spans="1:11" ht="42" customHeight="1">
      <c r="A575" s="2" t="s">
        <v>1617</v>
      </c>
      <c r="B575" s="2" t="s">
        <v>1617</v>
      </c>
      <c r="C575" s="2" t="s">
        <v>111</v>
      </c>
      <c r="D575" s="2" t="s">
        <v>112</v>
      </c>
      <c r="E575" s="5">
        <v>-30340</v>
      </c>
      <c r="F575" s="3" t="s">
        <v>1618</v>
      </c>
      <c r="G575" s="3" t="s">
        <v>270</v>
      </c>
      <c r="H575" s="2" t="s">
        <v>21</v>
      </c>
      <c r="I575" s="2" t="s">
        <v>1619</v>
      </c>
      <c r="J575" s="3" t="str">
        <f>HYPERLINK("https://www.boe.es/gazeta/dias/1816/12/05/pdfs/GMD-1816-151.pdf#page=2","Abrir facsímil")</f>
        <v>Abrir facsímil</v>
      </c>
      <c r="K575" s="3" t="s">
        <v>23</v>
      </c>
    </row>
    <row r="576" spans="1:11" ht="42" customHeight="1">
      <c r="A576" s="2" t="s">
        <v>1620</v>
      </c>
      <c r="B576" s="2" t="s">
        <v>1620</v>
      </c>
      <c r="C576" s="2" t="s">
        <v>387</v>
      </c>
      <c r="D576" s="2" t="s">
        <v>18</v>
      </c>
      <c r="E576" s="5">
        <v>-30627</v>
      </c>
      <c r="F576" s="3" t="s">
        <v>136</v>
      </c>
      <c r="G576" s="3" t="s">
        <v>270</v>
      </c>
      <c r="H576" s="2" t="s">
        <v>21</v>
      </c>
      <c r="I576" s="2" t="s">
        <v>1621</v>
      </c>
      <c r="J576" s="3" t="str">
        <f>HYPERLINK("https://www.boe.es/gazeta/dias/1816/02/22/pdfs/GMD-1816-24.pdf#page=2","Abrir facsímil")</f>
        <v>Abrir facsímil</v>
      </c>
      <c r="K576" s="3" t="s">
        <v>23</v>
      </c>
    </row>
    <row r="577" spans="1:11" ht="42" customHeight="1">
      <c r="A577" s="2" t="s">
        <v>1620</v>
      </c>
      <c r="B577" s="2" t="s">
        <v>1620</v>
      </c>
      <c r="C577" s="2" t="s">
        <v>34</v>
      </c>
      <c r="D577" s="2" t="s">
        <v>35</v>
      </c>
      <c r="E577" s="5">
        <v>-30424</v>
      </c>
      <c r="F577" s="3" t="s">
        <v>142</v>
      </c>
      <c r="G577" s="3" t="s">
        <v>184</v>
      </c>
      <c r="H577" s="2" t="s">
        <v>21</v>
      </c>
      <c r="I577" s="2" t="s">
        <v>1622</v>
      </c>
      <c r="J577" s="3" t="str">
        <f>HYPERLINK("https://www.boe.es/gazeta/dias/1816/09/12/pdfs/GMD-1816-113.pdf#page=3","Abrir facsímil")</f>
        <v>Abrir facsímil</v>
      </c>
      <c r="K577" s="3" t="s">
        <v>23</v>
      </c>
    </row>
    <row r="578" spans="1:11" ht="42" customHeight="1">
      <c r="A578" s="2" t="s">
        <v>1620</v>
      </c>
      <c r="B578" s="2" t="s">
        <v>1620</v>
      </c>
      <c r="C578" s="2" t="s">
        <v>34</v>
      </c>
      <c r="D578" s="2" t="s">
        <v>35</v>
      </c>
      <c r="E578" s="5">
        <v>-30396</v>
      </c>
      <c r="F578" s="3" t="s">
        <v>1623</v>
      </c>
      <c r="G578" s="3" t="s">
        <v>184</v>
      </c>
      <c r="H578" s="2" t="s">
        <v>21</v>
      </c>
      <c r="I578" s="2" t="s">
        <v>1624</v>
      </c>
      <c r="J578" s="3" t="str">
        <f>HYPERLINK("https://www.boe.es/gazeta/dias/1816/10/10/pdfs/GMD-1816-126.pdf#page=3","Abrir facsímil")</f>
        <v>Abrir facsímil</v>
      </c>
      <c r="K578" s="3" t="s">
        <v>23</v>
      </c>
    </row>
    <row r="579" spans="1:11" ht="42" customHeight="1">
      <c r="A579" s="2" t="s">
        <v>1625</v>
      </c>
      <c r="B579" s="2" t="s">
        <v>1625</v>
      </c>
      <c r="C579" s="2" t="s">
        <v>111</v>
      </c>
      <c r="D579" s="2" t="s">
        <v>112</v>
      </c>
      <c r="E579" s="5">
        <v>-30662</v>
      </c>
      <c r="F579" s="3" t="s">
        <v>485</v>
      </c>
      <c r="G579" s="3" t="s">
        <v>184</v>
      </c>
      <c r="H579" s="2" t="s">
        <v>21</v>
      </c>
      <c r="I579" s="2" t="s">
        <v>1626</v>
      </c>
      <c r="J579" s="3" t="str">
        <f>HYPERLINK("https://www.boe.es/gazeta/dias/1816/01/18/pdfs/GMD-1816-8.pdf#page=3","Abrir facsímil")</f>
        <v>Abrir facsímil</v>
      </c>
      <c r="K579" s="3" t="s">
        <v>23</v>
      </c>
    </row>
    <row r="580" spans="1:11" ht="42" customHeight="1">
      <c r="A580" s="2" t="s">
        <v>1627</v>
      </c>
      <c r="B580" s="2" t="s">
        <v>1627</v>
      </c>
      <c r="C580" s="2" t="s">
        <v>34</v>
      </c>
      <c r="D580" s="2" t="s">
        <v>35</v>
      </c>
      <c r="E580" s="5">
        <v>-30550</v>
      </c>
      <c r="F580" s="3" t="s">
        <v>435</v>
      </c>
      <c r="G580" s="3" t="s">
        <v>58</v>
      </c>
      <c r="H580" s="2" t="s">
        <v>21</v>
      </c>
      <c r="I580" s="2" t="s">
        <v>1628</v>
      </c>
      <c r="J580" s="3" t="str">
        <f>HYPERLINK("https://www.boe.es/gazeta/dias/1816/05/09/pdfs/GMD-1816-59.pdf#page=1","Abrir facsímil")</f>
        <v>Abrir facsímil</v>
      </c>
      <c r="K580" s="3" t="s">
        <v>23</v>
      </c>
    </row>
    <row r="581" spans="1:11" ht="42" customHeight="1">
      <c r="A581" s="2" t="s">
        <v>1629</v>
      </c>
      <c r="B581" s="2" t="s">
        <v>1630</v>
      </c>
      <c r="C581" s="2" t="s">
        <v>34</v>
      </c>
      <c r="D581" s="2" t="s">
        <v>35</v>
      </c>
      <c r="E581" s="5">
        <v>-30326</v>
      </c>
      <c r="F581" s="3" t="s">
        <v>377</v>
      </c>
      <c r="G581" s="3" t="s">
        <v>28</v>
      </c>
      <c r="H581" s="2" t="s">
        <v>21</v>
      </c>
      <c r="I581" s="2" t="s">
        <v>1631</v>
      </c>
      <c r="J581" s="3" t="str">
        <f>HYPERLINK("https://www.boe.es/gazeta/dias/1816/12/19/pdfs/GMD-1816-157.pdf#page=6","Abrir facsímil")</f>
        <v>Abrir facsímil</v>
      </c>
      <c r="K581" s="3" t="s">
        <v>23</v>
      </c>
    </row>
    <row r="582" spans="1:11" ht="42" customHeight="1">
      <c r="A582" s="2" t="s">
        <v>1632</v>
      </c>
      <c r="B582" s="2" t="s">
        <v>1633</v>
      </c>
      <c r="C582" s="2" t="s">
        <v>34</v>
      </c>
      <c r="D582" s="2" t="s">
        <v>35</v>
      </c>
      <c r="E582" s="5">
        <v>-30326</v>
      </c>
      <c r="F582" s="3" t="s">
        <v>377</v>
      </c>
      <c r="G582" s="3" t="s">
        <v>103</v>
      </c>
      <c r="H582" s="2" t="s">
        <v>21</v>
      </c>
      <c r="I582" s="2" t="s">
        <v>1634</v>
      </c>
      <c r="J582" s="3" t="str">
        <f>HYPERLINK("https://www.boe.es/gazeta/dias/1816/12/19/pdfs/GMD-1816-157.pdf#page=4","Abrir facsímil")</f>
        <v>Abrir facsímil</v>
      </c>
      <c r="K582" s="3" t="s">
        <v>23</v>
      </c>
    </row>
    <row r="583" spans="1:11" ht="42" customHeight="1">
      <c r="A583" s="2" t="s">
        <v>1632</v>
      </c>
      <c r="B583" s="2" t="s">
        <v>1633</v>
      </c>
      <c r="C583" s="2" t="s">
        <v>34</v>
      </c>
      <c r="D583" s="2" t="s">
        <v>35</v>
      </c>
      <c r="E583" s="5">
        <v>-30326</v>
      </c>
      <c r="F583" s="3" t="s">
        <v>377</v>
      </c>
      <c r="G583" s="3" t="s">
        <v>47</v>
      </c>
      <c r="H583" s="2" t="s">
        <v>21</v>
      </c>
      <c r="I583" s="2" t="s">
        <v>1635</v>
      </c>
      <c r="J583" s="3" t="str">
        <f>HYPERLINK("https://www.boe.es/gazeta/dias/1816/12/19/pdfs/GMD-1816-157.pdf#page=5","Abrir facsímil")</f>
        <v>Abrir facsímil</v>
      </c>
      <c r="K583" s="3" t="s">
        <v>23</v>
      </c>
    </row>
    <row r="584" spans="1:11" ht="42" customHeight="1">
      <c r="A584" s="2" t="s">
        <v>1636</v>
      </c>
      <c r="B584" s="2" t="s">
        <v>1637</v>
      </c>
      <c r="C584" s="2" t="s">
        <v>34</v>
      </c>
      <c r="D584" s="2" t="s">
        <v>35</v>
      </c>
      <c r="E584" s="5">
        <v>-30678</v>
      </c>
      <c r="F584" s="3" t="s">
        <v>76</v>
      </c>
      <c r="G584" s="3" t="s">
        <v>1638</v>
      </c>
      <c r="H584" s="2" t="s">
        <v>21</v>
      </c>
      <c r="I584" s="2" t="s">
        <v>1639</v>
      </c>
      <c r="J584" s="3" t="str">
        <f>HYPERLINK("https://www.boe.es/gazeta/dias/1816/01/02/pdfs/GMD-1816-1.pdf#page=2","Abrir facsímil")</f>
        <v>Abrir facsímil</v>
      </c>
      <c r="K584" s="3" t="s">
        <v>23</v>
      </c>
    </row>
    <row r="585" spans="1:11" ht="42" customHeight="1">
      <c r="A585" s="2" t="s">
        <v>1640</v>
      </c>
      <c r="B585" s="2" t="s">
        <v>1641</v>
      </c>
      <c r="C585" s="2" t="s">
        <v>34</v>
      </c>
      <c r="D585" s="2" t="s">
        <v>35</v>
      </c>
      <c r="E585" s="5">
        <v>-30608</v>
      </c>
      <c r="F585" s="3" t="s">
        <v>550</v>
      </c>
      <c r="G585" s="3" t="s">
        <v>28</v>
      </c>
      <c r="H585" s="2" t="s">
        <v>21</v>
      </c>
      <c r="I585" s="2" t="s">
        <v>1642</v>
      </c>
      <c r="J585" s="3" t="str">
        <f>HYPERLINK("https://www.boe.es/gazeta/dias/1816/03/12/pdfs/GMD-1816-33.pdf#page=6","Abrir facsímil")</f>
        <v>Abrir facsímil</v>
      </c>
      <c r="K585" s="3" t="s">
        <v>23</v>
      </c>
    </row>
    <row r="586" spans="1:11" ht="42" customHeight="1">
      <c r="A586" s="2" t="s">
        <v>1640</v>
      </c>
      <c r="B586" s="2" t="s">
        <v>1641</v>
      </c>
      <c r="C586" s="2" t="s">
        <v>26</v>
      </c>
      <c r="D586" s="2" t="s">
        <v>18</v>
      </c>
      <c r="E586" s="5">
        <v>-30349</v>
      </c>
      <c r="F586" s="3" t="s">
        <v>360</v>
      </c>
      <c r="G586" s="3" t="s">
        <v>72</v>
      </c>
      <c r="H586" s="2" t="s">
        <v>21</v>
      </c>
      <c r="I586" s="2" t="s">
        <v>1643</v>
      </c>
      <c r="J586" s="3" t="str">
        <f>HYPERLINK("https://www.boe.es/gazeta/dias/1816/11/26/pdfs/GMD-1816-147.pdf#page=7","Abrir facsímil")</f>
        <v>Abrir facsímil</v>
      </c>
      <c r="K586" s="3" t="s">
        <v>23</v>
      </c>
    </row>
    <row r="587" spans="1:11" ht="42" customHeight="1">
      <c r="A587" s="2" t="s">
        <v>1640</v>
      </c>
      <c r="B587" s="2" t="s">
        <v>1641</v>
      </c>
      <c r="C587" s="2" t="s">
        <v>26</v>
      </c>
      <c r="D587" s="2" t="s">
        <v>18</v>
      </c>
      <c r="E587" s="5">
        <v>-30349</v>
      </c>
      <c r="F587" s="3" t="s">
        <v>360</v>
      </c>
      <c r="G587" s="3" t="s">
        <v>42</v>
      </c>
      <c r="H587" s="2" t="s">
        <v>21</v>
      </c>
      <c r="I587" s="2" t="s">
        <v>1644</v>
      </c>
      <c r="J587" s="3" t="str">
        <f>HYPERLINK("https://www.boe.es/gazeta/dias/1816/11/26/pdfs/GMD-1816-147.pdf#page=8","Abrir facsímil")</f>
        <v>Abrir facsímil</v>
      </c>
      <c r="K587" s="3" t="s">
        <v>23</v>
      </c>
    </row>
    <row r="588" spans="1:11" ht="42" customHeight="1">
      <c r="A588" s="2" t="s">
        <v>1645</v>
      </c>
      <c r="B588" s="2" t="s">
        <v>1646</v>
      </c>
      <c r="C588" s="2" t="s">
        <v>67</v>
      </c>
      <c r="D588" s="2" t="s">
        <v>18</v>
      </c>
      <c r="E588" s="5">
        <v>-30443</v>
      </c>
      <c r="F588" s="3" t="s">
        <v>259</v>
      </c>
      <c r="G588" s="3" t="s">
        <v>72</v>
      </c>
      <c r="H588" s="2" t="s">
        <v>21</v>
      </c>
      <c r="I588" s="2" t="s">
        <v>1647</v>
      </c>
      <c r="J588" s="3" t="str">
        <f>HYPERLINK("https://www.boe.es/gazeta/dias/1816/08/24/pdfs/GMD-1816-105.pdf#page=7","Abrir facsímil")</f>
        <v>Abrir facsímil</v>
      </c>
      <c r="K588" s="3" t="s">
        <v>23</v>
      </c>
    </row>
    <row r="589" spans="1:11" ht="42" customHeight="1">
      <c r="A589" s="2" t="s">
        <v>1648</v>
      </c>
      <c r="B589" s="2" t="s">
        <v>1649</v>
      </c>
      <c r="C589" s="2" t="s">
        <v>34</v>
      </c>
      <c r="D589" s="2" t="s">
        <v>35</v>
      </c>
      <c r="E589" s="5">
        <v>-30599</v>
      </c>
      <c r="F589" s="3" t="s">
        <v>552</v>
      </c>
      <c r="G589" s="3" t="s">
        <v>103</v>
      </c>
      <c r="H589" s="2" t="s">
        <v>21</v>
      </c>
      <c r="I589" s="2" t="s">
        <v>1650</v>
      </c>
      <c r="J589" s="3" t="str">
        <f>HYPERLINK("https://www.boe.es/gazeta/dias/1816/03/21/pdfs/GMD-1816-38.pdf#page=4","Abrir facsímil")</f>
        <v>Abrir facsímil</v>
      </c>
      <c r="K589" s="3" t="s">
        <v>23</v>
      </c>
    </row>
    <row r="590" spans="1:11" ht="42" customHeight="1">
      <c r="A590" s="2" t="s">
        <v>1651</v>
      </c>
      <c r="B590" s="2" t="s">
        <v>1652</v>
      </c>
      <c r="C590" s="2" t="s">
        <v>34</v>
      </c>
      <c r="D590" s="2" t="s">
        <v>35</v>
      </c>
      <c r="E590" s="5">
        <v>-30594</v>
      </c>
      <c r="F590" s="3" t="s">
        <v>234</v>
      </c>
      <c r="G590" s="3" t="s">
        <v>72</v>
      </c>
      <c r="H590" s="2" t="s">
        <v>21</v>
      </c>
      <c r="I590" s="2" t="s">
        <v>1653</v>
      </c>
      <c r="J590" s="3" t="str">
        <f>HYPERLINK("https://www.boe.es/gazeta/dias/1816/03/26/pdfs/GMD-1816-40.pdf#page=7","Abrir facsímil")</f>
        <v>Abrir facsímil</v>
      </c>
      <c r="K590" s="3" t="s">
        <v>23</v>
      </c>
    </row>
    <row r="591" spans="1:11" ht="42" customHeight="1">
      <c r="A591" s="2" t="s">
        <v>1654</v>
      </c>
      <c r="B591" s="2" t="s">
        <v>1655</v>
      </c>
      <c r="C591" s="2" t="s">
        <v>111</v>
      </c>
      <c r="D591" s="2" t="s">
        <v>112</v>
      </c>
      <c r="E591" s="5">
        <v>-30382</v>
      </c>
      <c r="F591" s="3" t="s">
        <v>326</v>
      </c>
      <c r="G591" s="3" t="s">
        <v>47</v>
      </c>
      <c r="H591" s="2" t="s">
        <v>29</v>
      </c>
      <c r="I591" s="2" t="s">
        <v>1656</v>
      </c>
      <c r="J591" s="3" t="str">
        <f>HYPERLINK("https://www.boe.es/gazeta/dias/1816/10/24/pdfs/GMD-1816-133.pdf#page=5","Abrir facsímil")</f>
        <v>Abrir facsímil</v>
      </c>
      <c r="K591" s="3" t="s">
        <v>31</v>
      </c>
    </row>
    <row r="592" spans="1:11" ht="42" customHeight="1">
      <c r="A592" s="2" t="s">
        <v>1657</v>
      </c>
      <c r="B592" s="2" t="s">
        <v>1658</v>
      </c>
      <c r="C592" s="2" t="s">
        <v>26</v>
      </c>
      <c r="D592" s="2" t="s">
        <v>18</v>
      </c>
      <c r="E592" s="5">
        <v>-30438</v>
      </c>
      <c r="F592" s="3" t="s">
        <v>299</v>
      </c>
      <c r="G592" s="3" t="s">
        <v>300</v>
      </c>
      <c r="H592" s="2" t="s">
        <v>21</v>
      </c>
      <c r="I592" s="2" t="s">
        <v>1659</v>
      </c>
      <c r="J592" s="3" t="str">
        <f>HYPERLINK("https://www.boe.es/gazeta/dias/1816/08/29/pdfs/GMD-1816-107.pdf#page=12","Abrir facsímil")</f>
        <v>Abrir facsímil</v>
      </c>
      <c r="K592" s="3" t="s">
        <v>23</v>
      </c>
    </row>
    <row r="593" spans="1:11" ht="42" customHeight="1">
      <c r="A593" s="2" t="s">
        <v>1660</v>
      </c>
      <c r="B593" s="2" t="s">
        <v>1661</v>
      </c>
      <c r="C593" s="2" t="s">
        <v>81</v>
      </c>
      <c r="D593" s="2" t="s">
        <v>18</v>
      </c>
      <c r="E593" s="5">
        <v>-30564</v>
      </c>
      <c r="F593" s="3" t="s">
        <v>963</v>
      </c>
      <c r="G593" s="3" t="s">
        <v>1662</v>
      </c>
      <c r="H593" s="2" t="s">
        <v>29</v>
      </c>
      <c r="I593" s="2" t="s">
        <v>1663</v>
      </c>
      <c r="J593" s="3" t="str">
        <f>HYPERLINK("https://www.boe.es/gazeta/dias/1816/04/25/pdfs/GMD-1816-53.pdf#page=7","Abrir facsímil")</f>
        <v>Abrir facsímil</v>
      </c>
      <c r="K593" s="3" t="s">
        <v>31</v>
      </c>
    </row>
    <row r="594" spans="1:11" ht="42" customHeight="1">
      <c r="A594" s="2" t="s">
        <v>1660</v>
      </c>
      <c r="B594" s="2" t="s">
        <v>1661</v>
      </c>
      <c r="C594" s="2" t="s">
        <v>34</v>
      </c>
      <c r="D594" s="2" t="s">
        <v>35</v>
      </c>
      <c r="E594" s="5">
        <v>-30562</v>
      </c>
      <c r="F594" s="3" t="s">
        <v>1664</v>
      </c>
      <c r="G594" s="3" t="s">
        <v>47</v>
      </c>
      <c r="H594" s="2" t="s">
        <v>29</v>
      </c>
      <c r="I594" s="2" t="s">
        <v>1665</v>
      </c>
      <c r="J594" s="3" t="str">
        <f>HYPERLINK("https://www.boe.es/gazeta/dias/1816/04/27/pdfs/GMD-1816-54.pdf#page=5","Abrir facsímil")</f>
        <v>Abrir facsímil</v>
      </c>
      <c r="K594" s="3" t="s">
        <v>31</v>
      </c>
    </row>
    <row r="595" spans="1:11" ht="42" customHeight="1">
      <c r="A595" s="2" t="s">
        <v>1666</v>
      </c>
      <c r="B595" s="2" t="s">
        <v>1667</v>
      </c>
      <c r="C595" s="2" t="s">
        <v>34</v>
      </c>
      <c r="D595" s="2" t="s">
        <v>35</v>
      </c>
      <c r="E595" s="5">
        <v>-30319</v>
      </c>
      <c r="F595" s="3" t="s">
        <v>131</v>
      </c>
      <c r="G595" s="3" t="s">
        <v>42</v>
      </c>
      <c r="H595" s="2" t="s">
        <v>21</v>
      </c>
      <c r="I595" s="2" t="s">
        <v>1668</v>
      </c>
      <c r="J595" s="3" t="str">
        <f>HYPERLINK("https://www.boe.es/gazeta/dias/1816/12/26/pdfs/GMD-1816-160.pdf#page=8","Abrir facsímil")</f>
        <v>Abrir facsímil</v>
      </c>
      <c r="K595" s="3" t="s">
        <v>23</v>
      </c>
    </row>
    <row r="596" spans="1:11" ht="42" customHeight="1">
      <c r="A596" s="2" t="s">
        <v>1669</v>
      </c>
      <c r="B596" s="2" t="s">
        <v>1669</v>
      </c>
      <c r="C596" s="2" t="s">
        <v>111</v>
      </c>
      <c r="D596" s="2" t="s">
        <v>112</v>
      </c>
      <c r="E596" s="5">
        <v>-30571</v>
      </c>
      <c r="F596" s="3" t="s">
        <v>738</v>
      </c>
      <c r="G596" s="3" t="s">
        <v>42</v>
      </c>
      <c r="H596" s="2" t="s">
        <v>21</v>
      </c>
      <c r="I596" s="2" t="s">
        <v>1670</v>
      </c>
      <c r="J596" s="3" t="str">
        <f>HYPERLINK("https://www.boe.es/gazeta/dias/1816/04/18/pdfs/GMD-1816-50.pdf#page=8","Abrir facsímil")</f>
        <v>Abrir facsímil</v>
      </c>
      <c r="K596" s="3" t="s">
        <v>23</v>
      </c>
    </row>
    <row r="597" spans="1:11" ht="42" customHeight="1">
      <c r="A597" s="2" t="s">
        <v>1671</v>
      </c>
      <c r="B597" s="2" t="s">
        <v>1672</v>
      </c>
      <c r="C597" s="2" t="s">
        <v>81</v>
      </c>
      <c r="D597" s="2" t="s">
        <v>18</v>
      </c>
      <c r="E597" s="5">
        <v>-30585</v>
      </c>
      <c r="F597" s="3" t="s">
        <v>633</v>
      </c>
      <c r="G597" s="3" t="s">
        <v>42</v>
      </c>
      <c r="H597" s="2" t="s">
        <v>21</v>
      </c>
      <c r="I597" s="2" t="s">
        <v>1673</v>
      </c>
      <c r="J597" s="3" t="str">
        <f>HYPERLINK("https://www.boe.es/gazeta/dias/1816/04/04/pdfs/GMD-1816-44.pdf#page=8","Abrir facsímil")</f>
        <v>Abrir facsímil</v>
      </c>
      <c r="K597" s="3" t="s">
        <v>23</v>
      </c>
    </row>
    <row r="598" spans="1:11" ht="42" customHeight="1">
      <c r="A598" s="2" t="s">
        <v>1674</v>
      </c>
      <c r="B598" s="2" t="s">
        <v>1674</v>
      </c>
      <c r="C598" s="2" t="s">
        <v>17</v>
      </c>
      <c r="D598" s="2" t="s">
        <v>18</v>
      </c>
      <c r="E598" s="5">
        <v>-30573</v>
      </c>
      <c r="F598" s="3" t="s">
        <v>840</v>
      </c>
      <c r="G598" s="3" t="s">
        <v>42</v>
      </c>
      <c r="H598" s="2" t="s">
        <v>21</v>
      </c>
      <c r="I598" s="2" t="s">
        <v>1675</v>
      </c>
      <c r="J598" s="3" t="str">
        <f>HYPERLINK("https://www.boe.es/gazeta/dias/1816/04/16/pdfs/GMD-1816-49.pdf#page=8","Abrir facsímil")</f>
        <v>Abrir facsímil</v>
      </c>
      <c r="K598" s="3" t="s">
        <v>23</v>
      </c>
    </row>
    <row r="599" spans="1:11" ht="42" customHeight="1">
      <c r="A599" s="2" t="s">
        <v>1674</v>
      </c>
      <c r="B599" s="2" t="s">
        <v>1674</v>
      </c>
      <c r="C599" s="2" t="s">
        <v>111</v>
      </c>
      <c r="D599" s="2" t="s">
        <v>112</v>
      </c>
      <c r="E599" s="5">
        <v>-30557</v>
      </c>
      <c r="F599" s="3" t="s">
        <v>508</v>
      </c>
      <c r="G599" s="3" t="s">
        <v>103</v>
      </c>
      <c r="H599" s="2" t="s">
        <v>21</v>
      </c>
      <c r="I599" s="2" t="s">
        <v>1676</v>
      </c>
      <c r="J599" s="3" t="str">
        <f>HYPERLINK("https://www.boe.es/gazeta/dias/1816/05/02/pdfs/GMD-1816-56.pdf#page=4","Abrir facsímil")</f>
        <v>Abrir facsímil</v>
      </c>
      <c r="K599" s="3" t="s">
        <v>23</v>
      </c>
    </row>
    <row r="600" spans="1:11" ht="42" customHeight="1">
      <c r="A600" s="2" t="s">
        <v>1677</v>
      </c>
      <c r="B600" s="2" t="s">
        <v>1678</v>
      </c>
      <c r="C600" s="2" t="s">
        <v>17</v>
      </c>
      <c r="D600" s="2" t="s">
        <v>18</v>
      </c>
      <c r="E600" s="5">
        <v>-30401</v>
      </c>
      <c r="F600" s="3" t="s">
        <v>652</v>
      </c>
      <c r="G600" s="3" t="s">
        <v>28</v>
      </c>
      <c r="H600" s="2" t="s">
        <v>21</v>
      </c>
      <c r="I600" s="2" t="s">
        <v>1679</v>
      </c>
      <c r="J600" s="3" t="str">
        <f>HYPERLINK("https://www.boe.es/gazeta/dias/1816/10/05/pdfs/GMD-1816-123.pdf#page=6","Abrir facsímil")</f>
        <v>Abrir facsímil</v>
      </c>
      <c r="K600" s="3" t="s">
        <v>23</v>
      </c>
    </row>
    <row r="601" spans="1:11" ht="42" customHeight="1">
      <c r="A601" s="2" t="s">
        <v>1680</v>
      </c>
      <c r="B601" s="2" t="s">
        <v>1680</v>
      </c>
      <c r="C601" s="2" t="s">
        <v>34</v>
      </c>
      <c r="D601" s="2" t="s">
        <v>35</v>
      </c>
      <c r="E601" s="5">
        <v>-30585</v>
      </c>
      <c r="F601" s="3" t="s">
        <v>633</v>
      </c>
      <c r="G601" s="3" t="s">
        <v>184</v>
      </c>
      <c r="H601" s="2" t="s">
        <v>21</v>
      </c>
      <c r="I601" s="2" t="s">
        <v>1681</v>
      </c>
      <c r="J601" s="3" t="str">
        <f>HYPERLINK("https://www.boe.es/gazeta/dias/1816/04/04/pdfs/GMD-1816-44.pdf#page=3","Abrir facsímil")</f>
        <v>Abrir facsímil</v>
      </c>
      <c r="K601" s="3" t="s">
        <v>23</v>
      </c>
    </row>
    <row r="602" spans="1:11" ht="42" customHeight="1">
      <c r="A602" s="2" t="s">
        <v>1682</v>
      </c>
      <c r="B602" s="2" t="s">
        <v>1683</v>
      </c>
      <c r="C602" s="2" t="s">
        <v>26</v>
      </c>
      <c r="D602" s="2" t="s">
        <v>18</v>
      </c>
      <c r="E602" s="5">
        <v>-30387</v>
      </c>
      <c r="F602" s="3" t="s">
        <v>224</v>
      </c>
      <c r="G602" s="3" t="s">
        <v>72</v>
      </c>
      <c r="H602" s="2" t="s">
        <v>21</v>
      </c>
      <c r="I602" s="2" t="s">
        <v>1684</v>
      </c>
      <c r="J602" s="3" t="str">
        <f>HYPERLINK("https://www.boe.es/gazeta/dias/1816/10/19/pdfs/GMD-1816-131.pdf#page=7","Abrir facsímil")</f>
        <v>Abrir facsímil</v>
      </c>
      <c r="K602" s="3" t="s">
        <v>23</v>
      </c>
    </row>
    <row r="603" spans="1:11" ht="42" customHeight="1">
      <c r="A603" s="2" t="s">
        <v>1685</v>
      </c>
      <c r="B603" s="2" t="s">
        <v>1686</v>
      </c>
      <c r="C603" s="2" t="s">
        <v>26</v>
      </c>
      <c r="D603" s="2" t="s">
        <v>18</v>
      </c>
      <c r="E603" s="5">
        <v>-30461</v>
      </c>
      <c r="F603" s="3" t="s">
        <v>912</v>
      </c>
      <c r="G603" s="3" t="s">
        <v>1375</v>
      </c>
      <c r="H603" s="2" t="s">
        <v>21</v>
      </c>
      <c r="I603" s="2" t="s">
        <v>1687</v>
      </c>
      <c r="J603" s="3" t="str">
        <f>HYPERLINK("https://www.boe.es/gazeta/dias/1816/08/06/pdfs/GMD-1816-97.pdf#page=6","Abrir facsímil")</f>
        <v>Abrir facsímil</v>
      </c>
      <c r="K603" s="3" t="s">
        <v>23</v>
      </c>
    </row>
    <row r="604" spans="1:11" ht="42" customHeight="1">
      <c r="A604" s="2" t="s">
        <v>1688</v>
      </c>
      <c r="B604" s="2" t="s">
        <v>1688</v>
      </c>
      <c r="C604" s="2" t="s">
        <v>34</v>
      </c>
      <c r="D604" s="2" t="s">
        <v>35</v>
      </c>
      <c r="E604" s="5">
        <v>-30641</v>
      </c>
      <c r="F604" s="3" t="s">
        <v>192</v>
      </c>
      <c r="G604" s="3" t="s">
        <v>103</v>
      </c>
      <c r="H604" s="2" t="s">
        <v>21</v>
      </c>
      <c r="I604" s="2" t="s">
        <v>1689</v>
      </c>
      <c r="J604" s="3" t="str">
        <f>HYPERLINK("https://www.boe.es/gazeta/dias/1816/02/08/pdfs/GMD-1816-18.pdf#page=4","Abrir facsímil")</f>
        <v>Abrir facsímil</v>
      </c>
      <c r="K604" s="3" t="s">
        <v>23</v>
      </c>
    </row>
    <row r="605" spans="1:11" ht="42" customHeight="1">
      <c r="A605" s="2" t="s">
        <v>1690</v>
      </c>
      <c r="B605" s="2" t="s">
        <v>1691</v>
      </c>
      <c r="C605" s="2" t="s">
        <v>111</v>
      </c>
      <c r="D605" s="2" t="s">
        <v>56</v>
      </c>
      <c r="E605" s="5">
        <v>-30622</v>
      </c>
      <c r="F605" s="3" t="s">
        <v>907</v>
      </c>
      <c r="G605" s="3" t="s">
        <v>103</v>
      </c>
      <c r="H605" s="2" t="s">
        <v>21</v>
      </c>
      <c r="I605" s="2" t="s">
        <v>1692</v>
      </c>
      <c r="J605" s="3" t="str">
        <f>HYPERLINK("https://www.boe.es/gazeta/dias/1816/02/27/pdfs/GMD-1816-27E.pdf#page=4","Abrir facsímil")</f>
        <v>Abrir facsímil</v>
      </c>
      <c r="K605" s="3" t="s">
        <v>23</v>
      </c>
    </row>
    <row r="606" spans="1:11" ht="42" customHeight="1">
      <c r="A606" s="2" t="s">
        <v>1693</v>
      </c>
      <c r="B606" s="2" t="s">
        <v>1694</v>
      </c>
      <c r="C606" s="2" t="s">
        <v>111</v>
      </c>
      <c r="D606" s="2" t="s">
        <v>112</v>
      </c>
      <c r="E606" s="5">
        <v>-30601</v>
      </c>
      <c r="F606" s="3" t="s">
        <v>308</v>
      </c>
      <c r="G606" s="3" t="s">
        <v>58</v>
      </c>
      <c r="H606" s="2" t="s">
        <v>21</v>
      </c>
      <c r="I606" s="2" t="s">
        <v>1695</v>
      </c>
      <c r="J606" s="3" t="str">
        <f>HYPERLINK("https://www.boe.es/gazeta/dias/1816/03/19/pdfs/GMD-1816-37.pdf#page=1","Abrir facsímil")</f>
        <v>Abrir facsímil</v>
      </c>
      <c r="K606" s="3" t="s">
        <v>23</v>
      </c>
    </row>
    <row r="607" spans="1:11" ht="42" customHeight="1">
      <c r="A607" s="2" t="s">
        <v>1696</v>
      </c>
      <c r="B607" s="2" t="s">
        <v>1696</v>
      </c>
      <c r="C607" s="2" t="s">
        <v>34</v>
      </c>
      <c r="D607" s="2" t="s">
        <v>35</v>
      </c>
      <c r="E607" s="5">
        <v>-30590</v>
      </c>
      <c r="F607" s="3" t="s">
        <v>195</v>
      </c>
      <c r="G607" s="3" t="s">
        <v>184</v>
      </c>
      <c r="H607" s="2" t="s">
        <v>21</v>
      </c>
      <c r="I607" s="2" t="s">
        <v>1697</v>
      </c>
      <c r="J607" s="3" t="str">
        <f>HYPERLINK("https://www.boe.es/gazeta/dias/1816/03/30/pdfs/GMD-1816-42.pdf#page=3","Abrir facsímil")</f>
        <v>Abrir facsímil</v>
      </c>
      <c r="K607" s="3" t="s">
        <v>23</v>
      </c>
    </row>
    <row r="608" spans="1:11" ht="42" customHeight="1">
      <c r="A608" s="2" t="s">
        <v>1696</v>
      </c>
      <c r="B608" s="2" t="s">
        <v>1696</v>
      </c>
      <c r="C608" s="2" t="s">
        <v>34</v>
      </c>
      <c r="D608" s="2" t="s">
        <v>35</v>
      </c>
      <c r="E608" s="5">
        <v>-30585</v>
      </c>
      <c r="F608" s="3" t="s">
        <v>633</v>
      </c>
      <c r="G608" s="3" t="s">
        <v>184</v>
      </c>
      <c r="H608" s="2" t="s">
        <v>21</v>
      </c>
      <c r="I608" s="2" t="s">
        <v>1698</v>
      </c>
      <c r="J608" s="3" t="str">
        <f>HYPERLINK("https://www.boe.es/gazeta/dias/1816/04/04/pdfs/GMD-1816-44.pdf#page=3","Abrir facsímil")</f>
        <v>Abrir facsímil</v>
      </c>
      <c r="K608" s="3" t="s">
        <v>23</v>
      </c>
    </row>
    <row r="609" spans="1:11" ht="42" customHeight="1">
      <c r="A609" s="2" t="s">
        <v>1699</v>
      </c>
      <c r="B609" s="2" t="s">
        <v>1700</v>
      </c>
      <c r="C609" s="2" t="s">
        <v>41</v>
      </c>
      <c r="D609" s="2" t="s">
        <v>18</v>
      </c>
      <c r="E609" s="5">
        <v>-30461</v>
      </c>
      <c r="F609" s="3" t="s">
        <v>912</v>
      </c>
      <c r="G609" s="3" t="s">
        <v>42</v>
      </c>
      <c r="H609" s="2" t="s">
        <v>21</v>
      </c>
      <c r="I609" s="2" t="s">
        <v>1701</v>
      </c>
      <c r="J609" s="3" t="str">
        <f>HYPERLINK("https://www.boe.es/gazeta/dias/1816/08/06/pdfs/GMD-1816-97.pdf#page=8","Abrir facsímil")</f>
        <v>Abrir facsímil</v>
      </c>
      <c r="K609" s="3" t="s">
        <v>23</v>
      </c>
    </row>
    <row r="610" spans="1:11" ht="42" customHeight="1">
      <c r="A610" s="2" t="s">
        <v>1702</v>
      </c>
      <c r="B610" s="2" t="s">
        <v>1703</v>
      </c>
      <c r="C610" s="2" t="s">
        <v>34</v>
      </c>
      <c r="D610" s="2" t="s">
        <v>35</v>
      </c>
      <c r="E610" s="5">
        <v>-30387</v>
      </c>
      <c r="F610" s="3" t="s">
        <v>224</v>
      </c>
      <c r="G610" s="3" t="s">
        <v>28</v>
      </c>
      <c r="H610" s="2" t="s">
        <v>21</v>
      </c>
      <c r="I610" s="2" t="s">
        <v>1704</v>
      </c>
      <c r="J610" s="3" t="str">
        <f>HYPERLINK("https://www.boe.es/gazeta/dias/1816/10/19/pdfs/GMD-1816-131.pdf#page=6","Abrir facsímil")</f>
        <v>Abrir facsímil</v>
      </c>
      <c r="K610" s="3" t="s">
        <v>23</v>
      </c>
    </row>
    <row r="611" spans="1:11" ht="42" customHeight="1">
      <c r="A611" s="2" t="s">
        <v>1705</v>
      </c>
      <c r="B611" s="2" t="s">
        <v>1706</v>
      </c>
      <c r="C611" s="2" t="s">
        <v>67</v>
      </c>
      <c r="D611" s="2" t="s">
        <v>18</v>
      </c>
      <c r="E611" s="5">
        <v>-30424</v>
      </c>
      <c r="F611" s="3" t="s">
        <v>142</v>
      </c>
      <c r="G611" s="3" t="s">
        <v>143</v>
      </c>
      <c r="H611" s="2" t="s">
        <v>21</v>
      </c>
      <c r="I611" s="2" t="s">
        <v>1707</v>
      </c>
      <c r="J611" s="3" t="str">
        <f>HYPERLINK("https://www.boe.es/gazeta/dias/1816/09/12/pdfs/GMD-1816-113.pdf#page=4","Abrir facsímil")</f>
        <v>Abrir facsímil</v>
      </c>
      <c r="K611" s="3" t="s">
        <v>23</v>
      </c>
    </row>
    <row r="612" spans="1:11" ht="42" customHeight="1">
      <c r="A612" s="2" t="s">
        <v>1708</v>
      </c>
      <c r="B612" s="2" t="s">
        <v>1709</v>
      </c>
      <c r="C612" s="2" t="s">
        <v>26</v>
      </c>
      <c r="D612" s="2" t="s">
        <v>56</v>
      </c>
      <c r="E612" s="5">
        <v>-30393</v>
      </c>
      <c r="F612" s="3" t="s">
        <v>202</v>
      </c>
      <c r="G612" s="3" t="s">
        <v>270</v>
      </c>
      <c r="H612" s="2" t="s">
        <v>21</v>
      </c>
      <c r="I612" s="2" t="s">
        <v>1710</v>
      </c>
      <c r="J612" s="3" t="str">
        <f>HYPERLINK("https://www.boe.es/gazeta/dias/1816/10/13/pdfs/GMD-1816-128E.pdf#page=2","Abrir facsímil")</f>
        <v>Abrir facsímil</v>
      </c>
      <c r="K612" s="3" t="s">
        <v>23</v>
      </c>
    </row>
    <row r="613" spans="1:11" ht="42" customHeight="1">
      <c r="A613" s="2" t="s">
        <v>1711</v>
      </c>
      <c r="B613" s="2" t="s">
        <v>1712</v>
      </c>
      <c r="C613" s="2" t="s">
        <v>34</v>
      </c>
      <c r="D613" s="2" t="s">
        <v>35</v>
      </c>
      <c r="E613" s="5">
        <v>-30405</v>
      </c>
      <c r="F613" s="3" t="s">
        <v>587</v>
      </c>
      <c r="G613" s="3" t="s">
        <v>103</v>
      </c>
      <c r="H613" s="2" t="s">
        <v>21</v>
      </c>
      <c r="I613" s="2" t="s">
        <v>1713</v>
      </c>
      <c r="J613" s="3" t="str">
        <f>HYPERLINK("https://www.boe.es/gazeta/dias/1816/10/01/pdfs/GMD-1816-121.pdf#page=4","Abrir facsímil")</f>
        <v>Abrir facsímil</v>
      </c>
      <c r="K613" s="3" t="s">
        <v>23</v>
      </c>
    </row>
    <row r="614" spans="1:11" ht="42" customHeight="1">
      <c r="A614" s="2" t="s">
        <v>1714</v>
      </c>
      <c r="B614" s="2" t="s">
        <v>1714</v>
      </c>
      <c r="C614" s="2" t="s">
        <v>67</v>
      </c>
      <c r="D614" s="2" t="s">
        <v>18</v>
      </c>
      <c r="E614" s="5">
        <v>-30587</v>
      </c>
      <c r="F614" s="3" t="s">
        <v>341</v>
      </c>
      <c r="G614" s="3" t="s">
        <v>47</v>
      </c>
      <c r="H614" s="2" t="s">
        <v>21</v>
      </c>
      <c r="I614" s="2" t="s">
        <v>1715</v>
      </c>
      <c r="J614" s="3" t="str">
        <f>HYPERLINK("https://www.boe.es/gazeta/dias/1816/04/02/pdfs/GMD-1816-43.pdf#page=5","Abrir facsímil")</f>
        <v>Abrir facsímil</v>
      </c>
      <c r="K614" s="3" t="s">
        <v>23</v>
      </c>
    </row>
    <row r="615" spans="1:11" ht="42" customHeight="1">
      <c r="A615" s="2" t="s">
        <v>1716</v>
      </c>
      <c r="B615" s="2" t="s">
        <v>1717</v>
      </c>
      <c r="C615" s="2" t="s">
        <v>26</v>
      </c>
      <c r="D615" s="2" t="s">
        <v>18</v>
      </c>
      <c r="E615" s="5">
        <v>-30576</v>
      </c>
      <c r="F615" s="3" t="s">
        <v>353</v>
      </c>
      <c r="G615" s="3" t="s">
        <v>72</v>
      </c>
      <c r="H615" s="2" t="s">
        <v>21</v>
      </c>
      <c r="I615" s="2" t="s">
        <v>1718</v>
      </c>
      <c r="J615" s="3" t="str">
        <f>HYPERLINK("https://www.boe.es/gazeta/dias/1816/04/13/pdfs/GMD-1816-48.pdf#page=7","Abrir facsímil")</f>
        <v>Abrir facsímil</v>
      </c>
      <c r="K615" s="3" t="s">
        <v>23</v>
      </c>
    </row>
    <row r="616" spans="1:11" ht="42" customHeight="1">
      <c r="A616" s="2" t="s">
        <v>1719</v>
      </c>
      <c r="B616" s="2" t="s">
        <v>1720</v>
      </c>
      <c r="C616" s="2" t="s">
        <v>111</v>
      </c>
      <c r="D616" s="2" t="s">
        <v>112</v>
      </c>
      <c r="E616" s="5">
        <v>-30387</v>
      </c>
      <c r="F616" s="3" t="s">
        <v>224</v>
      </c>
      <c r="G616" s="3" t="s">
        <v>28</v>
      </c>
      <c r="H616" s="2" t="s">
        <v>21</v>
      </c>
      <c r="I616" s="2" t="s">
        <v>1721</v>
      </c>
      <c r="J616" s="3" t="str">
        <f>HYPERLINK("https://www.boe.es/gazeta/dias/1816/10/19/pdfs/GMD-1816-131.pdf#page=6","Abrir facsímil")</f>
        <v>Abrir facsímil</v>
      </c>
      <c r="K616" s="3" t="s">
        <v>23</v>
      </c>
    </row>
    <row r="617" spans="1:11" ht="42" customHeight="1">
      <c r="A617" s="2" t="s">
        <v>1722</v>
      </c>
      <c r="B617" s="2" t="s">
        <v>1723</v>
      </c>
      <c r="C617" s="2" t="s">
        <v>34</v>
      </c>
      <c r="D617" s="2" t="s">
        <v>35</v>
      </c>
      <c r="E617" s="5">
        <v>-30655</v>
      </c>
      <c r="F617" s="3" t="s">
        <v>170</v>
      </c>
      <c r="G617" s="3" t="s">
        <v>72</v>
      </c>
      <c r="H617" s="2" t="s">
        <v>21</v>
      </c>
      <c r="I617" s="2" t="s">
        <v>1724</v>
      </c>
      <c r="J617" s="3" t="str">
        <f>HYPERLINK("https://www.boe.es/gazeta/dias/1816/01/25/pdfs/GMD-1816-11.pdf#page=7","Abrir facsímil")</f>
        <v>Abrir facsímil</v>
      </c>
      <c r="K617" s="3" t="s">
        <v>23</v>
      </c>
    </row>
    <row r="618" spans="1:11" ht="42" customHeight="1">
      <c r="A618" s="2" t="s">
        <v>1725</v>
      </c>
      <c r="B618" s="2" t="s">
        <v>1726</v>
      </c>
      <c r="C618" s="2" t="s">
        <v>111</v>
      </c>
      <c r="D618" s="2" t="s">
        <v>56</v>
      </c>
      <c r="E618" s="5">
        <v>-30393</v>
      </c>
      <c r="F618" s="3" t="s">
        <v>202</v>
      </c>
      <c r="G618" s="3" t="s">
        <v>203</v>
      </c>
      <c r="H618" s="2" t="s">
        <v>21</v>
      </c>
      <c r="I618" s="2" t="s">
        <v>1727</v>
      </c>
      <c r="J618" s="3" t="str">
        <f>HYPERLINK("https://www.boe.es/gazeta/dias/1816/10/13/pdfs/GMD-1816-128E.pdf#page=7","Abrir facsímil")</f>
        <v>Abrir facsímil</v>
      </c>
      <c r="K618" s="3" t="s">
        <v>23</v>
      </c>
    </row>
    <row r="619" spans="1:11" ht="42" customHeight="1">
      <c r="A619" s="2" t="s">
        <v>1728</v>
      </c>
      <c r="B619" s="2" t="s">
        <v>1728</v>
      </c>
      <c r="C619" s="2" t="s">
        <v>111</v>
      </c>
      <c r="D619" s="2" t="s">
        <v>112</v>
      </c>
      <c r="E619" s="5">
        <v>-30636</v>
      </c>
      <c r="F619" s="3" t="s">
        <v>82</v>
      </c>
      <c r="G619" s="3" t="s">
        <v>83</v>
      </c>
      <c r="H619" s="2" t="s">
        <v>21</v>
      </c>
      <c r="I619" s="2" t="s">
        <v>1729</v>
      </c>
      <c r="J619" s="3" t="str">
        <f>HYPERLINK("https://www.boe.es/gazeta/dias/1816/02/13/pdfs/GMD-1816-20.pdf#page=8","Abrir facsímil")</f>
        <v>Abrir facsímil</v>
      </c>
      <c r="K619" s="3" t="s">
        <v>23</v>
      </c>
    </row>
    <row r="620" spans="1:11" ht="42" customHeight="1">
      <c r="A620" s="2" t="s">
        <v>1728</v>
      </c>
      <c r="B620" s="2" t="s">
        <v>1728</v>
      </c>
      <c r="C620" s="2" t="s">
        <v>34</v>
      </c>
      <c r="D620" s="2" t="s">
        <v>35</v>
      </c>
      <c r="E620" s="5">
        <v>-30492</v>
      </c>
      <c r="F620" s="3" t="s">
        <v>248</v>
      </c>
      <c r="G620" s="3" t="s">
        <v>28</v>
      </c>
      <c r="H620" s="2" t="s">
        <v>21</v>
      </c>
      <c r="I620" s="2" t="s">
        <v>1730</v>
      </c>
      <c r="J620" s="3" t="str">
        <f>HYPERLINK("https://www.boe.es/gazeta/dias/1816/07/06/pdfs/GMD-1816-84.pdf#page=6","Abrir facsímil")</f>
        <v>Abrir facsímil</v>
      </c>
      <c r="K620" s="3" t="s">
        <v>23</v>
      </c>
    </row>
    <row r="621" spans="1:11" ht="42" customHeight="1">
      <c r="A621" s="2" t="s">
        <v>1731</v>
      </c>
      <c r="B621" s="2" t="s">
        <v>1732</v>
      </c>
      <c r="C621" s="2" t="s">
        <v>26</v>
      </c>
      <c r="D621" s="2" t="s">
        <v>18</v>
      </c>
      <c r="E621" s="5">
        <v>-30667</v>
      </c>
      <c r="F621" s="3" t="s">
        <v>659</v>
      </c>
      <c r="G621" s="3" t="s">
        <v>1733</v>
      </c>
      <c r="H621" s="2" t="s">
        <v>21</v>
      </c>
      <c r="I621" s="2" t="s">
        <v>1734</v>
      </c>
      <c r="J621" s="3" t="str">
        <f>HYPERLINK("https://www.boe.es/gazeta/dias/1816/01/13/pdfs/GMD-1816-6.pdf#page=7","Abrir facsímil")</f>
        <v>Abrir facsímil</v>
      </c>
      <c r="K621" s="3" t="s">
        <v>23</v>
      </c>
    </row>
    <row r="622" spans="1:11" ht="42" customHeight="1">
      <c r="A622" s="2" t="s">
        <v>1731</v>
      </c>
      <c r="B622" s="2" t="s">
        <v>1732</v>
      </c>
      <c r="C622" s="2" t="s">
        <v>26</v>
      </c>
      <c r="D622" s="2" t="s">
        <v>18</v>
      </c>
      <c r="E622" s="5">
        <v>-30501</v>
      </c>
      <c r="F622" s="3" t="s">
        <v>475</v>
      </c>
      <c r="G622" s="3" t="s">
        <v>1735</v>
      </c>
      <c r="H622" s="2" t="s">
        <v>21</v>
      </c>
      <c r="I622" s="2" t="s">
        <v>1736</v>
      </c>
      <c r="J622" s="3" t="str">
        <f>HYPERLINK("https://www.boe.es/gazeta/dias/1816/06/27/pdfs/GMD-1816-80.pdf#page=8","Abrir facsímil")</f>
        <v>Abrir facsímil</v>
      </c>
      <c r="K622" s="3" t="s">
        <v>23</v>
      </c>
    </row>
    <row r="623" spans="1:11" ht="42" customHeight="1">
      <c r="A623" s="2" t="s">
        <v>1737</v>
      </c>
      <c r="B623" s="2" t="s">
        <v>1738</v>
      </c>
      <c r="C623" s="2" t="s">
        <v>41</v>
      </c>
      <c r="D623" s="2" t="s">
        <v>18</v>
      </c>
      <c r="E623" s="5">
        <v>-30494</v>
      </c>
      <c r="F623" s="3" t="s">
        <v>174</v>
      </c>
      <c r="G623" s="3" t="s">
        <v>175</v>
      </c>
      <c r="H623" s="2" t="s">
        <v>21</v>
      </c>
      <c r="I623" s="2" t="s">
        <v>1739</v>
      </c>
      <c r="J623" s="3" t="str">
        <f>HYPERLINK("https://www.boe.es/gazeta/dias/1816/07/04/pdfs/GMD-1816-83.pdf#page=11","Abrir facsímil")</f>
        <v>Abrir facsímil</v>
      </c>
      <c r="K623" s="3" t="s">
        <v>23</v>
      </c>
    </row>
    <row r="624" spans="1:11" ht="42" customHeight="1">
      <c r="A624" s="2" t="s">
        <v>1740</v>
      </c>
      <c r="B624" s="2" t="s">
        <v>1740</v>
      </c>
      <c r="C624" s="2" t="s">
        <v>34</v>
      </c>
      <c r="D624" s="2" t="s">
        <v>35</v>
      </c>
      <c r="E624" s="5">
        <v>-30361</v>
      </c>
      <c r="F624" s="3" t="s">
        <v>1741</v>
      </c>
      <c r="G624" s="3" t="s">
        <v>58</v>
      </c>
      <c r="H624" s="2" t="s">
        <v>21</v>
      </c>
      <c r="I624" s="2" t="s">
        <v>1742</v>
      </c>
      <c r="J624" s="3" t="str">
        <f>HYPERLINK("https://www.boe.es/gazeta/dias/1816/11/14/pdfs/GMD-1816-142.pdf#page=1","Abrir facsímil")</f>
        <v>Abrir facsímil</v>
      </c>
      <c r="K624" s="3" t="s">
        <v>23</v>
      </c>
    </row>
    <row r="625" spans="1:11" ht="42" customHeight="1">
      <c r="A625" s="2" t="s">
        <v>1743</v>
      </c>
      <c r="B625" s="2" t="s">
        <v>1743</v>
      </c>
      <c r="C625" s="2" t="s">
        <v>111</v>
      </c>
      <c r="D625" s="2" t="s">
        <v>112</v>
      </c>
      <c r="E625" s="5">
        <v>-30531</v>
      </c>
      <c r="F625" s="3" t="s">
        <v>535</v>
      </c>
      <c r="G625" s="3" t="s">
        <v>103</v>
      </c>
      <c r="H625" s="2" t="s">
        <v>21</v>
      </c>
      <c r="I625" s="2" t="s">
        <v>1744</v>
      </c>
      <c r="J625" s="3" t="str">
        <f>HYPERLINK("https://www.boe.es/gazeta/dias/1816/05/28/pdfs/GMD-1816-67.pdf#page=4","Abrir facsímil")</f>
        <v>Abrir facsímil</v>
      </c>
      <c r="K625" s="3" t="s">
        <v>23</v>
      </c>
    </row>
    <row r="626" spans="1:11" ht="42" customHeight="1">
      <c r="A626" s="2" t="s">
        <v>1745</v>
      </c>
      <c r="B626" s="2" t="s">
        <v>1745</v>
      </c>
      <c r="C626" s="2" t="s">
        <v>34</v>
      </c>
      <c r="D626" s="2" t="s">
        <v>35</v>
      </c>
      <c r="E626" s="5">
        <v>-30643</v>
      </c>
      <c r="F626" s="3" t="s">
        <v>620</v>
      </c>
      <c r="G626" s="3" t="s">
        <v>1746</v>
      </c>
      <c r="H626" s="2" t="s">
        <v>21</v>
      </c>
      <c r="I626" s="2" t="s">
        <v>1747</v>
      </c>
      <c r="J626" s="3" t="str">
        <f>HYPERLINK("https://www.boe.es/gazeta/dias/1816/02/06/pdfs/GMD-1816-17.pdf#page=3","Abrir facsímil")</f>
        <v>Abrir facsímil</v>
      </c>
      <c r="K626" s="3" t="s">
        <v>23</v>
      </c>
    </row>
    <row r="627" spans="1:11" ht="42" customHeight="1">
      <c r="A627" s="2" t="s">
        <v>1745</v>
      </c>
      <c r="B627" s="2" t="s">
        <v>1745</v>
      </c>
      <c r="C627" s="2" t="s">
        <v>387</v>
      </c>
      <c r="D627" s="2" t="s">
        <v>18</v>
      </c>
      <c r="E627" s="5">
        <v>-30613</v>
      </c>
      <c r="F627" s="3" t="s">
        <v>392</v>
      </c>
      <c r="G627" s="3" t="s">
        <v>393</v>
      </c>
      <c r="H627" s="2" t="s">
        <v>21</v>
      </c>
      <c r="I627" s="2" t="s">
        <v>1748</v>
      </c>
      <c r="J627" s="3" t="str">
        <f>HYPERLINK("https://www.boe.es/gazeta/dias/1816/03/07/pdfs/GMD-1816-31.pdf#page=2","Abrir facsímil")</f>
        <v>Abrir facsímil</v>
      </c>
      <c r="K627" s="3" t="s">
        <v>23</v>
      </c>
    </row>
    <row r="628" spans="1:11" ht="42" customHeight="1">
      <c r="A628" s="2" t="s">
        <v>1749</v>
      </c>
      <c r="B628" s="2" t="s">
        <v>1749</v>
      </c>
      <c r="C628" s="2" t="s">
        <v>26</v>
      </c>
      <c r="D628" s="2" t="s">
        <v>56</v>
      </c>
      <c r="E628" s="5">
        <v>-30393</v>
      </c>
      <c r="F628" s="3" t="s">
        <v>202</v>
      </c>
      <c r="G628" s="3" t="s">
        <v>47</v>
      </c>
      <c r="H628" s="2" t="s">
        <v>21</v>
      </c>
      <c r="I628" s="2" t="s">
        <v>1750</v>
      </c>
      <c r="J628" s="3" t="str">
        <f>HYPERLINK("https://www.boe.es/gazeta/dias/1816/10/13/pdfs/GMD-1816-128E.pdf#page=5","Abrir facsímil")</f>
        <v>Abrir facsímil</v>
      </c>
      <c r="K628" s="3" t="s">
        <v>23</v>
      </c>
    </row>
    <row r="629" spans="1:11" ht="42" customHeight="1">
      <c r="A629" s="2" t="s">
        <v>1749</v>
      </c>
      <c r="B629" s="2" t="s">
        <v>1749</v>
      </c>
      <c r="C629" s="2" t="s">
        <v>34</v>
      </c>
      <c r="D629" s="2" t="s">
        <v>35</v>
      </c>
      <c r="E629" s="5">
        <v>-30387</v>
      </c>
      <c r="F629" s="3" t="s">
        <v>224</v>
      </c>
      <c r="G629" s="3" t="s">
        <v>28</v>
      </c>
      <c r="H629" s="2" t="s">
        <v>21</v>
      </c>
      <c r="I629" s="2" t="s">
        <v>1751</v>
      </c>
      <c r="J629" s="3" t="str">
        <f>HYPERLINK("https://www.boe.es/gazeta/dias/1816/10/19/pdfs/GMD-1816-131.pdf#page=6","Abrir facsímil")</f>
        <v>Abrir facsímil</v>
      </c>
      <c r="K629" s="3" t="s">
        <v>23</v>
      </c>
    </row>
    <row r="630" spans="1:11" ht="42" customHeight="1">
      <c r="A630" s="2" t="s">
        <v>1752</v>
      </c>
      <c r="B630" s="2" t="s">
        <v>1753</v>
      </c>
      <c r="C630" s="2" t="s">
        <v>26</v>
      </c>
      <c r="D630" s="2" t="s">
        <v>18</v>
      </c>
      <c r="E630" s="5">
        <v>-30457</v>
      </c>
      <c r="F630" s="3" t="s">
        <v>539</v>
      </c>
      <c r="G630" s="3" t="s">
        <v>47</v>
      </c>
      <c r="H630" s="2" t="s">
        <v>21</v>
      </c>
      <c r="I630" s="2" t="s">
        <v>1754</v>
      </c>
      <c r="J630" s="3" t="str">
        <f>HYPERLINK("https://www.boe.es/gazeta/dias/1816/08/10/pdfs/GMD-1816-99.pdf#page=5","Abrir facsímil")</f>
        <v>Abrir facsímil</v>
      </c>
      <c r="K630" s="3" t="s">
        <v>23</v>
      </c>
    </row>
    <row r="631" spans="1:11" ht="42" customHeight="1">
      <c r="A631" s="2" t="s">
        <v>1755</v>
      </c>
      <c r="B631" s="2" t="s">
        <v>1756</v>
      </c>
      <c r="C631" s="2" t="s">
        <v>111</v>
      </c>
      <c r="D631" s="2" t="s">
        <v>112</v>
      </c>
      <c r="E631" s="5">
        <v>-30415</v>
      </c>
      <c r="F631" s="3" t="s">
        <v>585</v>
      </c>
      <c r="G631" s="3" t="s">
        <v>184</v>
      </c>
      <c r="H631" s="2" t="s">
        <v>21</v>
      </c>
      <c r="I631" s="2" t="s">
        <v>1757</v>
      </c>
      <c r="J631" s="3" t="str">
        <f>HYPERLINK("https://www.boe.es/gazeta/dias/1816/09/21/pdfs/GMD-1816-117.pdf#page=3","Abrir facsímil")</f>
        <v>Abrir facsímil</v>
      </c>
      <c r="K631" s="3" t="s">
        <v>23</v>
      </c>
    </row>
    <row r="632" spans="1:11" ht="42" customHeight="1">
      <c r="A632" s="2" t="s">
        <v>1755</v>
      </c>
      <c r="B632" s="2" t="s">
        <v>1756</v>
      </c>
      <c r="C632" s="2" t="s">
        <v>111</v>
      </c>
      <c r="D632" s="2" t="s">
        <v>112</v>
      </c>
      <c r="E632" s="5">
        <v>-30415</v>
      </c>
      <c r="F632" s="3" t="s">
        <v>585</v>
      </c>
      <c r="G632" s="3" t="s">
        <v>47</v>
      </c>
      <c r="H632" s="2" t="s">
        <v>21</v>
      </c>
      <c r="I632" s="2" t="s">
        <v>1758</v>
      </c>
      <c r="J632" s="3" t="str">
        <f>HYPERLINK("https://www.boe.es/gazeta/dias/1816/09/21/pdfs/GMD-1816-117.pdf#page=5","Abrir facsímil")</f>
        <v>Abrir facsímil</v>
      </c>
      <c r="K632" s="3" t="s">
        <v>23</v>
      </c>
    </row>
    <row r="633" spans="1:11" ht="42" customHeight="1">
      <c r="A633" s="2" t="s">
        <v>1759</v>
      </c>
      <c r="B633" s="2" t="s">
        <v>1759</v>
      </c>
      <c r="C633" s="2" t="s">
        <v>26</v>
      </c>
      <c r="D633" s="2" t="s">
        <v>18</v>
      </c>
      <c r="E633" s="5">
        <v>-30394</v>
      </c>
      <c r="F633" s="3" t="s">
        <v>589</v>
      </c>
      <c r="G633" s="3" t="s">
        <v>72</v>
      </c>
      <c r="H633" s="2" t="s">
        <v>21</v>
      </c>
      <c r="I633" s="2" t="s">
        <v>1760</v>
      </c>
      <c r="J633" s="3" t="str">
        <f>HYPERLINK("https://www.boe.es/gazeta/dias/1816/10/12/pdfs/GMD-1816-127.pdf#page=7","Abrir facsímil")</f>
        <v>Abrir facsímil</v>
      </c>
      <c r="K633" s="3" t="s">
        <v>23</v>
      </c>
    </row>
    <row r="634" spans="1:11" ht="42" customHeight="1">
      <c r="A634" s="2" t="s">
        <v>1761</v>
      </c>
      <c r="B634" s="2" t="s">
        <v>1762</v>
      </c>
      <c r="C634" s="2" t="s">
        <v>67</v>
      </c>
      <c r="D634" s="2" t="s">
        <v>18</v>
      </c>
      <c r="E634" s="5">
        <v>-30492</v>
      </c>
      <c r="F634" s="3" t="s">
        <v>248</v>
      </c>
      <c r="G634" s="3" t="s">
        <v>92</v>
      </c>
      <c r="H634" s="2" t="s">
        <v>21</v>
      </c>
      <c r="I634" s="2" t="s">
        <v>1763</v>
      </c>
      <c r="J634" s="3" t="str">
        <f>HYPERLINK("https://www.boe.es/gazeta/dias/1816/07/06/pdfs/GMD-1816-84.pdf#page=9","Abrir facsímil")</f>
        <v>Abrir facsímil</v>
      </c>
      <c r="K634" s="3" t="s">
        <v>23</v>
      </c>
    </row>
    <row r="635" spans="1:11" ht="42" customHeight="1">
      <c r="A635" s="2" t="s">
        <v>1764</v>
      </c>
      <c r="B635" s="2" t="s">
        <v>1764</v>
      </c>
      <c r="C635" s="2" t="s">
        <v>387</v>
      </c>
      <c r="D635" s="2" t="s">
        <v>18</v>
      </c>
      <c r="E635" s="5">
        <v>-30380</v>
      </c>
      <c r="F635" s="3" t="s">
        <v>819</v>
      </c>
      <c r="G635" s="3" t="s">
        <v>103</v>
      </c>
      <c r="H635" s="2" t="s">
        <v>21</v>
      </c>
      <c r="I635" s="2" t="s">
        <v>1765</v>
      </c>
      <c r="J635" s="3" t="str">
        <f>HYPERLINK("https://www.boe.es/gazeta/dias/1816/10/26/pdfs/GMD-1816-134.pdf#page=4","Abrir facsímil")</f>
        <v>Abrir facsímil</v>
      </c>
      <c r="K635" s="3" t="s">
        <v>23</v>
      </c>
    </row>
    <row r="636" spans="1:11" ht="42" customHeight="1">
      <c r="A636" s="2" t="s">
        <v>1764</v>
      </c>
      <c r="B636" s="2" t="s">
        <v>1764</v>
      </c>
      <c r="C636" s="2" t="s">
        <v>26</v>
      </c>
      <c r="D636" s="2" t="s">
        <v>18</v>
      </c>
      <c r="E636" s="5">
        <v>-30352</v>
      </c>
      <c r="F636" s="3" t="s">
        <v>407</v>
      </c>
      <c r="G636" s="3" t="s">
        <v>270</v>
      </c>
      <c r="H636" s="2" t="s">
        <v>21</v>
      </c>
      <c r="I636" s="2" t="s">
        <v>1766</v>
      </c>
      <c r="J636" s="3" t="str">
        <f>HYPERLINK("https://www.boe.es/gazeta/dias/1816/11/23/pdfs/GMD-1816-146.pdf#page=2","Abrir facsímil")</f>
        <v>Abrir facsímil</v>
      </c>
      <c r="K636" s="3" t="s">
        <v>23</v>
      </c>
    </row>
    <row r="637" spans="1:11" ht="42" customHeight="1">
      <c r="A637" s="2" t="s">
        <v>1767</v>
      </c>
      <c r="B637" s="2" t="s">
        <v>1768</v>
      </c>
      <c r="C637" s="2" t="s">
        <v>111</v>
      </c>
      <c r="D637" s="2" t="s">
        <v>112</v>
      </c>
      <c r="E637" s="5">
        <v>-30410</v>
      </c>
      <c r="F637" s="3" t="s">
        <v>1259</v>
      </c>
      <c r="G637" s="3" t="s">
        <v>1769</v>
      </c>
      <c r="H637" s="2" t="s">
        <v>21</v>
      </c>
      <c r="I637" s="2" t="s">
        <v>1770</v>
      </c>
      <c r="J637" s="3" t="str">
        <f>HYPERLINK("https://www.boe.es/gazeta/dias/1816/09/26/pdfs/GMD-1816-119.pdf#page=12","Abrir facsímil")</f>
        <v>Abrir facsímil</v>
      </c>
      <c r="K637" s="3" t="s">
        <v>23</v>
      </c>
    </row>
    <row r="638" spans="1:11" ht="42" customHeight="1">
      <c r="A638" s="2" t="s">
        <v>1771</v>
      </c>
      <c r="B638" s="2" t="s">
        <v>1772</v>
      </c>
      <c r="C638" s="2" t="s">
        <v>34</v>
      </c>
      <c r="D638" s="2" t="s">
        <v>35</v>
      </c>
      <c r="E638" s="5">
        <v>-30482</v>
      </c>
      <c r="F638" s="3" t="s">
        <v>370</v>
      </c>
      <c r="G638" s="3" t="s">
        <v>92</v>
      </c>
      <c r="H638" s="2" t="s">
        <v>21</v>
      </c>
      <c r="I638" s="2" t="s">
        <v>1773</v>
      </c>
      <c r="J638" s="3" t="str">
        <f>HYPERLINK("https://www.boe.es/gazeta/dias/1816/07/16/pdfs/GMD-1816-88.pdf#page=9","Abrir facsímil")</f>
        <v>Abrir facsímil</v>
      </c>
      <c r="K638" s="3" t="s">
        <v>23</v>
      </c>
    </row>
    <row r="639" spans="1:11" ht="42" customHeight="1">
      <c r="A639" s="2" t="s">
        <v>1774</v>
      </c>
      <c r="B639" s="2" t="s">
        <v>1775</v>
      </c>
      <c r="C639" s="2" t="s">
        <v>67</v>
      </c>
      <c r="D639" s="2" t="s">
        <v>18</v>
      </c>
      <c r="E639" s="5">
        <v>-30482</v>
      </c>
      <c r="F639" s="3" t="s">
        <v>370</v>
      </c>
      <c r="G639" s="3" t="s">
        <v>175</v>
      </c>
      <c r="H639" s="2" t="s">
        <v>21</v>
      </c>
      <c r="I639" s="2" t="s">
        <v>1776</v>
      </c>
      <c r="J639" s="3" t="str">
        <f>HYPERLINK("https://www.boe.es/gazeta/dias/1816/07/16/pdfs/GMD-1816-88.pdf#page=11","Abrir facsímil")</f>
        <v>Abrir facsímil</v>
      </c>
      <c r="K639" s="3" t="s">
        <v>23</v>
      </c>
    </row>
    <row r="640" spans="1:11" ht="42" customHeight="1">
      <c r="A640" s="2" t="s">
        <v>1777</v>
      </c>
      <c r="B640" s="2" t="s">
        <v>1777</v>
      </c>
      <c r="C640" s="2" t="s">
        <v>34</v>
      </c>
      <c r="D640" s="2" t="s">
        <v>35</v>
      </c>
      <c r="E640" s="5">
        <v>-30473</v>
      </c>
      <c r="F640" s="3" t="s">
        <v>336</v>
      </c>
      <c r="G640" s="3" t="s">
        <v>1615</v>
      </c>
      <c r="H640" s="2" t="s">
        <v>21</v>
      </c>
      <c r="I640" s="2" t="s">
        <v>1778</v>
      </c>
      <c r="J640" s="3" t="str">
        <f>HYPERLINK("https://www.boe.es/gazeta/dias/1816/07/25/pdfs/GMD-1816-92.pdf#page=6","Abrir facsímil")</f>
        <v>Abrir facsímil</v>
      </c>
      <c r="K640" s="3" t="s">
        <v>23</v>
      </c>
    </row>
    <row r="641" spans="1:11" ht="42" customHeight="1">
      <c r="A641" s="2" t="s">
        <v>1779</v>
      </c>
      <c r="B641" s="2" t="s">
        <v>1780</v>
      </c>
      <c r="C641" s="2" t="s">
        <v>26</v>
      </c>
      <c r="D641" s="2" t="s">
        <v>18</v>
      </c>
      <c r="E641" s="5">
        <v>-30548</v>
      </c>
      <c r="F641" s="3" t="s">
        <v>472</v>
      </c>
      <c r="G641" s="3" t="s">
        <v>47</v>
      </c>
      <c r="H641" s="2" t="s">
        <v>21</v>
      </c>
      <c r="I641" s="2" t="s">
        <v>1781</v>
      </c>
      <c r="J641" s="3" t="str">
        <f>HYPERLINK("https://www.boe.es/gazeta/dias/1816/05/11/pdfs/GMD-1816-60.pdf#page=5","Abrir facsímil")</f>
        <v>Abrir facsímil</v>
      </c>
      <c r="K641" s="3" t="s">
        <v>23</v>
      </c>
    </row>
    <row r="642" spans="1:11" ht="42" customHeight="1">
      <c r="A642" s="2" t="s">
        <v>1782</v>
      </c>
      <c r="B642" s="2" t="s">
        <v>1783</v>
      </c>
      <c r="C642" s="2" t="s">
        <v>17</v>
      </c>
      <c r="D642" s="2" t="s">
        <v>18</v>
      </c>
      <c r="E642" s="5">
        <v>-30473</v>
      </c>
      <c r="F642" s="3" t="s">
        <v>336</v>
      </c>
      <c r="G642" s="3" t="s">
        <v>1615</v>
      </c>
      <c r="H642" s="2" t="s">
        <v>21</v>
      </c>
      <c r="I642" s="2" t="s">
        <v>1784</v>
      </c>
      <c r="J642" s="3" t="str">
        <f>HYPERLINK("https://www.boe.es/gazeta/dias/1816/07/25/pdfs/GMD-1816-92.pdf#page=6","Abrir facsímil")</f>
        <v>Abrir facsímil</v>
      </c>
      <c r="K642" s="3" t="s">
        <v>23</v>
      </c>
    </row>
    <row r="643" spans="1:11" ht="42" customHeight="1">
      <c r="A643" s="2" t="s">
        <v>1785</v>
      </c>
      <c r="B643" s="2" t="s">
        <v>1786</v>
      </c>
      <c r="C643" s="2" t="s">
        <v>26</v>
      </c>
      <c r="D643" s="2" t="s">
        <v>56</v>
      </c>
      <c r="E643" s="5">
        <v>-30393</v>
      </c>
      <c r="F643" s="3" t="s">
        <v>202</v>
      </c>
      <c r="G643" s="3" t="s">
        <v>834</v>
      </c>
      <c r="H643" s="2" t="s">
        <v>21</v>
      </c>
      <c r="I643" s="2" t="s">
        <v>1787</v>
      </c>
      <c r="J643" s="3" t="str">
        <f>HYPERLINK("https://www.boe.es/gazeta/dias/1816/10/13/pdfs/GMD-1816-128E.pdf#page=6","Abrir facsímil")</f>
        <v>Abrir facsímil</v>
      </c>
      <c r="K643" s="3" t="s">
        <v>23</v>
      </c>
    </row>
    <row r="644" spans="1:11" ht="42" customHeight="1">
      <c r="A644" s="2" t="s">
        <v>1788</v>
      </c>
      <c r="B644" s="2" t="s">
        <v>1789</v>
      </c>
      <c r="C644" s="2" t="s">
        <v>111</v>
      </c>
      <c r="D644" s="2" t="s">
        <v>112</v>
      </c>
      <c r="E644" s="5">
        <v>-30629</v>
      </c>
      <c r="F644" s="3" t="s">
        <v>904</v>
      </c>
      <c r="G644" s="3" t="s">
        <v>42</v>
      </c>
      <c r="H644" s="2" t="s">
        <v>21</v>
      </c>
      <c r="I644" s="2" t="s">
        <v>1790</v>
      </c>
      <c r="J644" s="3" t="str">
        <f>HYPERLINK("https://www.boe.es/gazeta/dias/1816/02/20/pdfs/GMD-1816-23.pdf#page=8","Abrir facsímil")</f>
        <v>Abrir facsímil</v>
      </c>
      <c r="K644" s="3" t="s">
        <v>23</v>
      </c>
    </row>
    <row r="645" spans="1:11" ht="42" customHeight="1">
      <c r="A645" s="2" t="s">
        <v>1791</v>
      </c>
      <c r="B645" s="2" t="s">
        <v>1792</v>
      </c>
      <c r="C645" s="2" t="s">
        <v>41</v>
      </c>
      <c r="D645" s="2" t="s">
        <v>18</v>
      </c>
      <c r="E645" s="5">
        <v>-30559</v>
      </c>
      <c r="F645" s="3" t="s">
        <v>165</v>
      </c>
      <c r="G645" s="3" t="s">
        <v>166</v>
      </c>
      <c r="H645" s="2" t="s">
        <v>21</v>
      </c>
      <c r="I645" s="2" t="s">
        <v>1793</v>
      </c>
      <c r="J645" s="3" t="str">
        <f>HYPERLINK("https://www.boe.es/gazeta/dias/1816/04/30/pdfs/GMD-1816-55.pdf#page=7","Abrir facsímil")</f>
        <v>Abrir facsímil</v>
      </c>
      <c r="K645" s="3" t="s">
        <v>23</v>
      </c>
    </row>
    <row r="646" spans="1:11" ht="42" customHeight="1">
      <c r="A646" s="2" t="s">
        <v>1794</v>
      </c>
      <c r="B646" s="2" t="s">
        <v>1795</v>
      </c>
      <c r="C646" s="2" t="s">
        <v>26</v>
      </c>
      <c r="D646" s="2" t="s">
        <v>56</v>
      </c>
      <c r="E646" s="5">
        <v>-30393</v>
      </c>
      <c r="F646" s="3" t="s">
        <v>202</v>
      </c>
      <c r="G646" s="3" t="s">
        <v>47</v>
      </c>
      <c r="H646" s="2" t="s">
        <v>21</v>
      </c>
      <c r="I646" s="2" t="s">
        <v>1796</v>
      </c>
      <c r="J646" s="3" t="str">
        <f>HYPERLINK("https://www.boe.es/gazeta/dias/1816/10/13/pdfs/GMD-1816-128E.pdf#page=5","Abrir facsímil")</f>
        <v>Abrir facsímil</v>
      </c>
      <c r="K646" s="3" t="s">
        <v>23</v>
      </c>
    </row>
    <row r="647" spans="1:11" ht="42" customHeight="1">
      <c r="A647" s="2" t="s">
        <v>1797</v>
      </c>
      <c r="B647" s="2" t="s">
        <v>1798</v>
      </c>
      <c r="C647" s="2" t="s">
        <v>34</v>
      </c>
      <c r="D647" s="2" t="s">
        <v>35</v>
      </c>
      <c r="E647" s="5">
        <v>-30326</v>
      </c>
      <c r="F647" s="3" t="s">
        <v>377</v>
      </c>
      <c r="G647" s="3" t="s">
        <v>28</v>
      </c>
      <c r="H647" s="2" t="s">
        <v>21</v>
      </c>
      <c r="I647" s="2" t="s">
        <v>1799</v>
      </c>
      <c r="J647" s="3" t="str">
        <f>HYPERLINK("https://www.boe.es/gazeta/dias/1816/12/19/pdfs/GMD-1816-157.pdf#page=6","Abrir facsímil")</f>
        <v>Abrir facsímil</v>
      </c>
      <c r="K647" s="3" t="s">
        <v>23</v>
      </c>
    </row>
    <row r="648" spans="1:11" ht="42" customHeight="1">
      <c r="A648" s="2" t="s">
        <v>1800</v>
      </c>
      <c r="B648" s="2" t="s">
        <v>1800</v>
      </c>
      <c r="C648" s="2" t="s">
        <v>26</v>
      </c>
      <c r="D648" s="2" t="s">
        <v>18</v>
      </c>
      <c r="E648" s="5">
        <v>-30494</v>
      </c>
      <c r="F648" s="3" t="s">
        <v>174</v>
      </c>
      <c r="G648" s="3" t="s">
        <v>72</v>
      </c>
      <c r="H648" s="2" t="s">
        <v>21</v>
      </c>
      <c r="I648" s="2" t="s">
        <v>1801</v>
      </c>
      <c r="J648" s="3" t="str">
        <f>HYPERLINK("https://www.boe.es/gazeta/dias/1816/07/04/pdfs/GMD-1816-83.pdf#page=7","Abrir facsímil")</f>
        <v>Abrir facsímil</v>
      </c>
      <c r="K648" s="3" t="s">
        <v>23</v>
      </c>
    </row>
    <row r="649" spans="1:11" ht="42" customHeight="1">
      <c r="A649" s="2" t="s">
        <v>1802</v>
      </c>
      <c r="B649" s="2" t="s">
        <v>1802</v>
      </c>
      <c r="C649" s="2" t="s">
        <v>41</v>
      </c>
      <c r="D649" s="2" t="s">
        <v>18</v>
      </c>
      <c r="E649" s="5">
        <v>-30494</v>
      </c>
      <c r="F649" s="3" t="s">
        <v>174</v>
      </c>
      <c r="G649" s="3" t="s">
        <v>175</v>
      </c>
      <c r="H649" s="2" t="s">
        <v>21</v>
      </c>
      <c r="I649" s="2" t="s">
        <v>1803</v>
      </c>
      <c r="J649" s="3" t="str">
        <f>HYPERLINK("https://www.boe.es/gazeta/dias/1816/07/04/pdfs/GMD-1816-83.pdf#page=11","Abrir facsímil")</f>
        <v>Abrir facsímil</v>
      </c>
      <c r="K649" s="3" t="s">
        <v>23</v>
      </c>
    </row>
    <row r="650" spans="1:11" ht="42" customHeight="1">
      <c r="A650" s="2" t="s">
        <v>1804</v>
      </c>
      <c r="B650" s="2" t="s">
        <v>1804</v>
      </c>
      <c r="C650" s="2" t="s">
        <v>26</v>
      </c>
      <c r="D650" s="2" t="s">
        <v>18</v>
      </c>
      <c r="E650" s="5">
        <v>-30599</v>
      </c>
      <c r="F650" s="3" t="s">
        <v>552</v>
      </c>
      <c r="G650" s="3" t="s">
        <v>42</v>
      </c>
      <c r="H650" s="2" t="s">
        <v>21</v>
      </c>
      <c r="I650" s="2" t="s">
        <v>1805</v>
      </c>
      <c r="J650" s="3" t="str">
        <f>HYPERLINK("https://www.boe.es/gazeta/dias/1816/03/21/pdfs/GMD-1816-38.pdf#page=8","Abrir facsímil")</f>
        <v>Abrir facsímil</v>
      </c>
      <c r="K650" s="3" t="s">
        <v>23</v>
      </c>
    </row>
    <row r="651" spans="1:11" ht="42" customHeight="1">
      <c r="A651" s="2" t="s">
        <v>1804</v>
      </c>
      <c r="B651" s="2" t="s">
        <v>1804</v>
      </c>
      <c r="C651" s="2" t="s">
        <v>34</v>
      </c>
      <c r="D651" s="2" t="s">
        <v>35</v>
      </c>
      <c r="E651" s="5">
        <v>-30403</v>
      </c>
      <c r="F651" s="3" t="s">
        <v>1264</v>
      </c>
      <c r="G651" s="3" t="s">
        <v>1806</v>
      </c>
      <c r="H651" s="2" t="s">
        <v>21</v>
      </c>
      <c r="I651" s="2" t="s">
        <v>1807</v>
      </c>
      <c r="J651" s="3" t="str">
        <f>HYPERLINK("https://www.boe.es/gazeta/dias/1816/10/03/pdfs/GMD-1816-122.pdf#page=4","Abrir facsímil")</f>
        <v>Abrir facsímil</v>
      </c>
      <c r="K651" s="3" t="s">
        <v>23</v>
      </c>
    </row>
    <row r="652" spans="1:11" ht="42" customHeight="1">
      <c r="A652" s="2" t="s">
        <v>1804</v>
      </c>
      <c r="B652" s="2" t="s">
        <v>1804</v>
      </c>
      <c r="C652" s="2" t="s">
        <v>26</v>
      </c>
      <c r="D652" s="2" t="s">
        <v>18</v>
      </c>
      <c r="E652" s="5">
        <v>-30366</v>
      </c>
      <c r="F652" s="3" t="s">
        <v>179</v>
      </c>
      <c r="G652" s="3" t="s">
        <v>47</v>
      </c>
      <c r="H652" s="2" t="s">
        <v>21</v>
      </c>
      <c r="I652" s="2" t="s">
        <v>1808</v>
      </c>
      <c r="J652" s="3" t="str">
        <f>HYPERLINK("https://www.boe.es/gazeta/dias/1816/11/09/pdfs/GMD-1816-140.pdf#page=5","Abrir facsímil")</f>
        <v>Abrir facsímil</v>
      </c>
      <c r="K652" s="3" t="s">
        <v>23</v>
      </c>
    </row>
    <row r="653" spans="1:11" ht="42" customHeight="1">
      <c r="A653" s="2" t="s">
        <v>1809</v>
      </c>
      <c r="B653" s="2" t="s">
        <v>1810</v>
      </c>
      <c r="C653" s="2" t="s">
        <v>111</v>
      </c>
      <c r="D653" s="2" t="s">
        <v>112</v>
      </c>
      <c r="E653" s="5">
        <v>-30384</v>
      </c>
      <c r="F653" s="3" t="s">
        <v>460</v>
      </c>
      <c r="G653" s="3" t="s">
        <v>103</v>
      </c>
      <c r="H653" s="2" t="s">
        <v>21</v>
      </c>
      <c r="I653" s="2" t="s">
        <v>1811</v>
      </c>
      <c r="J653" s="3" t="str">
        <f>HYPERLINK("https://www.boe.es/gazeta/dias/1816/10/22/pdfs/GMD-1816-132.pdf#page=4","Abrir facsímil")</f>
        <v>Abrir facsímil</v>
      </c>
      <c r="K653" s="3" t="s">
        <v>23</v>
      </c>
    </row>
    <row r="654" spans="1:11" ht="42" customHeight="1">
      <c r="A654" s="2" t="s">
        <v>1812</v>
      </c>
      <c r="B654" s="2" t="s">
        <v>1813</v>
      </c>
      <c r="C654" s="2" t="s">
        <v>34</v>
      </c>
      <c r="D654" s="2" t="s">
        <v>35</v>
      </c>
      <c r="E654" s="5">
        <v>-30387</v>
      </c>
      <c r="F654" s="3" t="s">
        <v>224</v>
      </c>
      <c r="G654" s="3" t="s">
        <v>28</v>
      </c>
      <c r="H654" s="2" t="s">
        <v>21</v>
      </c>
      <c r="I654" s="2" t="s">
        <v>1814</v>
      </c>
      <c r="J654" s="3" t="str">
        <f>HYPERLINK("https://www.boe.es/gazeta/dias/1816/10/19/pdfs/GMD-1816-131.pdf#page=6","Abrir facsímil")</f>
        <v>Abrir facsímil</v>
      </c>
      <c r="K654" s="3" t="s">
        <v>23</v>
      </c>
    </row>
    <row r="655" spans="1:11" ht="42" customHeight="1">
      <c r="A655" s="2" t="s">
        <v>1815</v>
      </c>
      <c r="B655" s="2" t="s">
        <v>1816</v>
      </c>
      <c r="C655" s="2" t="s">
        <v>111</v>
      </c>
      <c r="D655" s="2" t="s">
        <v>112</v>
      </c>
      <c r="E655" s="5">
        <v>-30578</v>
      </c>
      <c r="F655" s="3" t="s">
        <v>91</v>
      </c>
      <c r="G655" s="3" t="s">
        <v>286</v>
      </c>
      <c r="H655" s="2" t="s">
        <v>21</v>
      </c>
      <c r="I655" s="2" t="s">
        <v>1817</v>
      </c>
      <c r="J655" s="3" t="str">
        <f>HYPERLINK("https://www.boe.es/gazeta/dias/1816/04/11/pdfs/GMD-1816-47.pdf#page=11","Abrir facsímil")</f>
        <v>Abrir facsímil</v>
      </c>
      <c r="K655" s="3" t="s">
        <v>23</v>
      </c>
    </row>
    <row r="656" spans="1:11" ht="42" customHeight="1">
      <c r="A656" s="2" t="s">
        <v>1818</v>
      </c>
      <c r="B656" s="2" t="s">
        <v>1819</v>
      </c>
      <c r="C656" s="2" t="s">
        <v>111</v>
      </c>
      <c r="D656" s="2" t="s">
        <v>112</v>
      </c>
      <c r="E656" s="5">
        <v>-30632</v>
      </c>
      <c r="F656" s="3" t="s">
        <v>89</v>
      </c>
      <c r="G656" s="3" t="s">
        <v>72</v>
      </c>
      <c r="H656" s="2" t="s">
        <v>21</v>
      </c>
      <c r="I656" s="2" t="s">
        <v>1820</v>
      </c>
      <c r="J656" s="3" t="str">
        <f>HYPERLINK("https://www.boe.es/gazeta/dias/1816/02/17/pdfs/GMD-1816-22.pdf#page=7","Abrir facsímil")</f>
        <v>Abrir facsímil</v>
      </c>
      <c r="K656" s="3" t="s">
        <v>23</v>
      </c>
    </row>
    <row r="657" spans="1:11" ht="42" customHeight="1">
      <c r="A657" s="2" t="s">
        <v>1821</v>
      </c>
      <c r="B657" s="2" t="s">
        <v>1822</v>
      </c>
      <c r="C657" s="2" t="s">
        <v>111</v>
      </c>
      <c r="D657" s="2" t="s">
        <v>112</v>
      </c>
      <c r="E657" s="5">
        <v>-30641</v>
      </c>
      <c r="F657" s="3" t="s">
        <v>192</v>
      </c>
      <c r="G657" s="3" t="s">
        <v>42</v>
      </c>
      <c r="H657" s="2" t="s">
        <v>21</v>
      </c>
      <c r="I657" s="2" t="s">
        <v>1823</v>
      </c>
      <c r="J657" s="3" t="str">
        <f>HYPERLINK("https://www.boe.es/gazeta/dias/1816/02/08/pdfs/GMD-1816-18.pdf#page=8","Abrir facsímil")</f>
        <v>Abrir facsímil</v>
      </c>
      <c r="K657" s="3" t="s">
        <v>23</v>
      </c>
    </row>
    <row r="658" spans="1:11" ht="42" customHeight="1">
      <c r="A658" s="2" t="s">
        <v>1824</v>
      </c>
      <c r="B658" s="2" t="s">
        <v>1825</v>
      </c>
      <c r="C658" s="2" t="s">
        <v>41</v>
      </c>
      <c r="D658" s="2" t="s">
        <v>18</v>
      </c>
      <c r="E658" s="5">
        <v>-30356</v>
      </c>
      <c r="F658" s="3" t="s">
        <v>824</v>
      </c>
      <c r="G658" s="3" t="s">
        <v>1826</v>
      </c>
      <c r="H658" s="2" t="s">
        <v>21</v>
      </c>
      <c r="I658" s="2" t="s">
        <v>1827</v>
      </c>
      <c r="J658" s="3" t="str">
        <f>HYPERLINK("https://www.boe.es/gazeta/dias/1816/11/19/pdfs/GMD-1816-144.pdf#page=5","Abrir facsímil")</f>
        <v>Abrir facsímil</v>
      </c>
      <c r="K658" s="3" t="s">
        <v>23</v>
      </c>
    </row>
    <row r="659" spans="1:11" ht="42" customHeight="1">
      <c r="A659" s="2" t="s">
        <v>1828</v>
      </c>
      <c r="B659" s="2" t="s">
        <v>1828</v>
      </c>
      <c r="C659" s="2" t="s">
        <v>34</v>
      </c>
      <c r="D659" s="2" t="s">
        <v>35</v>
      </c>
      <c r="E659" s="5">
        <v>-30622</v>
      </c>
      <c r="F659" s="3" t="s">
        <v>27</v>
      </c>
      <c r="G659" s="3" t="s">
        <v>1829</v>
      </c>
      <c r="H659" s="2" t="s">
        <v>21</v>
      </c>
      <c r="I659" s="2" t="s">
        <v>1830</v>
      </c>
      <c r="J659" s="3" t="str">
        <f>HYPERLINK("https://www.boe.es/gazeta/dias/1816/02/27/pdfs/GMD-1816-26.pdf#page=2","Abrir facsímil")</f>
        <v>Abrir facsímil</v>
      </c>
      <c r="K659" s="3" t="s">
        <v>23</v>
      </c>
    </row>
    <row r="660" spans="1:11" ht="42" customHeight="1">
      <c r="A660" s="2" t="s">
        <v>1831</v>
      </c>
      <c r="B660" s="2" t="s">
        <v>1832</v>
      </c>
      <c r="C660" s="2" t="s">
        <v>111</v>
      </c>
      <c r="D660" s="2" t="s">
        <v>112</v>
      </c>
      <c r="E660" s="5">
        <v>-30387</v>
      </c>
      <c r="F660" s="3" t="s">
        <v>224</v>
      </c>
      <c r="G660" s="3" t="s">
        <v>72</v>
      </c>
      <c r="H660" s="2" t="s">
        <v>21</v>
      </c>
      <c r="I660" s="2" t="s">
        <v>1833</v>
      </c>
      <c r="J660" s="3" t="str">
        <f>HYPERLINK("https://www.boe.es/gazeta/dias/1816/10/19/pdfs/GMD-1816-131.pdf#page=7","Abrir facsímil")</f>
        <v>Abrir facsímil</v>
      </c>
      <c r="K660" s="3" t="s">
        <v>23</v>
      </c>
    </row>
    <row r="661" spans="1:11" ht="42" customHeight="1">
      <c r="A661" s="2" t="s">
        <v>1834</v>
      </c>
      <c r="B661" s="2" t="s">
        <v>1834</v>
      </c>
      <c r="C661" s="2" t="s">
        <v>34</v>
      </c>
      <c r="D661" s="2" t="s">
        <v>35</v>
      </c>
      <c r="E661" s="5">
        <v>-30585</v>
      </c>
      <c r="F661" s="3" t="s">
        <v>633</v>
      </c>
      <c r="G661" s="3" t="s">
        <v>184</v>
      </c>
      <c r="H661" s="2" t="s">
        <v>21</v>
      </c>
      <c r="I661" s="2" t="s">
        <v>1835</v>
      </c>
      <c r="J661" s="3" t="str">
        <f>HYPERLINK("https://www.boe.es/gazeta/dias/1816/04/04/pdfs/GMD-1816-44.pdf#page=3","Abrir facsímil")</f>
        <v>Abrir facsímil</v>
      </c>
      <c r="K661" s="3" t="s">
        <v>23</v>
      </c>
    </row>
    <row r="662" spans="1:11" ht="42" customHeight="1">
      <c r="A662" s="2" t="s">
        <v>1834</v>
      </c>
      <c r="B662" s="2" t="s">
        <v>1834</v>
      </c>
      <c r="C662" s="2" t="s">
        <v>34</v>
      </c>
      <c r="D662" s="2" t="s">
        <v>35</v>
      </c>
      <c r="E662" s="5">
        <v>-30536</v>
      </c>
      <c r="F662" s="3" t="s">
        <v>580</v>
      </c>
      <c r="G662" s="3" t="s">
        <v>103</v>
      </c>
      <c r="H662" s="2" t="s">
        <v>21</v>
      </c>
      <c r="I662" s="2" t="s">
        <v>1836</v>
      </c>
      <c r="J662" s="3" t="str">
        <f>HYPERLINK("https://www.boe.es/gazeta/dias/1816/05/23/pdfs/GMD-1816-65.pdf#page=4","Abrir facsímil")</f>
        <v>Abrir facsímil</v>
      </c>
      <c r="K662" s="3" t="s">
        <v>23</v>
      </c>
    </row>
    <row r="663" spans="1:11" ht="42" customHeight="1">
      <c r="A663" s="2" t="s">
        <v>1837</v>
      </c>
      <c r="B663" s="2" t="s">
        <v>1838</v>
      </c>
      <c r="C663" s="2" t="s">
        <v>41</v>
      </c>
      <c r="D663" s="2" t="s">
        <v>18</v>
      </c>
      <c r="E663" s="5">
        <v>-30662</v>
      </c>
      <c r="F663" s="3" t="s">
        <v>485</v>
      </c>
      <c r="G663" s="3" t="s">
        <v>42</v>
      </c>
      <c r="H663" s="2" t="s">
        <v>21</v>
      </c>
      <c r="I663" s="2" t="s">
        <v>1839</v>
      </c>
      <c r="J663" s="3" t="str">
        <f>HYPERLINK("https://www.boe.es/gazeta/dias/1816/01/18/pdfs/GMD-1816-8.pdf#page=8","Abrir facsímil")</f>
        <v>Abrir facsímil</v>
      </c>
      <c r="K663" s="3" t="s">
        <v>23</v>
      </c>
    </row>
    <row r="664" spans="1:11" ht="42" customHeight="1">
      <c r="A664" s="2" t="s">
        <v>1840</v>
      </c>
      <c r="B664" s="2" t="s">
        <v>1841</v>
      </c>
      <c r="C664" s="2" t="s">
        <v>81</v>
      </c>
      <c r="D664" s="2" t="s">
        <v>18</v>
      </c>
      <c r="E664" s="5">
        <v>-30552</v>
      </c>
      <c r="F664" s="3" t="s">
        <v>1842</v>
      </c>
      <c r="G664" s="3" t="s">
        <v>42</v>
      </c>
      <c r="H664" s="2" t="s">
        <v>21</v>
      </c>
      <c r="I664" s="2" t="s">
        <v>1843</v>
      </c>
      <c r="J664" s="3" t="str">
        <f>HYPERLINK("https://www.boe.es/gazeta/dias/1816/05/07/pdfs/GMD-1816-58.pdf#page=8","Abrir facsímil")</f>
        <v>Abrir facsímil</v>
      </c>
      <c r="K664" s="3" t="s">
        <v>23</v>
      </c>
    </row>
    <row r="665" spans="1:11" ht="42" customHeight="1">
      <c r="A665" s="2" t="s">
        <v>1844</v>
      </c>
      <c r="B665" s="2" t="s">
        <v>1845</v>
      </c>
      <c r="C665" s="2" t="s">
        <v>17</v>
      </c>
      <c r="D665" s="2" t="s">
        <v>18</v>
      </c>
      <c r="E665" s="5">
        <v>-30538</v>
      </c>
      <c r="F665" s="3" t="s">
        <v>496</v>
      </c>
      <c r="G665" s="3" t="s">
        <v>42</v>
      </c>
      <c r="H665" s="2" t="s">
        <v>21</v>
      </c>
      <c r="I665" s="2" t="s">
        <v>1846</v>
      </c>
      <c r="J665" s="3" t="str">
        <f>HYPERLINK("https://www.boe.es/gazeta/dias/1816/05/21/pdfs/GMD-1816-64.pdf#page=8","Abrir facsímil")</f>
        <v>Abrir facsímil</v>
      </c>
      <c r="K665" s="3" t="s">
        <v>23</v>
      </c>
    </row>
    <row r="666" spans="1:11" ht="42" customHeight="1">
      <c r="A666" s="2" t="s">
        <v>1847</v>
      </c>
      <c r="B666" s="2" t="s">
        <v>1847</v>
      </c>
      <c r="C666" s="2" t="s">
        <v>41</v>
      </c>
      <c r="D666" s="2" t="s">
        <v>18</v>
      </c>
      <c r="E666" s="5">
        <v>-30615</v>
      </c>
      <c r="F666" s="3" t="s">
        <v>1848</v>
      </c>
      <c r="G666" s="3" t="s">
        <v>42</v>
      </c>
      <c r="H666" s="2" t="s">
        <v>21</v>
      </c>
      <c r="I666" s="2" t="s">
        <v>1849</v>
      </c>
      <c r="J666" s="3" t="str">
        <f>HYPERLINK("https://www.boe.es/gazeta/dias/1816/03/05/pdfs/GMD-1816-30.pdf#page=8","Abrir facsímil")</f>
        <v>Abrir facsímil</v>
      </c>
      <c r="K666" s="3" t="s">
        <v>23</v>
      </c>
    </row>
    <row r="667" spans="1:11" ht="42" customHeight="1">
      <c r="A667" s="2" t="s">
        <v>1850</v>
      </c>
      <c r="B667" s="2" t="s">
        <v>1851</v>
      </c>
      <c r="C667" s="2" t="s">
        <v>111</v>
      </c>
      <c r="D667" s="2" t="s">
        <v>112</v>
      </c>
      <c r="E667" s="5">
        <v>-30338</v>
      </c>
      <c r="F667" s="3" t="s">
        <v>464</v>
      </c>
      <c r="G667" s="3" t="s">
        <v>28</v>
      </c>
      <c r="H667" s="2" t="s">
        <v>21</v>
      </c>
      <c r="I667" s="2" t="s">
        <v>1852</v>
      </c>
      <c r="J667" s="3" t="str">
        <f>HYPERLINK("https://www.boe.es/gazeta/dias/1816/12/07/pdfs/GMD-1816-152.pdf#page=6","Abrir facsímil")</f>
        <v>Abrir facsímil</v>
      </c>
      <c r="K667" s="3" t="s">
        <v>23</v>
      </c>
    </row>
    <row r="668" spans="1:11" ht="42" customHeight="1">
      <c r="A668" s="2" t="s">
        <v>1853</v>
      </c>
      <c r="B668" s="2" t="s">
        <v>1853</v>
      </c>
      <c r="C668" s="2" t="s">
        <v>34</v>
      </c>
      <c r="D668" s="2" t="s">
        <v>35</v>
      </c>
      <c r="E668" s="5">
        <v>-30627</v>
      </c>
      <c r="F668" s="3" t="s">
        <v>136</v>
      </c>
      <c r="G668" s="3" t="s">
        <v>58</v>
      </c>
      <c r="H668" s="2" t="s">
        <v>21</v>
      </c>
      <c r="I668" s="2" t="s">
        <v>1854</v>
      </c>
      <c r="J668" s="3" t="str">
        <f>HYPERLINK("https://www.boe.es/gazeta/dias/1816/02/22/pdfs/GMD-1816-24.pdf#page=1","Abrir facsímil")</f>
        <v>Abrir facsímil</v>
      </c>
      <c r="K668" s="3" t="s">
        <v>23</v>
      </c>
    </row>
    <row r="669" spans="1:11" ht="42" customHeight="1">
      <c r="A669" s="2" t="s">
        <v>1853</v>
      </c>
      <c r="B669" s="2" t="s">
        <v>1853</v>
      </c>
      <c r="C669" s="2" t="s">
        <v>387</v>
      </c>
      <c r="D669" s="2" t="s">
        <v>18</v>
      </c>
      <c r="E669" s="5">
        <v>-30622</v>
      </c>
      <c r="F669" s="3" t="s">
        <v>27</v>
      </c>
      <c r="G669" s="3" t="s">
        <v>1829</v>
      </c>
      <c r="H669" s="2" t="s">
        <v>21</v>
      </c>
      <c r="I669" s="2" t="s">
        <v>1855</v>
      </c>
      <c r="J669" s="3" t="str">
        <f>HYPERLINK("https://www.boe.es/gazeta/dias/1816/02/27/pdfs/GMD-1816-26.pdf#page=2","Abrir facsímil")</f>
        <v>Abrir facsímil</v>
      </c>
      <c r="K669" s="3" t="s">
        <v>23</v>
      </c>
    </row>
    <row r="670" spans="1:11" ht="42" customHeight="1">
      <c r="A670" s="2" t="s">
        <v>1853</v>
      </c>
      <c r="B670" s="2" t="s">
        <v>1853</v>
      </c>
      <c r="C670" s="2" t="s">
        <v>34</v>
      </c>
      <c r="D670" s="2" t="s">
        <v>35</v>
      </c>
      <c r="E670" s="5">
        <v>-30618</v>
      </c>
      <c r="F670" s="3" t="s">
        <v>207</v>
      </c>
      <c r="G670" s="3" t="s">
        <v>58</v>
      </c>
      <c r="H670" s="2" t="s">
        <v>21</v>
      </c>
      <c r="I670" s="2" t="s">
        <v>1856</v>
      </c>
      <c r="J670" s="3" t="str">
        <f>HYPERLINK("https://www.boe.es/gazeta/dias/1816/03/02/pdfs/GMD-1816-29.pdf#page=1","Abrir facsímil")</f>
        <v>Abrir facsímil</v>
      </c>
      <c r="K670" s="3" t="s">
        <v>23</v>
      </c>
    </row>
    <row r="671" spans="1:11" ht="42" customHeight="1">
      <c r="A671" s="2" t="s">
        <v>1857</v>
      </c>
      <c r="B671" s="2" t="s">
        <v>1857</v>
      </c>
      <c r="C671" s="2" t="s">
        <v>34</v>
      </c>
      <c r="D671" s="2" t="s">
        <v>35</v>
      </c>
      <c r="E671" s="5">
        <v>-30597</v>
      </c>
      <c r="F671" s="3" t="s">
        <v>696</v>
      </c>
      <c r="G671" s="3" t="s">
        <v>58</v>
      </c>
      <c r="H671" s="2" t="s">
        <v>21</v>
      </c>
      <c r="I671" s="2" t="s">
        <v>1858</v>
      </c>
      <c r="J671" s="3" t="str">
        <f>HYPERLINK("https://www.boe.es/gazeta/dias/1816/03/23/pdfs/GMD-1816-39.pdf#page=1","Abrir facsímil")</f>
        <v>Abrir facsímil</v>
      </c>
      <c r="K671" s="3" t="s">
        <v>23</v>
      </c>
    </row>
    <row r="672" spans="1:11" ht="42" customHeight="1">
      <c r="A672" s="2" t="s">
        <v>1853</v>
      </c>
      <c r="B672" s="2" t="s">
        <v>1853</v>
      </c>
      <c r="C672" s="2" t="s">
        <v>34</v>
      </c>
      <c r="D672" s="2" t="s">
        <v>35</v>
      </c>
      <c r="E672" s="5">
        <v>-30569</v>
      </c>
      <c r="F672" s="3" t="s">
        <v>1859</v>
      </c>
      <c r="G672" s="3" t="s">
        <v>58</v>
      </c>
      <c r="H672" s="2" t="s">
        <v>21</v>
      </c>
      <c r="I672" s="2" t="s">
        <v>1860</v>
      </c>
      <c r="J672" s="3" t="str">
        <f>HYPERLINK("https://www.boe.es/gazeta/dias/1816/04/20/pdfs/GMD-1816-51.pdf#page=1","Abrir facsímil")</f>
        <v>Abrir facsímil</v>
      </c>
      <c r="K672" s="3" t="s">
        <v>23</v>
      </c>
    </row>
    <row r="673" spans="1:11" ht="42" customHeight="1">
      <c r="A673" s="2" t="s">
        <v>1861</v>
      </c>
      <c r="B673" s="2" t="s">
        <v>1862</v>
      </c>
      <c r="C673" s="2" t="s">
        <v>41</v>
      </c>
      <c r="D673" s="2" t="s">
        <v>18</v>
      </c>
      <c r="E673" s="5">
        <v>-30527</v>
      </c>
      <c r="F673" s="3" t="s">
        <v>304</v>
      </c>
      <c r="G673" s="3" t="s">
        <v>103</v>
      </c>
      <c r="H673" s="2" t="s">
        <v>21</v>
      </c>
      <c r="I673" s="2" t="s">
        <v>1863</v>
      </c>
      <c r="J673" s="3" t="str">
        <f>HYPERLINK("https://www.boe.es/gazeta/dias/1816/06/01/pdfs/GMD-1816-69.pdf#page=4","Abrir facsímil")</f>
        <v>Abrir facsímil</v>
      </c>
      <c r="K673" s="3" t="s">
        <v>23</v>
      </c>
    </row>
    <row r="674" spans="1:11" ht="42" customHeight="1">
      <c r="A674" s="2" t="s">
        <v>1864</v>
      </c>
      <c r="B674" s="2" t="s">
        <v>1865</v>
      </c>
      <c r="C674" s="2" t="s">
        <v>26</v>
      </c>
      <c r="D674" s="2" t="s">
        <v>56</v>
      </c>
      <c r="E674" s="5">
        <v>-30393</v>
      </c>
      <c r="F674" s="3" t="s">
        <v>202</v>
      </c>
      <c r="G674" s="3" t="s">
        <v>834</v>
      </c>
      <c r="H674" s="2" t="s">
        <v>21</v>
      </c>
      <c r="I674" s="2" t="s">
        <v>1866</v>
      </c>
      <c r="J674" s="3" t="str">
        <f>HYPERLINK("https://www.boe.es/gazeta/dias/1816/10/13/pdfs/GMD-1816-128E.pdf#page=6","Abrir facsímil")</f>
        <v>Abrir facsímil</v>
      </c>
      <c r="K674" s="3" t="s">
        <v>23</v>
      </c>
    </row>
    <row r="675" spans="1:11" ht="42" customHeight="1">
      <c r="A675" s="2" t="s">
        <v>1867</v>
      </c>
      <c r="B675" s="2" t="s">
        <v>1868</v>
      </c>
      <c r="C675" s="2" t="s">
        <v>34</v>
      </c>
      <c r="D675" s="2" t="s">
        <v>35</v>
      </c>
      <c r="E675" s="5">
        <v>-30592</v>
      </c>
      <c r="F675" s="3" t="s">
        <v>236</v>
      </c>
      <c r="G675" s="3" t="s">
        <v>47</v>
      </c>
      <c r="H675" s="2" t="s">
        <v>21</v>
      </c>
      <c r="I675" s="2" t="s">
        <v>1869</v>
      </c>
      <c r="J675" s="3" t="str">
        <f>HYPERLINK("https://www.boe.es/gazeta/dias/1816/03/28/pdfs/GMD-1816-41.pdf#page=5","Abrir facsímil")</f>
        <v>Abrir facsímil</v>
      </c>
      <c r="K675" s="3" t="s">
        <v>23</v>
      </c>
    </row>
    <row r="676" spans="1:11" ht="42" customHeight="1">
      <c r="A676" s="2" t="s">
        <v>1867</v>
      </c>
      <c r="B676" s="2" t="s">
        <v>1868</v>
      </c>
      <c r="C676" s="2" t="s">
        <v>34</v>
      </c>
      <c r="D676" s="2" t="s">
        <v>35</v>
      </c>
      <c r="E676" s="5">
        <v>-30580</v>
      </c>
      <c r="F676" s="3" t="s">
        <v>107</v>
      </c>
      <c r="G676" s="3" t="s">
        <v>28</v>
      </c>
      <c r="H676" s="2" t="s">
        <v>21</v>
      </c>
      <c r="I676" s="2" t="s">
        <v>1870</v>
      </c>
      <c r="J676" s="3" t="str">
        <f>HYPERLINK("https://www.boe.es/gazeta/dias/1816/04/09/pdfs/GMD-1816-46.pdf#page=6","Abrir facsímil")</f>
        <v>Abrir facsímil</v>
      </c>
      <c r="K676" s="3" t="s">
        <v>23</v>
      </c>
    </row>
    <row r="677" spans="1:11" ht="42" customHeight="1">
      <c r="A677" s="2" t="s">
        <v>1871</v>
      </c>
      <c r="B677" s="2" t="s">
        <v>1871</v>
      </c>
      <c r="C677" s="2" t="s">
        <v>26</v>
      </c>
      <c r="D677" s="2" t="s">
        <v>18</v>
      </c>
      <c r="E677" s="5">
        <v>-30608</v>
      </c>
      <c r="F677" s="3" t="s">
        <v>550</v>
      </c>
      <c r="G677" s="3" t="s">
        <v>1872</v>
      </c>
      <c r="H677" s="2" t="s">
        <v>21</v>
      </c>
      <c r="I677" s="2" t="s">
        <v>1873</v>
      </c>
      <c r="J677" s="3" t="str">
        <f>HYPERLINK("https://www.boe.es/gazeta/dias/1816/03/12/pdfs/GMD-1816-33.pdf#page=3","Abrir facsímil")</f>
        <v>Abrir facsímil</v>
      </c>
      <c r="K677" s="3" t="s">
        <v>23</v>
      </c>
    </row>
    <row r="678" spans="1:11" ht="42" customHeight="1">
      <c r="A678" s="2" t="s">
        <v>1874</v>
      </c>
      <c r="B678" s="2" t="s">
        <v>1875</v>
      </c>
      <c r="C678" s="2" t="s">
        <v>17</v>
      </c>
      <c r="D678" s="2" t="s">
        <v>18</v>
      </c>
      <c r="E678" s="5">
        <v>-30366</v>
      </c>
      <c r="F678" s="3" t="s">
        <v>179</v>
      </c>
      <c r="G678" s="3" t="s">
        <v>42</v>
      </c>
      <c r="H678" s="2" t="s">
        <v>21</v>
      </c>
      <c r="I678" s="2" t="s">
        <v>1876</v>
      </c>
      <c r="J678" s="3" t="str">
        <f>HYPERLINK("https://www.boe.es/gazeta/dias/1816/11/09/pdfs/GMD-1816-140.pdf#page=8","Abrir facsímil")</f>
        <v>Abrir facsímil</v>
      </c>
      <c r="K678" s="3" t="s">
        <v>23</v>
      </c>
    </row>
    <row r="679" spans="1:11" ht="42" customHeight="1">
      <c r="A679" s="2" t="s">
        <v>1877</v>
      </c>
      <c r="B679" s="2" t="s">
        <v>1877</v>
      </c>
      <c r="C679" s="2" t="s">
        <v>34</v>
      </c>
      <c r="D679" s="2" t="s">
        <v>35</v>
      </c>
      <c r="E679" s="5">
        <v>-30478</v>
      </c>
      <c r="F679" s="3" t="s">
        <v>123</v>
      </c>
      <c r="G679" s="3" t="s">
        <v>58</v>
      </c>
      <c r="H679" s="2" t="s">
        <v>21</v>
      </c>
      <c r="I679" s="2" t="s">
        <v>1878</v>
      </c>
      <c r="J679" s="3" t="str">
        <f>HYPERLINK("https://www.boe.es/gazeta/dias/1816/07/20/pdfs/GMD-1816-90.pdf#page=1","Abrir facsímil")</f>
        <v>Abrir facsímil</v>
      </c>
      <c r="K679" s="3" t="s">
        <v>23</v>
      </c>
    </row>
    <row r="680" spans="1:11" ht="42" customHeight="1">
      <c r="A680" s="2" t="s">
        <v>1879</v>
      </c>
      <c r="B680" s="2" t="s">
        <v>1879</v>
      </c>
      <c r="C680" s="2" t="s">
        <v>111</v>
      </c>
      <c r="D680" s="2" t="s">
        <v>112</v>
      </c>
      <c r="E680" s="5">
        <v>-30660</v>
      </c>
      <c r="F680" s="3" t="s">
        <v>809</v>
      </c>
      <c r="G680" s="3" t="s">
        <v>184</v>
      </c>
      <c r="H680" s="2" t="s">
        <v>21</v>
      </c>
      <c r="I680" s="2" t="s">
        <v>1880</v>
      </c>
      <c r="J680" s="3" t="str">
        <f>HYPERLINK("https://www.boe.es/gazeta/dias/1816/01/20/pdfs/GMD-1816-9.pdf#page=3","Abrir facsímil")</f>
        <v>Abrir facsímil</v>
      </c>
      <c r="K680" s="3" t="s">
        <v>23</v>
      </c>
    </row>
    <row r="681" spans="1:11" ht="42" customHeight="1">
      <c r="A681" s="2" t="s">
        <v>1881</v>
      </c>
      <c r="B681" s="2" t="s">
        <v>1882</v>
      </c>
      <c r="C681" s="2" t="s">
        <v>34</v>
      </c>
      <c r="D681" s="2" t="s">
        <v>35</v>
      </c>
      <c r="E681" s="5">
        <v>-30625</v>
      </c>
      <c r="F681" s="3" t="s">
        <v>631</v>
      </c>
      <c r="G681" s="3" t="s">
        <v>270</v>
      </c>
      <c r="H681" s="2" t="s">
        <v>21</v>
      </c>
      <c r="I681" s="2" t="s">
        <v>1883</v>
      </c>
      <c r="J681" s="3" t="str">
        <f>HYPERLINK("https://www.boe.es/gazeta/dias/1816/02/24/pdfs/GMD-1816-25.pdf#page=2","Abrir facsímil")</f>
        <v>Abrir facsímil</v>
      </c>
      <c r="K681" s="3" t="s">
        <v>23</v>
      </c>
    </row>
    <row r="682" spans="1:11" ht="42" customHeight="1">
      <c r="A682" s="2" t="s">
        <v>1884</v>
      </c>
      <c r="B682" s="2" t="s">
        <v>1885</v>
      </c>
      <c r="C682" s="2" t="s">
        <v>34</v>
      </c>
      <c r="D682" s="2" t="s">
        <v>35</v>
      </c>
      <c r="E682" s="5">
        <v>-30356</v>
      </c>
      <c r="F682" s="3" t="s">
        <v>824</v>
      </c>
      <c r="G682" s="3" t="s">
        <v>1886</v>
      </c>
      <c r="H682" s="2" t="s">
        <v>29</v>
      </c>
      <c r="I682" s="2" t="s">
        <v>1887</v>
      </c>
      <c r="J682" s="3" t="str">
        <f>HYPERLINK("https://www.boe.es/gazeta/dias/1816/11/19/pdfs/GMD-1816-144.pdf#page=7","Abrir facsímil")</f>
        <v>Abrir facsímil</v>
      </c>
      <c r="K682" s="3" t="s">
        <v>31</v>
      </c>
    </row>
    <row r="683" spans="1:11" ht="42" customHeight="1">
      <c r="A683" s="2" t="s">
        <v>1888</v>
      </c>
      <c r="B683" s="2" t="s">
        <v>1888</v>
      </c>
      <c r="C683" s="2" t="s">
        <v>111</v>
      </c>
      <c r="D683" s="2" t="s">
        <v>112</v>
      </c>
      <c r="E683" s="5">
        <v>-30415</v>
      </c>
      <c r="F683" s="3" t="s">
        <v>585</v>
      </c>
      <c r="G683" s="3" t="s">
        <v>52</v>
      </c>
      <c r="H683" s="2" t="s">
        <v>21</v>
      </c>
      <c r="I683" s="2" t="s">
        <v>1889</v>
      </c>
      <c r="J683" s="3" t="str">
        <f>HYPERLINK("https://www.boe.es/gazeta/dias/1816/09/21/pdfs/GMD-1816-117.pdf#page=12","Abrir facsímil")</f>
        <v>Abrir facsímil</v>
      </c>
      <c r="K683" s="3" t="s">
        <v>23</v>
      </c>
    </row>
    <row r="684" spans="1:11" ht="42" customHeight="1">
      <c r="A684" s="2" t="s">
        <v>1890</v>
      </c>
      <c r="B684" s="2" t="s">
        <v>1891</v>
      </c>
      <c r="C684" s="2" t="s">
        <v>26</v>
      </c>
      <c r="D684" s="2" t="s">
        <v>18</v>
      </c>
      <c r="E684" s="5">
        <v>-30324</v>
      </c>
      <c r="F684" s="3" t="s">
        <v>46</v>
      </c>
      <c r="G684" s="3" t="s">
        <v>47</v>
      </c>
      <c r="H684" s="2" t="s">
        <v>21</v>
      </c>
      <c r="I684" s="2" t="s">
        <v>1892</v>
      </c>
      <c r="J684" s="3" t="str">
        <f>HYPERLINK("https://www.boe.es/gazeta/dias/1816/12/21/pdfs/GMD-1816-158.pdf#page=5","Abrir facsímil")</f>
        <v>Abrir facsímil</v>
      </c>
      <c r="K684" s="3" t="s">
        <v>23</v>
      </c>
    </row>
    <row r="685" spans="1:11" ht="42" customHeight="1">
      <c r="A685" s="2" t="s">
        <v>1893</v>
      </c>
      <c r="B685" s="2" t="s">
        <v>1894</v>
      </c>
      <c r="C685" s="2" t="s">
        <v>34</v>
      </c>
      <c r="D685" s="2" t="s">
        <v>35</v>
      </c>
      <c r="E685" s="5">
        <v>-30657</v>
      </c>
      <c r="F685" s="3" t="s">
        <v>899</v>
      </c>
      <c r="G685" s="3" t="s">
        <v>72</v>
      </c>
      <c r="H685" s="2" t="s">
        <v>21</v>
      </c>
      <c r="I685" s="2" t="s">
        <v>1895</v>
      </c>
      <c r="J685" s="3" t="str">
        <f>HYPERLINK("https://www.boe.es/gazeta/dias/1816/01/23/pdfs/GMD-1816-10.pdf#page=7","Abrir facsímil")</f>
        <v>Abrir facsímil</v>
      </c>
      <c r="K685" s="3" t="s">
        <v>23</v>
      </c>
    </row>
    <row r="686" spans="1:11" ht="42" customHeight="1">
      <c r="A686" s="2" t="s">
        <v>1893</v>
      </c>
      <c r="B686" s="2" t="s">
        <v>1894</v>
      </c>
      <c r="C686" s="2" t="s">
        <v>26</v>
      </c>
      <c r="D686" s="2" t="s">
        <v>18</v>
      </c>
      <c r="E686" s="5">
        <v>-30648</v>
      </c>
      <c r="F686" s="3" t="s">
        <v>872</v>
      </c>
      <c r="G686" s="3" t="s">
        <v>28</v>
      </c>
      <c r="H686" s="2" t="s">
        <v>21</v>
      </c>
      <c r="I686" s="2" t="s">
        <v>1896</v>
      </c>
      <c r="J686" s="3" t="str">
        <f>HYPERLINK("https://www.boe.es/gazeta/dias/1816/02/01/pdfs/GMD-1816-15.pdf#page=6","Abrir facsímil")</f>
        <v>Abrir facsímil</v>
      </c>
      <c r="K686" s="3" t="s">
        <v>23</v>
      </c>
    </row>
    <row r="687" spans="1:11" ht="42" customHeight="1">
      <c r="A687" s="2" t="s">
        <v>1893</v>
      </c>
      <c r="B687" s="2" t="s">
        <v>1894</v>
      </c>
      <c r="C687" s="2" t="s">
        <v>34</v>
      </c>
      <c r="D687" s="2" t="s">
        <v>56</v>
      </c>
      <c r="E687" s="5">
        <v>-30622</v>
      </c>
      <c r="F687" s="3" t="s">
        <v>907</v>
      </c>
      <c r="G687" s="3" t="s">
        <v>103</v>
      </c>
      <c r="H687" s="2" t="s">
        <v>21</v>
      </c>
      <c r="I687" s="2" t="s">
        <v>1897</v>
      </c>
      <c r="J687" s="3" t="str">
        <f>HYPERLINK("https://www.boe.es/gazeta/dias/1816/02/27/pdfs/GMD-1816-27E.pdf#page=4","Abrir facsímil")</f>
        <v>Abrir facsímil</v>
      </c>
      <c r="K687" s="3" t="s">
        <v>23</v>
      </c>
    </row>
    <row r="688" spans="1:11" ht="42" customHeight="1">
      <c r="A688" s="2" t="s">
        <v>1893</v>
      </c>
      <c r="B688" s="2" t="s">
        <v>1894</v>
      </c>
      <c r="C688" s="2" t="s">
        <v>34</v>
      </c>
      <c r="D688" s="2" t="s">
        <v>35</v>
      </c>
      <c r="E688" s="5">
        <v>-30464</v>
      </c>
      <c r="F688" s="3" t="s">
        <v>215</v>
      </c>
      <c r="G688" s="3" t="s">
        <v>180</v>
      </c>
      <c r="H688" s="2" t="s">
        <v>21</v>
      </c>
      <c r="I688" s="2" t="s">
        <v>1898</v>
      </c>
      <c r="J688" s="3" t="str">
        <f>HYPERLINK("https://www.boe.es/gazeta/dias/1816/08/03/pdfs/GMD-1816-96.pdf#page=10","Abrir facsímil")</f>
        <v>Abrir facsímil</v>
      </c>
      <c r="K688" s="3" t="s">
        <v>23</v>
      </c>
    </row>
    <row r="689" spans="1:11" ht="42" customHeight="1">
      <c r="A689" s="2" t="s">
        <v>1893</v>
      </c>
      <c r="B689" s="2" t="s">
        <v>1894</v>
      </c>
      <c r="C689" s="2" t="s">
        <v>34</v>
      </c>
      <c r="D689" s="2" t="s">
        <v>35</v>
      </c>
      <c r="E689" s="5">
        <v>-30314</v>
      </c>
      <c r="F689" s="3" t="s">
        <v>1899</v>
      </c>
      <c r="G689" s="3" t="s">
        <v>72</v>
      </c>
      <c r="H689" s="2" t="s">
        <v>21</v>
      </c>
      <c r="I689" s="2" t="s">
        <v>1900</v>
      </c>
      <c r="J689" s="3" t="str">
        <f>HYPERLINK("https://www.boe.es/gazeta/dias/1816/12/31/pdfs/GMD-1816-162.pdf#page=7","Abrir facsímil")</f>
        <v>Abrir facsímil</v>
      </c>
      <c r="K689" s="3" t="s">
        <v>23</v>
      </c>
    </row>
    <row r="690" spans="1:11" ht="42" customHeight="1">
      <c r="A690" s="2" t="s">
        <v>1901</v>
      </c>
      <c r="B690" s="2" t="s">
        <v>1901</v>
      </c>
      <c r="C690" s="2" t="s">
        <v>41</v>
      </c>
      <c r="D690" s="2" t="s">
        <v>18</v>
      </c>
      <c r="E690" s="5">
        <v>-30394</v>
      </c>
      <c r="F690" s="3" t="s">
        <v>589</v>
      </c>
      <c r="G690" s="3" t="s">
        <v>28</v>
      </c>
      <c r="H690" s="2" t="s">
        <v>21</v>
      </c>
      <c r="I690" s="2" t="s">
        <v>1902</v>
      </c>
      <c r="J690" s="3" t="str">
        <f>HYPERLINK("https://www.boe.es/gazeta/dias/1816/10/12/pdfs/GMD-1816-127.pdf#page=6","Abrir facsímil")</f>
        <v>Abrir facsímil</v>
      </c>
      <c r="K690" s="3" t="s">
        <v>23</v>
      </c>
    </row>
    <row r="691" spans="1:11" ht="42" customHeight="1">
      <c r="A691" s="2" t="s">
        <v>1903</v>
      </c>
      <c r="B691" s="2" t="s">
        <v>1903</v>
      </c>
      <c r="C691" s="2" t="s">
        <v>26</v>
      </c>
      <c r="D691" s="2" t="s">
        <v>18</v>
      </c>
      <c r="E691" s="5">
        <v>-30394</v>
      </c>
      <c r="F691" s="3" t="s">
        <v>589</v>
      </c>
      <c r="G691" s="3" t="s">
        <v>28</v>
      </c>
      <c r="H691" s="2" t="s">
        <v>21</v>
      </c>
      <c r="I691" s="2" t="s">
        <v>1904</v>
      </c>
      <c r="J691" s="3" t="str">
        <f>HYPERLINK("https://www.boe.es/gazeta/dias/1816/10/12/pdfs/GMD-1816-127.pdf#page=6","Abrir facsímil")</f>
        <v>Abrir facsímil</v>
      </c>
      <c r="K691" s="3" t="s">
        <v>23</v>
      </c>
    </row>
    <row r="692" spans="1:11" ht="42" customHeight="1">
      <c r="A692" s="2" t="s">
        <v>1903</v>
      </c>
      <c r="B692" s="2" t="s">
        <v>1903</v>
      </c>
      <c r="C692" s="2" t="s">
        <v>26</v>
      </c>
      <c r="D692" s="2" t="s">
        <v>18</v>
      </c>
      <c r="E692" s="5">
        <v>-30394</v>
      </c>
      <c r="F692" s="3" t="s">
        <v>589</v>
      </c>
      <c r="G692" s="3" t="s">
        <v>72</v>
      </c>
      <c r="H692" s="2" t="s">
        <v>21</v>
      </c>
      <c r="I692" s="2" t="s">
        <v>1905</v>
      </c>
      <c r="J692" s="3" t="str">
        <f>HYPERLINK("https://www.boe.es/gazeta/dias/1816/10/12/pdfs/GMD-1816-127.pdf#page=7","Abrir facsímil")</f>
        <v>Abrir facsímil</v>
      </c>
      <c r="K692" s="3" t="s">
        <v>23</v>
      </c>
    </row>
    <row r="693" spans="1:11" ht="42" customHeight="1">
      <c r="A693" s="2" t="s">
        <v>1906</v>
      </c>
      <c r="B693" s="2" t="s">
        <v>1907</v>
      </c>
      <c r="C693" s="2" t="s">
        <v>26</v>
      </c>
      <c r="D693" s="2" t="s">
        <v>18</v>
      </c>
      <c r="E693" s="5">
        <v>-30387</v>
      </c>
      <c r="F693" s="3" t="s">
        <v>224</v>
      </c>
      <c r="G693" s="3" t="s">
        <v>28</v>
      </c>
      <c r="H693" s="2" t="s">
        <v>21</v>
      </c>
      <c r="I693" s="2" t="s">
        <v>1908</v>
      </c>
      <c r="J693" s="3" t="str">
        <f>HYPERLINK("https://www.boe.es/gazeta/dias/1816/10/19/pdfs/GMD-1816-131.pdf#page=6","Abrir facsímil")</f>
        <v>Abrir facsímil</v>
      </c>
      <c r="K693" s="3" t="s">
        <v>23</v>
      </c>
    </row>
    <row r="694" spans="1:11" ht="42" customHeight="1">
      <c r="A694" s="2" t="s">
        <v>1909</v>
      </c>
      <c r="B694" s="2" t="s">
        <v>1909</v>
      </c>
      <c r="C694" s="2" t="s">
        <v>34</v>
      </c>
      <c r="D694" s="2" t="s">
        <v>35</v>
      </c>
      <c r="E694" s="5">
        <v>-30529</v>
      </c>
      <c r="F694" s="3" t="s">
        <v>432</v>
      </c>
      <c r="G694" s="3" t="s">
        <v>184</v>
      </c>
      <c r="H694" s="2" t="s">
        <v>21</v>
      </c>
      <c r="I694" s="2" t="s">
        <v>1910</v>
      </c>
      <c r="J694" s="3" t="str">
        <f>HYPERLINK("https://www.boe.es/gazeta/dias/1816/05/30/pdfs/GMD-1816-68.pdf#page=3","Abrir facsímil")</f>
        <v>Abrir facsímil</v>
      </c>
      <c r="K694" s="3" t="s">
        <v>23</v>
      </c>
    </row>
    <row r="695" spans="1:11" ht="42" customHeight="1">
      <c r="A695" s="2" t="s">
        <v>1911</v>
      </c>
      <c r="B695" s="2" t="s">
        <v>1912</v>
      </c>
      <c r="C695" s="2" t="s">
        <v>34</v>
      </c>
      <c r="D695" s="2" t="s">
        <v>35</v>
      </c>
      <c r="E695" s="5">
        <v>-30557</v>
      </c>
      <c r="F695" s="3" t="s">
        <v>508</v>
      </c>
      <c r="G695" s="3" t="s">
        <v>184</v>
      </c>
      <c r="H695" s="2" t="s">
        <v>21</v>
      </c>
      <c r="I695" s="2" t="s">
        <v>1913</v>
      </c>
      <c r="J695" s="3" t="str">
        <f>HYPERLINK("https://www.boe.es/gazeta/dias/1816/05/02/pdfs/GMD-1816-56.pdf#page=3","Abrir facsímil")</f>
        <v>Abrir facsímil</v>
      </c>
      <c r="K695" s="3" t="s">
        <v>23</v>
      </c>
    </row>
    <row r="696" spans="1:11" ht="42" customHeight="1">
      <c r="A696" s="2" t="s">
        <v>1914</v>
      </c>
      <c r="B696" s="2" t="s">
        <v>1915</v>
      </c>
      <c r="C696" s="2" t="s">
        <v>34</v>
      </c>
      <c r="D696" s="2" t="s">
        <v>35</v>
      </c>
      <c r="E696" s="5">
        <v>-30391</v>
      </c>
      <c r="F696" s="3" t="s">
        <v>482</v>
      </c>
      <c r="G696" s="3" t="s">
        <v>72</v>
      </c>
      <c r="H696" s="2" t="s">
        <v>21</v>
      </c>
      <c r="I696" s="2" t="s">
        <v>1916</v>
      </c>
      <c r="J696" s="3" t="str">
        <f>HYPERLINK("https://www.boe.es/gazeta/dias/1816/10/15/pdfs/GMD-1816-129.pdf#page=7","Abrir facsímil")</f>
        <v>Abrir facsímil</v>
      </c>
      <c r="K696" s="3" t="s">
        <v>23</v>
      </c>
    </row>
    <row r="697" spans="1:11" ht="42" customHeight="1">
      <c r="A697" s="2" t="s">
        <v>1917</v>
      </c>
      <c r="B697" s="2" t="s">
        <v>1917</v>
      </c>
      <c r="C697" s="2" t="s">
        <v>34</v>
      </c>
      <c r="D697" s="2" t="s">
        <v>35</v>
      </c>
      <c r="E697" s="5">
        <v>-30559</v>
      </c>
      <c r="F697" s="3" t="s">
        <v>165</v>
      </c>
      <c r="G697" s="3" t="s">
        <v>270</v>
      </c>
      <c r="H697" s="2" t="s">
        <v>21</v>
      </c>
      <c r="I697" s="2" t="s">
        <v>1918</v>
      </c>
      <c r="J697" s="3" t="str">
        <f>HYPERLINK("https://www.boe.es/gazeta/dias/1816/04/30/pdfs/GMD-1816-55.pdf#page=2","Abrir facsímil")</f>
        <v>Abrir facsímil</v>
      </c>
      <c r="K697" s="3" t="s">
        <v>23</v>
      </c>
    </row>
    <row r="698" spans="1:11" ht="42" customHeight="1">
      <c r="A698" s="2" t="s">
        <v>1919</v>
      </c>
      <c r="B698" s="2" t="s">
        <v>1919</v>
      </c>
      <c r="C698" s="2" t="s">
        <v>34</v>
      </c>
      <c r="D698" s="2" t="s">
        <v>35</v>
      </c>
      <c r="E698" s="5">
        <v>-30655</v>
      </c>
      <c r="F698" s="3" t="s">
        <v>170</v>
      </c>
      <c r="G698" s="3" t="s">
        <v>1920</v>
      </c>
      <c r="H698" s="2" t="s">
        <v>21</v>
      </c>
      <c r="I698" s="2" t="s">
        <v>1921</v>
      </c>
      <c r="J698" s="3" t="str">
        <f>HYPERLINK("https://www.boe.es/gazeta/dias/1816/01/25/pdfs/GMD-1816-11.pdf#page=2","Abrir facsímil")</f>
        <v>Abrir facsímil</v>
      </c>
      <c r="K698" s="3" t="s">
        <v>23</v>
      </c>
    </row>
    <row r="699" spans="1:11" ht="42" customHeight="1">
      <c r="A699" s="2" t="s">
        <v>1922</v>
      </c>
      <c r="B699" s="2" t="s">
        <v>1922</v>
      </c>
      <c r="C699" s="2" t="s">
        <v>34</v>
      </c>
      <c r="D699" s="2" t="s">
        <v>35</v>
      </c>
      <c r="E699" s="5">
        <v>-30506</v>
      </c>
      <c r="F699" s="3" t="s">
        <v>220</v>
      </c>
      <c r="G699" s="3" t="s">
        <v>58</v>
      </c>
      <c r="H699" s="2" t="s">
        <v>21</v>
      </c>
      <c r="I699" s="2" t="s">
        <v>1923</v>
      </c>
      <c r="J699" s="3" t="str">
        <f>HYPERLINK("https://www.boe.es/gazeta/dias/1816/06/22/pdfs/GMD-1816-78.pdf#page=1","Abrir facsímil")</f>
        <v>Abrir facsímil</v>
      </c>
      <c r="K699" s="3" t="s">
        <v>23</v>
      </c>
    </row>
    <row r="700" spans="1:11" ht="42" customHeight="1">
      <c r="A700" s="2" t="s">
        <v>1924</v>
      </c>
      <c r="B700" s="2" t="s">
        <v>1924</v>
      </c>
      <c r="C700" s="2" t="s">
        <v>387</v>
      </c>
      <c r="D700" s="2" t="s">
        <v>18</v>
      </c>
      <c r="E700" s="5">
        <v>-30480</v>
      </c>
      <c r="F700" s="3" t="s">
        <v>147</v>
      </c>
      <c r="G700" s="3" t="s">
        <v>58</v>
      </c>
      <c r="H700" s="2" t="s">
        <v>21</v>
      </c>
      <c r="I700" s="2" t="s">
        <v>1925</v>
      </c>
      <c r="J700" s="3" t="str">
        <f>HYPERLINK("https://www.boe.es/gazeta/dias/1816/07/18/pdfs/GMD-1816-89.pdf#page=1","Abrir facsímil")</f>
        <v>Abrir facsímil</v>
      </c>
      <c r="K700" s="3" t="s">
        <v>23</v>
      </c>
    </row>
    <row r="701" spans="1:11" ht="42" customHeight="1">
      <c r="A701" s="2" t="s">
        <v>1926</v>
      </c>
      <c r="B701" s="2" t="s">
        <v>1926</v>
      </c>
      <c r="C701" s="2" t="s">
        <v>387</v>
      </c>
      <c r="D701" s="2" t="s">
        <v>18</v>
      </c>
      <c r="E701" s="5">
        <v>-30571</v>
      </c>
      <c r="F701" s="3" t="s">
        <v>738</v>
      </c>
      <c r="G701" s="3" t="s">
        <v>58</v>
      </c>
      <c r="H701" s="2" t="s">
        <v>21</v>
      </c>
      <c r="I701" s="2" t="s">
        <v>1927</v>
      </c>
      <c r="J701" s="3" t="str">
        <f>HYPERLINK("https://www.boe.es/gazeta/dias/1816/04/18/pdfs/GMD-1816-50.pdf#page=1","Abrir facsímil")</f>
        <v>Abrir facsímil</v>
      </c>
      <c r="K701" s="3" t="s">
        <v>23</v>
      </c>
    </row>
    <row r="702" spans="1:11" ht="42" customHeight="1">
      <c r="A702" s="2" t="s">
        <v>1926</v>
      </c>
      <c r="B702" s="2" t="s">
        <v>1926</v>
      </c>
      <c r="C702" s="2" t="s">
        <v>34</v>
      </c>
      <c r="D702" s="2" t="s">
        <v>35</v>
      </c>
      <c r="E702" s="5">
        <v>-30496</v>
      </c>
      <c r="F702" s="3" t="s">
        <v>290</v>
      </c>
      <c r="G702" s="3" t="s">
        <v>184</v>
      </c>
      <c r="H702" s="2" t="s">
        <v>21</v>
      </c>
      <c r="I702" s="2" t="s">
        <v>1928</v>
      </c>
      <c r="J702" s="3" t="str">
        <f>HYPERLINK("https://www.boe.es/gazeta/dias/1816/07/02/pdfs/GMD-1816-82.pdf#page=3","Abrir facsímil")</f>
        <v>Abrir facsímil</v>
      </c>
      <c r="K702" s="3" t="s">
        <v>23</v>
      </c>
    </row>
    <row r="703" spans="1:11" ht="42" customHeight="1">
      <c r="A703" s="2" t="s">
        <v>1929</v>
      </c>
      <c r="B703" s="2" t="s">
        <v>1930</v>
      </c>
      <c r="C703" s="2" t="s">
        <v>34</v>
      </c>
      <c r="D703" s="2" t="s">
        <v>35</v>
      </c>
      <c r="E703" s="5">
        <v>-30678</v>
      </c>
      <c r="F703" s="3" t="s">
        <v>76</v>
      </c>
      <c r="G703" s="3" t="s">
        <v>1638</v>
      </c>
      <c r="H703" s="2" t="s">
        <v>21</v>
      </c>
      <c r="I703" s="2" t="s">
        <v>1931</v>
      </c>
      <c r="J703" s="3" t="str">
        <f>HYPERLINK("https://www.boe.es/gazeta/dias/1816/01/02/pdfs/GMD-1816-1.pdf#page=2","Abrir facsímil")</f>
        <v>Abrir facsímil</v>
      </c>
      <c r="K703" s="3" t="s">
        <v>23</v>
      </c>
    </row>
    <row r="704" spans="1:11" ht="42" customHeight="1">
      <c r="A704" s="2" t="s">
        <v>1929</v>
      </c>
      <c r="B704" s="2" t="s">
        <v>1930</v>
      </c>
      <c r="C704" s="2" t="s">
        <v>34</v>
      </c>
      <c r="D704" s="2" t="s">
        <v>35</v>
      </c>
      <c r="E704" s="5">
        <v>-30676</v>
      </c>
      <c r="F704" s="3" t="s">
        <v>1932</v>
      </c>
      <c r="G704" s="3" t="s">
        <v>47</v>
      </c>
      <c r="H704" s="2" t="s">
        <v>21</v>
      </c>
      <c r="I704" s="2" t="s">
        <v>1933</v>
      </c>
      <c r="J704" s="3" t="str">
        <f>HYPERLINK("https://www.boe.es/gazeta/dias/1816/01/04/pdfs/GMD-1816-2.pdf#page=5","Abrir facsímil")</f>
        <v>Abrir facsímil</v>
      </c>
      <c r="K704" s="3" t="s">
        <v>23</v>
      </c>
    </row>
    <row r="705" spans="1:11" ht="42" customHeight="1">
      <c r="A705" s="2" t="s">
        <v>1929</v>
      </c>
      <c r="B705" s="2" t="s">
        <v>1930</v>
      </c>
      <c r="C705" s="2" t="s">
        <v>111</v>
      </c>
      <c r="D705" s="2" t="s">
        <v>112</v>
      </c>
      <c r="E705" s="5">
        <v>-30674</v>
      </c>
      <c r="F705" s="3" t="s">
        <v>19</v>
      </c>
      <c r="G705" s="3" t="s">
        <v>47</v>
      </c>
      <c r="H705" s="2" t="s">
        <v>21</v>
      </c>
      <c r="I705" s="2" t="s">
        <v>1934</v>
      </c>
      <c r="J705" s="3" t="str">
        <f>HYPERLINK("https://www.boe.es/gazeta/dias/1816/01/06/pdfs/GMD-1816-3.pdf#page=5","Abrir facsímil")</f>
        <v>Abrir facsímil</v>
      </c>
      <c r="K705" s="3" t="s">
        <v>23</v>
      </c>
    </row>
    <row r="706" spans="1:11" ht="42" customHeight="1">
      <c r="A706" s="2" t="s">
        <v>1929</v>
      </c>
      <c r="B706" s="2" t="s">
        <v>1930</v>
      </c>
      <c r="C706" s="2" t="s">
        <v>111</v>
      </c>
      <c r="D706" s="2" t="s">
        <v>112</v>
      </c>
      <c r="E706" s="5">
        <v>-30489</v>
      </c>
      <c r="F706" s="3" t="s">
        <v>1120</v>
      </c>
      <c r="G706" s="3" t="s">
        <v>58</v>
      </c>
      <c r="H706" s="2" t="s">
        <v>21</v>
      </c>
      <c r="I706" s="2" t="s">
        <v>1935</v>
      </c>
      <c r="J706" s="3" t="str">
        <f>HYPERLINK("https://www.boe.es/gazeta/dias/1816/07/09/pdfs/GMD-1816-85.pdf#page=1","Abrir facsímil")</f>
        <v>Abrir facsímil</v>
      </c>
      <c r="K706" s="3" t="s">
        <v>23</v>
      </c>
    </row>
    <row r="707" spans="1:11" ht="42" customHeight="1">
      <c r="A707" s="2" t="s">
        <v>1936</v>
      </c>
      <c r="B707" s="2" t="s">
        <v>1937</v>
      </c>
      <c r="C707" s="2" t="s">
        <v>34</v>
      </c>
      <c r="D707" s="2" t="s">
        <v>35</v>
      </c>
      <c r="E707" s="5">
        <v>-30494</v>
      </c>
      <c r="F707" s="3" t="s">
        <v>174</v>
      </c>
      <c r="G707" s="3" t="s">
        <v>270</v>
      </c>
      <c r="H707" s="2" t="s">
        <v>21</v>
      </c>
      <c r="I707" s="2" t="s">
        <v>1938</v>
      </c>
      <c r="J707" s="3" t="str">
        <f>HYPERLINK("https://www.boe.es/gazeta/dias/1816/07/04/pdfs/GMD-1816-83.pdf#page=2","Abrir facsímil")</f>
        <v>Abrir facsímil</v>
      </c>
      <c r="K707" s="3" t="s">
        <v>23</v>
      </c>
    </row>
    <row r="708" spans="1:11" ht="42" customHeight="1">
      <c r="A708" s="2" t="s">
        <v>1936</v>
      </c>
      <c r="B708" s="2" t="s">
        <v>1937</v>
      </c>
      <c r="C708" s="2" t="s">
        <v>34</v>
      </c>
      <c r="D708" s="2" t="s">
        <v>35</v>
      </c>
      <c r="E708" s="5">
        <v>-30398</v>
      </c>
      <c r="F708" s="3" t="s">
        <v>447</v>
      </c>
      <c r="G708" s="3" t="s">
        <v>270</v>
      </c>
      <c r="H708" s="2" t="s">
        <v>21</v>
      </c>
      <c r="I708" s="2" t="s">
        <v>1939</v>
      </c>
      <c r="J708" s="3" t="str">
        <f>HYPERLINK("https://www.boe.es/gazeta/dias/1816/10/08/pdfs/GMD-1816-125.pdf#page=2","Abrir facsímil")</f>
        <v>Abrir facsímil</v>
      </c>
      <c r="K708" s="3" t="s">
        <v>23</v>
      </c>
    </row>
    <row r="709" spans="1:11" ht="42" customHeight="1">
      <c r="A709" s="2" t="s">
        <v>1940</v>
      </c>
      <c r="B709" s="2" t="s">
        <v>1941</v>
      </c>
      <c r="C709" s="2" t="s">
        <v>34</v>
      </c>
      <c r="D709" s="2" t="s">
        <v>35</v>
      </c>
      <c r="E709" s="5">
        <v>-30520</v>
      </c>
      <c r="F709" s="3" t="s">
        <v>731</v>
      </c>
      <c r="G709" s="3" t="s">
        <v>42</v>
      </c>
      <c r="H709" s="2" t="s">
        <v>21</v>
      </c>
      <c r="I709" s="2" t="s">
        <v>1942</v>
      </c>
      <c r="J709" s="3" t="str">
        <f>HYPERLINK("https://www.boe.es/gazeta/dias/1816/06/08/pdfs/GMD-1816-72.pdf#page=8","Abrir facsímil")</f>
        <v>Abrir facsímil</v>
      </c>
      <c r="K709" s="3" t="s">
        <v>23</v>
      </c>
    </row>
    <row r="710" spans="1:11" ht="42" customHeight="1">
      <c r="A710" s="2" t="s">
        <v>1943</v>
      </c>
      <c r="B710" s="2" t="s">
        <v>1944</v>
      </c>
      <c r="C710" s="2" t="s">
        <v>67</v>
      </c>
      <c r="D710" s="2" t="s">
        <v>18</v>
      </c>
      <c r="E710" s="5">
        <v>-30552</v>
      </c>
      <c r="F710" s="3" t="s">
        <v>1842</v>
      </c>
      <c r="G710" s="3" t="s">
        <v>42</v>
      </c>
      <c r="H710" s="2" t="s">
        <v>29</v>
      </c>
      <c r="I710" s="2" t="s">
        <v>1945</v>
      </c>
      <c r="J710" s="3" t="str">
        <f>HYPERLINK("https://www.boe.es/gazeta/dias/1816/05/07/pdfs/GMD-1816-58.pdf#page=8","Abrir facsímil")</f>
        <v>Abrir facsímil</v>
      </c>
      <c r="K710" s="3" t="s">
        <v>31</v>
      </c>
    </row>
    <row r="711" spans="1:11" ht="42" customHeight="1">
      <c r="A711" s="2" t="s">
        <v>1946</v>
      </c>
      <c r="B711" s="2" t="s">
        <v>1947</v>
      </c>
      <c r="C711" s="2" t="s">
        <v>111</v>
      </c>
      <c r="D711" s="2" t="s">
        <v>112</v>
      </c>
      <c r="E711" s="5">
        <v>-30562</v>
      </c>
      <c r="F711" s="3" t="s">
        <v>1664</v>
      </c>
      <c r="G711" s="3" t="s">
        <v>42</v>
      </c>
      <c r="H711" s="2" t="s">
        <v>21</v>
      </c>
      <c r="I711" s="2" t="s">
        <v>1948</v>
      </c>
      <c r="J711" s="3" t="str">
        <f>HYPERLINK("https://www.boe.es/gazeta/dias/1816/04/27/pdfs/GMD-1816-54.pdf#page=8","Abrir facsímil")</f>
        <v>Abrir facsímil</v>
      </c>
      <c r="K711" s="3" t="s">
        <v>23</v>
      </c>
    </row>
    <row r="712" spans="1:11" ht="42" customHeight="1">
      <c r="A712" s="2" t="s">
        <v>1949</v>
      </c>
      <c r="B712" s="2" t="s">
        <v>1950</v>
      </c>
      <c r="C712" s="2" t="s">
        <v>34</v>
      </c>
      <c r="D712" s="2" t="s">
        <v>35</v>
      </c>
      <c r="E712" s="5">
        <v>-30417</v>
      </c>
      <c r="F712" s="3" t="s">
        <v>62</v>
      </c>
      <c r="G712" s="3" t="s">
        <v>103</v>
      </c>
      <c r="H712" s="2" t="s">
        <v>21</v>
      </c>
      <c r="I712" s="2" t="s">
        <v>1951</v>
      </c>
      <c r="J712" s="3" t="str">
        <f>HYPERLINK("https://www.boe.es/gazeta/dias/1816/09/19/pdfs/GMD-1816-116.pdf#page=4","Abrir facsímil")</f>
        <v>Abrir facsímil</v>
      </c>
      <c r="K712" s="3" t="s">
        <v>23</v>
      </c>
    </row>
    <row r="713" spans="1:11" ht="42" customHeight="1">
      <c r="A713" s="2" t="s">
        <v>1952</v>
      </c>
      <c r="B713" s="2" t="s">
        <v>1953</v>
      </c>
      <c r="C713" s="2" t="s">
        <v>34</v>
      </c>
      <c r="D713" s="2" t="s">
        <v>35</v>
      </c>
      <c r="E713" s="5">
        <v>-30599</v>
      </c>
      <c r="F713" s="3" t="s">
        <v>552</v>
      </c>
      <c r="G713" s="3" t="s">
        <v>47</v>
      </c>
      <c r="H713" s="2" t="s">
        <v>21</v>
      </c>
      <c r="I713" s="2" t="s">
        <v>1954</v>
      </c>
      <c r="J713" s="3" t="str">
        <f>HYPERLINK("https://www.boe.es/gazeta/dias/1816/03/21/pdfs/GMD-1816-38.pdf#page=5","Abrir facsímil")</f>
        <v>Abrir facsímil</v>
      </c>
      <c r="K713" s="3" t="s">
        <v>23</v>
      </c>
    </row>
    <row r="714" spans="1:11" ht="42" customHeight="1">
      <c r="A714" s="2" t="s">
        <v>1955</v>
      </c>
      <c r="B714" s="2" t="s">
        <v>1956</v>
      </c>
      <c r="C714" s="2" t="s">
        <v>67</v>
      </c>
      <c r="D714" s="2" t="s">
        <v>18</v>
      </c>
      <c r="E714" s="5">
        <v>-30459</v>
      </c>
      <c r="F714" s="3" t="s">
        <v>1957</v>
      </c>
      <c r="G714" s="3" t="s">
        <v>42</v>
      </c>
      <c r="H714" s="2" t="s">
        <v>21</v>
      </c>
      <c r="I714" s="2" t="s">
        <v>1958</v>
      </c>
      <c r="J714" s="3" t="str">
        <f>HYPERLINK("https://www.boe.es/gazeta/dias/1816/08/08/pdfs/GMD-1816-98.pdf#page=8","Abrir facsímil")</f>
        <v>Abrir facsímil</v>
      </c>
      <c r="K714" s="3" t="s">
        <v>23</v>
      </c>
    </row>
    <row r="715" spans="1:11" ht="42" customHeight="1">
      <c r="A715" s="2" t="s">
        <v>1959</v>
      </c>
      <c r="B715" s="2" t="s">
        <v>1960</v>
      </c>
      <c r="C715" s="2" t="s">
        <v>387</v>
      </c>
      <c r="D715" s="2" t="s">
        <v>18</v>
      </c>
      <c r="E715" s="5">
        <v>-30335</v>
      </c>
      <c r="F715" s="3" t="s">
        <v>468</v>
      </c>
      <c r="G715" s="3" t="s">
        <v>42</v>
      </c>
      <c r="H715" s="2" t="s">
        <v>21</v>
      </c>
      <c r="I715" s="2" t="s">
        <v>1961</v>
      </c>
      <c r="J715" s="3" t="str">
        <f>HYPERLINK("https://www.boe.es/gazeta/dias/1816/12/10/pdfs/GMD-1816-153.pdf#page=8","Abrir facsímil")</f>
        <v>Abrir facsímil</v>
      </c>
      <c r="K715" s="3" t="s">
        <v>23</v>
      </c>
    </row>
    <row r="716" spans="1:11" ht="42" customHeight="1">
      <c r="A716" s="2" t="s">
        <v>1962</v>
      </c>
      <c r="B716" s="2" t="s">
        <v>1963</v>
      </c>
      <c r="C716" s="2" t="s">
        <v>34</v>
      </c>
      <c r="D716" s="2" t="s">
        <v>35</v>
      </c>
      <c r="E716" s="5">
        <v>-30326</v>
      </c>
      <c r="F716" s="3" t="s">
        <v>377</v>
      </c>
      <c r="G716" s="3" t="s">
        <v>28</v>
      </c>
      <c r="H716" s="2" t="s">
        <v>21</v>
      </c>
      <c r="I716" s="2" t="s">
        <v>1964</v>
      </c>
      <c r="J716" s="3" t="str">
        <f>HYPERLINK("https://www.boe.es/gazeta/dias/1816/12/19/pdfs/GMD-1816-157.pdf#page=6","Abrir facsímil")</f>
        <v>Abrir facsímil</v>
      </c>
      <c r="K716" s="3" t="s">
        <v>23</v>
      </c>
    </row>
    <row r="717" spans="1:11" ht="42" customHeight="1">
      <c r="A717" s="2" t="s">
        <v>1965</v>
      </c>
      <c r="B717" s="2" t="s">
        <v>1965</v>
      </c>
      <c r="C717" s="2" t="s">
        <v>34</v>
      </c>
      <c r="D717" s="2" t="s">
        <v>35</v>
      </c>
      <c r="E717" s="5">
        <v>-30571</v>
      </c>
      <c r="F717" s="3" t="s">
        <v>738</v>
      </c>
      <c r="G717" s="3" t="s">
        <v>184</v>
      </c>
      <c r="H717" s="2" t="s">
        <v>21</v>
      </c>
      <c r="I717" s="2" t="s">
        <v>1966</v>
      </c>
      <c r="J717" s="3" t="str">
        <f>HYPERLINK("https://www.boe.es/gazeta/dias/1816/04/18/pdfs/GMD-1816-50.pdf#page=3","Abrir facsímil")</f>
        <v>Abrir facsímil</v>
      </c>
      <c r="K717" s="3" t="s">
        <v>23</v>
      </c>
    </row>
    <row r="718" spans="1:11" ht="42" customHeight="1">
      <c r="A718" s="2" t="s">
        <v>1965</v>
      </c>
      <c r="B718" s="2" t="s">
        <v>1965</v>
      </c>
      <c r="C718" s="2" t="s">
        <v>34</v>
      </c>
      <c r="D718" s="2" t="s">
        <v>35</v>
      </c>
      <c r="E718" s="5">
        <v>-30552</v>
      </c>
      <c r="F718" s="3" t="s">
        <v>1842</v>
      </c>
      <c r="G718" s="3" t="s">
        <v>47</v>
      </c>
      <c r="H718" s="2" t="s">
        <v>21</v>
      </c>
      <c r="I718" s="2" t="s">
        <v>1967</v>
      </c>
      <c r="J718" s="3" t="str">
        <f>HYPERLINK("https://www.boe.es/gazeta/dias/1816/05/07/pdfs/GMD-1816-58.pdf#page=5","Abrir facsímil")</f>
        <v>Abrir facsímil</v>
      </c>
      <c r="K718" s="3" t="s">
        <v>23</v>
      </c>
    </row>
    <row r="719" spans="1:11" ht="42" customHeight="1">
      <c r="A719" s="2" t="s">
        <v>1968</v>
      </c>
      <c r="B719" s="2" t="s">
        <v>1969</v>
      </c>
      <c r="C719" s="2" t="s">
        <v>34</v>
      </c>
      <c r="D719" s="2" t="s">
        <v>35</v>
      </c>
      <c r="E719" s="5">
        <v>-30473</v>
      </c>
      <c r="F719" s="3" t="s">
        <v>336</v>
      </c>
      <c r="G719" s="3" t="s">
        <v>47</v>
      </c>
      <c r="H719" s="2" t="s">
        <v>21</v>
      </c>
      <c r="I719" s="2" t="s">
        <v>1970</v>
      </c>
      <c r="J719" s="3" t="str">
        <f>HYPERLINK("https://www.boe.es/gazeta/dias/1816/07/25/pdfs/GMD-1816-92.pdf#page=5","Abrir facsímil")</f>
        <v>Abrir facsímil</v>
      </c>
      <c r="K719" s="3" t="s">
        <v>23</v>
      </c>
    </row>
    <row r="720" spans="1:11" ht="42" customHeight="1">
      <c r="A720" s="2" t="s">
        <v>1971</v>
      </c>
      <c r="B720" s="2" t="s">
        <v>1971</v>
      </c>
      <c r="C720" s="2" t="s">
        <v>34</v>
      </c>
      <c r="D720" s="2" t="s">
        <v>35</v>
      </c>
      <c r="E720" s="5">
        <v>-30335</v>
      </c>
      <c r="F720" s="3" t="s">
        <v>468</v>
      </c>
      <c r="G720" s="3" t="s">
        <v>184</v>
      </c>
      <c r="H720" s="2" t="s">
        <v>21</v>
      </c>
      <c r="I720" s="2" t="s">
        <v>1972</v>
      </c>
      <c r="J720" s="3" t="str">
        <f>HYPERLINK("https://www.boe.es/gazeta/dias/1816/12/10/pdfs/GMD-1816-153.pdf#page=3","Abrir facsímil")</f>
        <v>Abrir facsímil</v>
      </c>
      <c r="K720" s="3" t="s">
        <v>23</v>
      </c>
    </row>
    <row r="721" spans="1:11" ht="42" customHeight="1">
      <c r="A721" s="2" t="s">
        <v>1973</v>
      </c>
      <c r="B721" s="2" t="s">
        <v>1974</v>
      </c>
      <c r="C721" s="2" t="s">
        <v>41</v>
      </c>
      <c r="D721" s="2" t="s">
        <v>18</v>
      </c>
      <c r="E721" s="5">
        <v>-30440</v>
      </c>
      <c r="F721" s="3" t="s">
        <v>564</v>
      </c>
      <c r="G721" s="3" t="s">
        <v>47</v>
      </c>
      <c r="H721" s="2" t="s">
        <v>21</v>
      </c>
      <c r="I721" s="2" t="s">
        <v>1975</v>
      </c>
      <c r="J721" s="3" t="str">
        <f>HYPERLINK("https://www.boe.es/gazeta/dias/1816/08/27/pdfs/GMD-1816-106.pdf#page=5","Abrir facsímil")</f>
        <v>Abrir facsímil</v>
      </c>
      <c r="K721" s="3" t="s">
        <v>23</v>
      </c>
    </row>
    <row r="722" spans="1:11" ht="42" customHeight="1">
      <c r="A722" s="2" t="s">
        <v>1976</v>
      </c>
      <c r="B722" s="2" t="s">
        <v>1977</v>
      </c>
      <c r="C722" s="2" t="s">
        <v>26</v>
      </c>
      <c r="D722" s="2" t="s">
        <v>18</v>
      </c>
      <c r="E722" s="5">
        <v>-30655</v>
      </c>
      <c r="F722" s="3" t="s">
        <v>170</v>
      </c>
      <c r="G722" s="3" t="s">
        <v>72</v>
      </c>
      <c r="H722" s="2" t="s">
        <v>21</v>
      </c>
      <c r="I722" s="2" t="s">
        <v>1978</v>
      </c>
      <c r="J722" s="3" t="str">
        <f>HYPERLINK("https://www.boe.es/gazeta/dias/1816/01/25/pdfs/GMD-1816-11.pdf#page=7","Abrir facsímil")</f>
        <v>Abrir facsímil</v>
      </c>
      <c r="K722" s="3" t="s">
        <v>23</v>
      </c>
    </row>
    <row r="723" spans="1:11" ht="42" customHeight="1">
      <c r="A723" s="2" t="s">
        <v>1979</v>
      </c>
      <c r="B723" s="2" t="s">
        <v>1980</v>
      </c>
      <c r="C723" s="2" t="s">
        <v>26</v>
      </c>
      <c r="D723" s="2" t="s">
        <v>18</v>
      </c>
      <c r="E723" s="5">
        <v>-30564</v>
      </c>
      <c r="F723" s="3" t="s">
        <v>963</v>
      </c>
      <c r="G723" s="3" t="s">
        <v>964</v>
      </c>
      <c r="H723" s="2" t="s">
        <v>21</v>
      </c>
      <c r="I723" s="2" t="s">
        <v>1981</v>
      </c>
      <c r="J723" s="3" t="str">
        <f>HYPERLINK("https://www.boe.es/gazeta/dias/1816/04/25/pdfs/GMD-1816-53.pdf#page=6","Abrir facsímil")</f>
        <v>Abrir facsímil</v>
      </c>
      <c r="K723" s="3" t="s">
        <v>23</v>
      </c>
    </row>
    <row r="724" spans="1:11" ht="42" customHeight="1">
      <c r="A724" s="2" t="s">
        <v>1982</v>
      </c>
      <c r="B724" s="2" t="s">
        <v>1983</v>
      </c>
      <c r="C724" s="2" t="s">
        <v>41</v>
      </c>
      <c r="D724" s="2" t="s">
        <v>56</v>
      </c>
      <c r="E724" s="5">
        <v>-30399</v>
      </c>
      <c r="F724" s="3" t="s">
        <v>57</v>
      </c>
      <c r="G724" s="3" t="s">
        <v>42</v>
      </c>
      <c r="H724" s="2" t="s">
        <v>21</v>
      </c>
      <c r="I724" s="2" t="s">
        <v>1984</v>
      </c>
      <c r="J724" s="3" t="str">
        <f>HYPERLINK("https://www.boe.es/gazeta/dias/1816/10/07/pdfs/GMD-1816-124E.pdf#page=8","Abrir facsímil")</f>
        <v>Abrir facsímil</v>
      </c>
      <c r="K724" s="3" t="s">
        <v>23</v>
      </c>
    </row>
    <row r="725" spans="1:11" ht="42" customHeight="1">
      <c r="A725" s="2" t="s">
        <v>1985</v>
      </c>
      <c r="B725" s="2" t="s">
        <v>1986</v>
      </c>
      <c r="C725" s="2" t="s">
        <v>26</v>
      </c>
      <c r="D725" s="2" t="s">
        <v>18</v>
      </c>
      <c r="E725" s="5">
        <v>-30557</v>
      </c>
      <c r="F725" s="3" t="s">
        <v>508</v>
      </c>
      <c r="G725" s="3" t="s">
        <v>103</v>
      </c>
      <c r="H725" s="2" t="s">
        <v>21</v>
      </c>
      <c r="I725" s="2" t="s">
        <v>1987</v>
      </c>
      <c r="J725" s="3" t="str">
        <f>HYPERLINK("https://www.boe.es/gazeta/dias/1816/05/02/pdfs/GMD-1816-56.pdf#page=4","Abrir facsímil")</f>
        <v>Abrir facsímil</v>
      </c>
      <c r="K725" s="3" t="s">
        <v>23</v>
      </c>
    </row>
    <row r="726" spans="1:11" ht="42" customHeight="1">
      <c r="A726" s="2" t="s">
        <v>1988</v>
      </c>
      <c r="B726" s="2" t="s">
        <v>1989</v>
      </c>
      <c r="C726" s="2" t="s">
        <v>41</v>
      </c>
      <c r="D726" s="2" t="s">
        <v>18</v>
      </c>
      <c r="E726" s="5">
        <v>-30618</v>
      </c>
      <c r="F726" s="3" t="s">
        <v>207</v>
      </c>
      <c r="G726" s="3" t="s">
        <v>1990</v>
      </c>
      <c r="H726" s="2" t="s">
        <v>21</v>
      </c>
      <c r="I726" s="2" t="s">
        <v>1991</v>
      </c>
      <c r="J726" s="3" t="str">
        <f>HYPERLINK("https://www.boe.es/gazeta/dias/1816/03/02/pdfs/GMD-1816-29.pdf#page=2","Abrir facsímil")</f>
        <v>Abrir facsímil</v>
      </c>
      <c r="K726" s="3" t="s">
        <v>23</v>
      </c>
    </row>
    <row r="727" spans="1:11" ht="42" customHeight="1">
      <c r="A727" s="2" t="s">
        <v>1992</v>
      </c>
      <c r="B727" s="2" t="s">
        <v>1992</v>
      </c>
      <c r="C727" s="2" t="s">
        <v>34</v>
      </c>
      <c r="D727" s="2" t="s">
        <v>35</v>
      </c>
      <c r="E727" s="5">
        <v>-30634</v>
      </c>
      <c r="F727" s="3" t="s">
        <v>1104</v>
      </c>
      <c r="G727" s="3" t="s">
        <v>58</v>
      </c>
      <c r="H727" s="2" t="s">
        <v>21</v>
      </c>
      <c r="I727" s="2" t="s">
        <v>1993</v>
      </c>
      <c r="J727" s="3" t="str">
        <f>HYPERLINK("https://www.boe.es/gazeta/dias/1816/02/15/pdfs/GMD-1816-21.pdf#page=1","Abrir facsímil")</f>
        <v>Abrir facsímil</v>
      </c>
      <c r="K727" s="3" t="s">
        <v>23</v>
      </c>
    </row>
    <row r="728" spans="1:11" ht="42" customHeight="1">
      <c r="A728" s="2" t="s">
        <v>1994</v>
      </c>
      <c r="B728" s="2" t="s">
        <v>1994</v>
      </c>
      <c r="C728" s="2" t="s">
        <v>387</v>
      </c>
      <c r="D728" s="2" t="s">
        <v>18</v>
      </c>
      <c r="E728" s="5">
        <v>-30569</v>
      </c>
      <c r="F728" s="3" t="s">
        <v>1859</v>
      </c>
      <c r="G728" s="3" t="s">
        <v>47</v>
      </c>
      <c r="H728" s="2" t="s">
        <v>21</v>
      </c>
      <c r="I728" s="2" t="s">
        <v>1995</v>
      </c>
      <c r="J728" s="3" t="str">
        <f>HYPERLINK("https://www.boe.es/gazeta/dias/1816/04/20/pdfs/GMD-1816-51.pdf#page=5","Abrir facsímil")</f>
        <v>Abrir facsímil</v>
      </c>
      <c r="K728" s="3" t="s">
        <v>23</v>
      </c>
    </row>
    <row r="729" spans="1:11" ht="42" customHeight="1">
      <c r="A729" s="2" t="s">
        <v>1996</v>
      </c>
      <c r="B729" s="2" t="s">
        <v>1996</v>
      </c>
      <c r="C729" s="2" t="s">
        <v>111</v>
      </c>
      <c r="D729" s="2" t="s">
        <v>112</v>
      </c>
      <c r="E729" s="5">
        <v>-30352</v>
      </c>
      <c r="F729" s="3" t="s">
        <v>407</v>
      </c>
      <c r="G729" s="3" t="s">
        <v>42</v>
      </c>
      <c r="H729" s="2" t="s">
        <v>21</v>
      </c>
      <c r="I729" s="2" t="s">
        <v>1997</v>
      </c>
      <c r="J729" s="3" t="str">
        <f>HYPERLINK("https://www.boe.es/gazeta/dias/1816/11/23/pdfs/GMD-1816-146.pdf#page=8","Abrir facsímil")</f>
        <v>Abrir facsímil</v>
      </c>
      <c r="K729" s="3" t="s">
        <v>23</v>
      </c>
    </row>
    <row r="730" spans="1:11" ht="42" customHeight="1">
      <c r="A730" s="2" t="s">
        <v>1998</v>
      </c>
      <c r="B730" s="2" t="s">
        <v>1998</v>
      </c>
      <c r="C730" s="2" t="s">
        <v>34</v>
      </c>
      <c r="D730" s="2" t="s">
        <v>35</v>
      </c>
      <c r="E730" s="5">
        <v>-30664</v>
      </c>
      <c r="F730" s="3" t="s">
        <v>1999</v>
      </c>
      <c r="G730" s="3" t="s">
        <v>270</v>
      </c>
      <c r="H730" s="2" t="s">
        <v>21</v>
      </c>
      <c r="I730" s="2" t="s">
        <v>2000</v>
      </c>
      <c r="J730" s="3" t="str">
        <f>HYPERLINK("https://www.boe.es/gazeta/dias/1816/01/16/pdfs/GMD-1816-7.pdf#page=2","Abrir facsímil")</f>
        <v>Abrir facsímil</v>
      </c>
      <c r="K730" s="3" t="s">
        <v>23</v>
      </c>
    </row>
    <row r="731" spans="1:11" ht="42" customHeight="1">
      <c r="A731" s="2" t="s">
        <v>2001</v>
      </c>
      <c r="B731" s="2" t="s">
        <v>2001</v>
      </c>
      <c r="C731" s="2" t="s">
        <v>34</v>
      </c>
      <c r="D731" s="2" t="s">
        <v>35</v>
      </c>
      <c r="E731" s="5">
        <v>-30601</v>
      </c>
      <c r="F731" s="3" t="s">
        <v>308</v>
      </c>
      <c r="G731" s="3" t="s">
        <v>28</v>
      </c>
      <c r="H731" s="2" t="s">
        <v>21</v>
      </c>
      <c r="I731" s="2" t="s">
        <v>2002</v>
      </c>
      <c r="J731" s="3" t="str">
        <f>HYPERLINK("https://www.boe.es/gazeta/dias/1816/03/19/pdfs/GMD-1816-37.pdf#page=6","Abrir facsímil")</f>
        <v>Abrir facsímil</v>
      </c>
      <c r="K731" s="3" t="s">
        <v>23</v>
      </c>
    </row>
    <row r="732" spans="1:11" ht="42" customHeight="1">
      <c r="A732" s="2" t="s">
        <v>2001</v>
      </c>
      <c r="B732" s="2" t="s">
        <v>2001</v>
      </c>
      <c r="C732" s="2" t="s">
        <v>34</v>
      </c>
      <c r="D732" s="2" t="s">
        <v>35</v>
      </c>
      <c r="E732" s="5">
        <v>-30594</v>
      </c>
      <c r="F732" s="3" t="s">
        <v>234</v>
      </c>
      <c r="G732" s="3" t="s">
        <v>184</v>
      </c>
      <c r="H732" s="2" t="s">
        <v>21</v>
      </c>
      <c r="I732" s="2" t="s">
        <v>2003</v>
      </c>
      <c r="J732" s="3" t="str">
        <f>HYPERLINK("https://www.boe.es/gazeta/dias/1816/03/26/pdfs/GMD-1816-40.pdf#page=3","Abrir facsímil")</f>
        <v>Abrir facsímil</v>
      </c>
      <c r="K732" s="3" t="s">
        <v>23</v>
      </c>
    </row>
    <row r="733" spans="1:11" ht="42" customHeight="1">
      <c r="A733" s="2" t="s">
        <v>2001</v>
      </c>
      <c r="B733" s="2" t="s">
        <v>2001</v>
      </c>
      <c r="C733" s="2" t="s">
        <v>34</v>
      </c>
      <c r="D733" s="2" t="s">
        <v>35</v>
      </c>
      <c r="E733" s="5">
        <v>-30583</v>
      </c>
      <c r="F733" s="3" t="s">
        <v>241</v>
      </c>
      <c r="G733" s="3" t="s">
        <v>184</v>
      </c>
      <c r="H733" s="2" t="s">
        <v>21</v>
      </c>
      <c r="I733" s="2" t="s">
        <v>2004</v>
      </c>
      <c r="J733" s="3" t="str">
        <f>HYPERLINK("https://www.boe.es/gazeta/dias/1816/04/06/pdfs/GMD-1816-45.pdf#page=3","Abrir facsímil")</f>
        <v>Abrir facsímil</v>
      </c>
      <c r="K733" s="3" t="s">
        <v>23</v>
      </c>
    </row>
    <row r="734" spans="1:11" ht="42" customHeight="1">
      <c r="A734" s="2" t="s">
        <v>2001</v>
      </c>
      <c r="B734" s="2" t="s">
        <v>2001</v>
      </c>
      <c r="C734" s="2" t="s">
        <v>34</v>
      </c>
      <c r="D734" s="2" t="s">
        <v>35</v>
      </c>
      <c r="E734" s="5">
        <v>-30576</v>
      </c>
      <c r="F734" s="3" t="s">
        <v>353</v>
      </c>
      <c r="G734" s="3" t="s">
        <v>270</v>
      </c>
      <c r="H734" s="2" t="s">
        <v>21</v>
      </c>
      <c r="I734" s="2" t="s">
        <v>2005</v>
      </c>
      <c r="J734" s="3" t="str">
        <f>HYPERLINK("https://www.boe.es/gazeta/dias/1816/04/13/pdfs/GMD-1816-48.pdf#page=2","Abrir facsímil")</f>
        <v>Abrir facsímil</v>
      </c>
      <c r="K734" s="3" t="s">
        <v>23</v>
      </c>
    </row>
    <row r="735" spans="1:11" ht="42" customHeight="1">
      <c r="A735" s="2" t="s">
        <v>2001</v>
      </c>
      <c r="B735" s="2" t="s">
        <v>2001</v>
      </c>
      <c r="C735" s="2" t="s">
        <v>34</v>
      </c>
      <c r="D735" s="2" t="s">
        <v>35</v>
      </c>
      <c r="E735" s="5">
        <v>-30576</v>
      </c>
      <c r="F735" s="3" t="s">
        <v>353</v>
      </c>
      <c r="G735" s="3" t="s">
        <v>103</v>
      </c>
      <c r="H735" s="2" t="s">
        <v>21</v>
      </c>
      <c r="I735" s="2" t="s">
        <v>2006</v>
      </c>
      <c r="J735" s="3" t="str">
        <f>HYPERLINK("https://www.boe.es/gazeta/dias/1816/04/13/pdfs/GMD-1816-48.pdf#page=4","Abrir facsímil")</f>
        <v>Abrir facsímil</v>
      </c>
      <c r="K735" s="3" t="s">
        <v>23</v>
      </c>
    </row>
    <row r="736" spans="1:11" ht="42" customHeight="1">
      <c r="A736" s="2" t="s">
        <v>2007</v>
      </c>
      <c r="B736" s="2" t="s">
        <v>2008</v>
      </c>
      <c r="C736" s="2" t="s">
        <v>26</v>
      </c>
      <c r="D736" s="2" t="s">
        <v>18</v>
      </c>
      <c r="E736" s="5">
        <v>-30377</v>
      </c>
      <c r="F736" s="3" t="s">
        <v>138</v>
      </c>
      <c r="G736" s="3" t="s">
        <v>47</v>
      </c>
      <c r="H736" s="2" t="s">
        <v>21</v>
      </c>
      <c r="I736" s="2" t="s">
        <v>2009</v>
      </c>
      <c r="J736" s="3" t="str">
        <f>HYPERLINK("https://www.boe.es/gazeta/dias/1816/10/29/pdfs/GMD-1816-135.pdf#page=5","Abrir facsímil")</f>
        <v>Abrir facsímil</v>
      </c>
      <c r="K736" s="3" t="s">
        <v>23</v>
      </c>
    </row>
    <row r="737" spans="1:11" ht="42" customHeight="1">
      <c r="A737" s="2" t="s">
        <v>2010</v>
      </c>
      <c r="B737" s="2" t="s">
        <v>2011</v>
      </c>
      <c r="C737" s="2" t="s">
        <v>26</v>
      </c>
      <c r="D737" s="2" t="s">
        <v>18</v>
      </c>
      <c r="E737" s="5">
        <v>-30349</v>
      </c>
      <c r="F737" s="3" t="s">
        <v>360</v>
      </c>
      <c r="G737" s="3" t="s">
        <v>47</v>
      </c>
      <c r="H737" s="2" t="s">
        <v>21</v>
      </c>
      <c r="I737" s="2" t="s">
        <v>2012</v>
      </c>
      <c r="J737" s="3" t="str">
        <f>HYPERLINK("https://www.boe.es/gazeta/dias/1816/11/26/pdfs/GMD-1816-147.pdf#page=5","Abrir facsímil")</f>
        <v>Abrir facsímil</v>
      </c>
      <c r="K737" s="3" t="s">
        <v>23</v>
      </c>
    </row>
    <row r="738" spans="1:11" ht="42" customHeight="1">
      <c r="A738" s="2" t="s">
        <v>2013</v>
      </c>
      <c r="B738" s="2" t="s">
        <v>2014</v>
      </c>
      <c r="C738" s="2" t="s">
        <v>26</v>
      </c>
      <c r="D738" s="2" t="s">
        <v>56</v>
      </c>
      <c r="E738" s="5">
        <v>-30399</v>
      </c>
      <c r="F738" s="3" t="s">
        <v>57</v>
      </c>
      <c r="G738" s="3" t="s">
        <v>72</v>
      </c>
      <c r="H738" s="2" t="s">
        <v>21</v>
      </c>
      <c r="I738" s="2" t="s">
        <v>2015</v>
      </c>
      <c r="J738" s="3" t="str">
        <f>HYPERLINK("https://www.boe.es/gazeta/dias/1816/10/07/pdfs/GMD-1816-124E.pdf#page=7","Abrir facsímil")</f>
        <v>Abrir facsímil</v>
      </c>
      <c r="K738" s="3" t="s">
        <v>23</v>
      </c>
    </row>
    <row r="739" spans="1:11" ht="42" customHeight="1">
      <c r="A739" s="2" t="s">
        <v>2016</v>
      </c>
      <c r="B739" s="2" t="s">
        <v>2017</v>
      </c>
      <c r="C739" s="2" t="s">
        <v>387</v>
      </c>
      <c r="D739" s="2" t="s">
        <v>18</v>
      </c>
      <c r="E739" s="5">
        <v>-30492</v>
      </c>
      <c r="F739" s="3" t="s">
        <v>248</v>
      </c>
      <c r="G739" s="3" t="s">
        <v>1044</v>
      </c>
      <c r="H739" s="2" t="s">
        <v>21</v>
      </c>
      <c r="I739" s="2" t="s">
        <v>2018</v>
      </c>
      <c r="J739" s="3" t="str">
        <f>HYPERLINK("https://www.boe.es/gazeta/dias/1816/07/06/pdfs/GMD-1816-84.pdf#page=7","Abrir facsímil")</f>
        <v>Abrir facsímil</v>
      </c>
      <c r="K739" s="3" t="s">
        <v>23</v>
      </c>
    </row>
    <row r="740" spans="1:11" ht="42" customHeight="1">
      <c r="A740" s="2" t="s">
        <v>2019</v>
      </c>
      <c r="B740" s="2" t="s">
        <v>2020</v>
      </c>
      <c r="C740" s="2" t="s">
        <v>111</v>
      </c>
      <c r="D740" s="2" t="s">
        <v>112</v>
      </c>
      <c r="E740" s="5">
        <v>-30373</v>
      </c>
      <c r="F740" s="3" t="s">
        <v>1280</v>
      </c>
      <c r="G740" s="3" t="s">
        <v>1281</v>
      </c>
      <c r="H740" s="2" t="s">
        <v>21</v>
      </c>
      <c r="I740" s="2" t="s">
        <v>2021</v>
      </c>
      <c r="J740" s="3" t="str">
        <f>HYPERLINK("https://www.boe.es/gazeta/dias/1816/11/02/pdfs/GMD-1816-137.pdf#page=6","Abrir facsímil")</f>
        <v>Abrir facsímil</v>
      </c>
      <c r="K740" s="3" t="s">
        <v>23</v>
      </c>
    </row>
    <row r="741" spans="1:11" ht="42" customHeight="1">
      <c r="A741" s="2" t="s">
        <v>2019</v>
      </c>
      <c r="B741" s="2" t="s">
        <v>2020</v>
      </c>
      <c r="C741" s="2" t="s">
        <v>67</v>
      </c>
      <c r="D741" s="2" t="s">
        <v>18</v>
      </c>
      <c r="E741" s="5">
        <v>-30359</v>
      </c>
      <c r="F741" s="3" t="s">
        <v>812</v>
      </c>
      <c r="G741" s="3" t="s">
        <v>813</v>
      </c>
      <c r="H741" s="2" t="s">
        <v>21</v>
      </c>
      <c r="I741" s="2" t="s">
        <v>2022</v>
      </c>
      <c r="J741" s="3" t="str">
        <f>HYPERLINK("https://www.boe.es/gazeta/dias/1816/11/16/pdfs/GMD-1816-143.pdf#page=8","Abrir facsímil")</f>
        <v>Abrir facsímil</v>
      </c>
      <c r="K741" s="3" t="s">
        <v>23</v>
      </c>
    </row>
    <row r="742" spans="1:11" ht="42" customHeight="1">
      <c r="A742" s="2" t="s">
        <v>2019</v>
      </c>
      <c r="B742" s="2" t="s">
        <v>2020</v>
      </c>
      <c r="C742" s="2" t="s">
        <v>26</v>
      </c>
      <c r="D742" s="2" t="s">
        <v>18</v>
      </c>
      <c r="E742" s="5">
        <v>-30356</v>
      </c>
      <c r="F742" s="3" t="s">
        <v>824</v>
      </c>
      <c r="G742" s="3" t="s">
        <v>28</v>
      </c>
      <c r="H742" s="2" t="s">
        <v>21</v>
      </c>
      <c r="I742" s="2" t="s">
        <v>2023</v>
      </c>
      <c r="J742" s="3" t="str">
        <f>HYPERLINK("https://www.boe.es/gazeta/dias/1816/11/19/pdfs/GMD-1816-144.pdf#page=6","Abrir facsímil")</f>
        <v>Abrir facsímil</v>
      </c>
      <c r="K742" s="3" t="s">
        <v>23</v>
      </c>
    </row>
    <row r="743" spans="1:11" ht="42" customHeight="1">
      <c r="A743" s="2" t="s">
        <v>2019</v>
      </c>
      <c r="B743" s="2" t="s">
        <v>2020</v>
      </c>
      <c r="C743" s="2" t="s">
        <v>26</v>
      </c>
      <c r="D743" s="2" t="s">
        <v>18</v>
      </c>
      <c r="E743" s="5">
        <v>-30335</v>
      </c>
      <c r="F743" s="3" t="s">
        <v>468</v>
      </c>
      <c r="G743" s="3" t="s">
        <v>1463</v>
      </c>
      <c r="H743" s="2" t="s">
        <v>21</v>
      </c>
      <c r="I743" s="2" t="s">
        <v>2024</v>
      </c>
      <c r="J743" s="3" t="str">
        <f>HYPERLINK("https://www.boe.es/gazeta/dias/1816/12/10/pdfs/GMD-1816-153.pdf#page=6","Abrir facsímil")</f>
        <v>Abrir facsímil</v>
      </c>
      <c r="K743" s="3" t="s">
        <v>23</v>
      </c>
    </row>
    <row r="744" spans="1:11" ht="42" customHeight="1">
      <c r="A744" s="2" t="s">
        <v>2019</v>
      </c>
      <c r="B744" s="2" t="s">
        <v>2020</v>
      </c>
      <c r="C744" s="2" t="s">
        <v>111</v>
      </c>
      <c r="D744" s="2" t="s">
        <v>112</v>
      </c>
      <c r="E744" s="5">
        <v>-30331</v>
      </c>
      <c r="F744" s="3" t="s">
        <v>315</v>
      </c>
      <c r="G744" s="3" t="s">
        <v>47</v>
      </c>
      <c r="H744" s="2" t="s">
        <v>21</v>
      </c>
      <c r="I744" s="2" t="s">
        <v>2025</v>
      </c>
      <c r="J744" s="3" t="str">
        <f>HYPERLINK("https://www.boe.es/gazeta/dias/1816/12/14/pdfs/GMD-1816-155.pdf#page=5","Abrir facsímil")</f>
        <v>Abrir facsímil</v>
      </c>
      <c r="K744" s="3" t="s">
        <v>23</v>
      </c>
    </row>
    <row r="745" spans="1:11" ht="42" customHeight="1">
      <c r="A745" s="2" t="s">
        <v>2019</v>
      </c>
      <c r="B745" s="2" t="s">
        <v>2020</v>
      </c>
      <c r="C745" s="2" t="s">
        <v>26</v>
      </c>
      <c r="D745" s="2" t="s">
        <v>18</v>
      </c>
      <c r="E745" s="5">
        <v>-30317</v>
      </c>
      <c r="F745" s="3" t="s">
        <v>1030</v>
      </c>
      <c r="G745" s="3" t="s">
        <v>47</v>
      </c>
      <c r="H745" s="2" t="s">
        <v>21</v>
      </c>
      <c r="I745" s="2" t="s">
        <v>2026</v>
      </c>
      <c r="J745" s="3" t="str">
        <f>HYPERLINK("https://www.boe.es/gazeta/dias/1816/12/28/pdfs/GMD-1816-161.pdf#page=5","Abrir facsímil")</f>
        <v>Abrir facsímil</v>
      </c>
      <c r="K745" s="3" t="s">
        <v>23</v>
      </c>
    </row>
    <row r="746" spans="1:11" ht="42" customHeight="1">
      <c r="A746" s="2" t="s">
        <v>2019</v>
      </c>
      <c r="B746" s="2" t="s">
        <v>2020</v>
      </c>
      <c r="C746" s="2" t="s">
        <v>111</v>
      </c>
      <c r="D746" s="2" t="s">
        <v>112</v>
      </c>
      <c r="E746" s="5">
        <v>-30314</v>
      </c>
      <c r="F746" s="3" t="s">
        <v>1899</v>
      </c>
      <c r="G746" s="3" t="s">
        <v>2027</v>
      </c>
      <c r="H746" s="2" t="s">
        <v>21</v>
      </c>
      <c r="I746" s="2" t="s">
        <v>2028</v>
      </c>
      <c r="J746" s="3" t="str">
        <f>HYPERLINK("https://www.boe.es/gazeta/dias/1816/12/31/pdfs/GMD-1816-162.pdf#page=6","Abrir facsímil")</f>
        <v>Abrir facsímil</v>
      </c>
      <c r="K746" s="3" t="s">
        <v>23</v>
      </c>
    </row>
    <row r="747" spans="1:11" ht="42" customHeight="1">
      <c r="A747" s="2" t="s">
        <v>2029</v>
      </c>
      <c r="B747" s="2" t="s">
        <v>2030</v>
      </c>
      <c r="C747" s="2" t="s">
        <v>26</v>
      </c>
      <c r="D747" s="2" t="s">
        <v>18</v>
      </c>
      <c r="E747" s="5">
        <v>-30331</v>
      </c>
      <c r="F747" s="3" t="s">
        <v>315</v>
      </c>
      <c r="G747" s="3" t="s">
        <v>47</v>
      </c>
      <c r="H747" s="2" t="s">
        <v>21</v>
      </c>
      <c r="I747" s="2" t="s">
        <v>2031</v>
      </c>
      <c r="J747" s="3" t="str">
        <f>HYPERLINK("https://www.boe.es/gazeta/dias/1816/12/14/pdfs/GMD-1816-155.pdf#page=5","Abrir facsímil")</f>
        <v>Abrir facsímil</v>
      </c>
      <c r="K747" s="3" t="s">
        <v>23</v>
      </c>
    </row>
    <row r="748" spans="1:11" ht="42" customHeight="1">
      <c r="A748" s="2" t="s">
        <v>2032</v>
      </c>
      <c r="B748" s="2" t="s">
        <v>2033</v>
      </c>
      <c r="C748" s="2" t="s">
        <v>26</v>
      </c>
      <c r="D748" s="2" t="s">
        <v>18</v>
      </c>
      <c r="E748" s="5">
        <v>-30431</v>
      </c>
      <c r="F748" s="3" t="s">
        <v>756</v>
      </c>
      <c r="G748" s="3" t="s">
        <v>72</v>
      </c>
      <c r="H748" s="2" t="s">
        <v>21</v>
      </c>
      <c r="I748" s="2" t="s">
        <v>2034</v>
      </c>
      <c r="J748" s="3" t="str">
        <f>HYPERLINK("https://www.boe.es/gazeta/dias/1816/09/05/pdfs/GMD-1816-110.pdf#page=7","Abrir facsímil")</f>
        <v>Abrir facsímil</v>
      </c>
      <c r="K748" s="3" t="s">
        <v>23</v>
      </c>
    </row>
    <row r="749" spans="1:11" ht="42" customHeight="1">
      <c r="A749" s="2" t="s">
        <v>2035</v>
      </c>
      <c r="B749" s="2" t="s">
        <v>2035</v>
      </c>
      <c r="C749" s="2" t="s">
        <v>111</v>
      </c>
      <c r="D749" s="2" t="s">
        <v>112</v>
      </c>
      <c r="E749" s="5">
        <v>-30576</v>
      </c>
      <c r="F749" s="3" t="s">
        <v>353</v>
      </c>
      <c r="G749" s="3" t="s">
        <v>270</v>
      </c>
      <c r="H749" s="2" t="s">
        <v>21</v>
      </c>
      <c r="I749" s="2" t="s">
        <v>2036</v>
      </c>
      <c r="J749" s="3" t="str">
        <f>HYPERLINK("https://www.boe.es/gazeta/dias/1816/04/13/pdfs/GMD-1816-48.pdf#page=2","Abrir facsímil")</f>
        <v>Abrir facsímil</v>
      </c>
      <c r="K749" s="3" t="s">
        <v>23</v>
      </c>
    </row>
    <row r="750" spans="1:11" ht="42" customHeight="1">
      <c r="A750" s="2" t="s">
        <v>2037</v>
      </c>
      <c r="B750" s="2" t="s">
        <v>2037</v>
      </c>
      <c r="C750" s="2" t="s">
        <v>34</v>
      </c>
      <c r="D750" s="2" t="s">
        <v>35</v>
      </c>
      <c r="E750" s="5">
        <v>-30443</v>
      </c>
      <c r="F750" s="3" t="s">
        <v>259</v>
      </c>
      <c r="G750" s="3" t="s">
        <v>270</v>
      </c>
      <c r="H750" s="2" t="s">
        <v>21</v>
      </c>
      <c r="I750" s="2" t="s">
        <v>2038</v>
      </c>
      <c r="J750" s="3" t="str">
        <f>HYPERLINK("https://www.boe.es/gazeta/dias/1816/08/24/pdfs/GMD-1816-105.pdf#page=2","Abrir facsímil")</f>
        <v>Abrir facsímil</v>
      </c>
      <c r="K750" s="3" t="s">
        <v>23</v>
      </c>
    </row>
    <row r="751" spans="1:11" ht="42" customHeight="1">
      <c r="A751" s="2" t="s">
        <v>2039</v>
      </c>
      <c r="B751" s="2" t="s">
        <v>2040</v>
      </c>
      <c r="C751" s="2" t="s">
        <v>34</v>
      </c>
      <c r="D751" s="2" t="s">
        <v>35</v>
      </c>
      <c r="E751" s="5">
        <v>-30632</v>
      </c>
      <c r="F751" s="3" t="s">
        <v>89</v>
      </c>
      <c r="G751" s="3" t="s">
        <v>42</v>
      </c>
      <c r="H751" s="2" t="s">
        <v>21</v>
      </c>
      <c r="I751" s="2" t="s">
        <v>2041</v>
      </c>
      <c r="J751" s="3" t="str">
        <f>HYPERLINK("https://www.boe.es/gazeta/dias/1816/02/17/pdfs/GMD-1816-22.pdf#page=8","Abrir facsímil")</f>
        <v>Abrir facsímil</v>
      </c>
      <c r="K751" s="3" t="s">
        <v>23</v>
      </c>
    </row>
    <row r="752" spans="1:11" ht="42" customHeight="1">
      <c r="A752" s="2" t="s">
        <v>2042</v>
      </c>
      <c r="B752" s="2" t="s">
        <v>2042</v>
      </c>
      <c r="C752" s="2" t="s">
        <v>34</v>
      </c>
      <c r="D752" s="2" t="s">
        <v>35</v>
      </c>
      <c r="E752" s="5">
        <v>-30676</v>
      </c>
      <c r="F752" s="3" t="s">
        <v>1932</v>
      </c>
      <c r="G752" s="3" t="s">
        <v>2043</v>
      </c>
      <c r="H752" s="2" t="s">
        <v>21</v>
      </c>
      <c r="I752" s="2" t="s">
        <v>2044</v>
      </c>
      <c r="J752" s="3" t="str">
        <f>HYPERLINK("https://www.boe.es/gazeta/dias/1816/01/04/pdfs/GMD-1816-2.pdf#page=4","Abrir facsímil")</f>
        <v>Abrir facsímil</v>
      </c>
      <c r="K752" s="3" t="s">
        <v>23</v>
      </c>
    </row>
    <row r="753" spans="1:11" ht="42" customHeight="1">
      <c r="A753" s="2" t="s">
        <v>2045</v>
      </c>
      <c r="B753" s="2" t="s">
        <v>2046</v>
      </c>
      <c r="C753" s="2" t="s">
        <v>34</v>
      </c>
      <c r="D753" s="2" t="s">
        <v>35</v>
      </c>
      <c r="E753" s="5">
        <v>-30487</v>
      </c>
      <c r="F753" s="3" t="s">
        <v>397</v>
      </c>
      <c r="G753" s="3" t="s">
        <v>175</v>
      </c>
      <c r="H753" s="2" t="s">
        <v>21</v>
      </c>
      <c r="I753" s="2" t="s">
        <v>2047</v>
      </c>
      <c r="J753" s="3" t="str">
        <f>HYPERLINK("https://www.boe.es/gazeta/dias/1816/07/11/pdfs/GMD-1816-86.pdf#page=11","Abrir facsímil")</f>
        <v>Abrir facsímil</v>
      </c>
      <c r="K753" s="3" t="s">
        <v>23</v>
      </c>
    </row>
    <row r="754" spans="1:11" ht="42" customHeight="1">
      <c r="A754" s="2" t="s">
        <v>2048</v>
      </c>
      <c r="B754" s="2" t="s">
        <v>2048</v>
      </c>
      <c r="C754" s="2" t="s">
        <v>111</v>
      </c>
      <c r="D754" s="2" t="s">
        <v>112</v>
      </c>
      <c r="E754" s="5">
        <v>-30671</v>
      </c>
      <c r="F754" s="3" t="s">
        <v>2049</v>
      </c>
      <c r="G754" s="3" t="s">
        <v>47</v>
      </c>
      <c r="H754" s="2" t="s">
        <v>21</v>
      </c>
      <c r="I754" s="2" t="s">
        <v>2050</v>
      </c>
      <c r="J754" s="3" t="str">
        <f>HYPERLINK("https://www.boe.es/gazeta/dias/1816/01/09/pdfs/GMD-1816-4.pdf#page=5","Abrir facsímil")</f>
        <v>Abrir facsímil</v>
      </c>
      <c r="K754" s="3" t="s">
        <v>23</v>
      </c>
    </row>
    <row r="755" spans="1:11" ht="42" customHeight="1">
      <c r="A755" s="2" t="s">
        <v>2051</v>
      </c>
      <c r="B755" s="2" t="s">
        <v>2051</v>
      </c>
      <c r="C755" s="2" t="s">
        <v>26</v>
      </c>
      <c r="D755" s="2" t="s">
        <v>18</v>
      </c>
      <c r="E755" s="5">
        <v>-30398</v>
      </c>
      <c r="F755" s="3" t="s">
        <v>447</v>
      </c>
      <c r="G755" s="3" t="s">
        <v>270</v>
      </c>
      <c r="H755" s="2" t="s">
        <v>21</v>
      </c>
      <c r="I755" s="2" t="s">
        <v>2052</v>
      </c>
      <c r="J755" s="3" t="str">
        <f>HYPERLINK("https://www.boe.es/gazeta/dias/1816/10/08/pdfs/GMD-1816-125.pdf#page=2","Abrir facsímil")</f>
        <v>Abrir facsímil</v>
      </c>
      <c r="K755" s="3" t="s">
        <v>23</v>
      </c>
    </row>
    <row r="756" spans="1:11" ht="42" customHeight="1">
      <c r="A756" s="2" t="s">
        <v>2053</v>
      </c>
      <c r="B756" s="2" t="s">
        <v>2054</v>
      </c>
      <c r="C756" s="2" t="s">
        <v>41</v>
      </c>
      <c r="D756" s="2" t="s">
        <v>18</v>
      </c>
      <c r="E756" s="5">
        <v>-30417</v>
      </c>
      <c r="F756" s="3" t="s">
        <v>62</v>
      </c>
      <c r="G756" s="3" t="s">
        <v>63</v>
      </c>
      <c r="H756" s="2" t="s">
        <v>21</v>
      </c>
      <c r="I756" s="2" t="s">
        <v>2055</v>
      </c>
      <c r="J756" s="3" t="str">
        <f>HYPERLINK("https://www.boe.es/gazeta/dias/1816/09/19/pdfs/GMD-1816-116.pdf#page=8","Abrir facsímil")</f>
        <v>Abrir facsímil</v>
      </c>
      <c r="K756" s="3" t="s">
        <v>23</v>
      </c>
    </row>
    <row r="757" spans="1:11" ht="42" customHeight="1">
      <c r="A757" s="2" t="s">
        <v>2056</v>
      </c>
      <c r="B757" s="2" t="s">
        <v>2056</v>
      </c>
      <c r="C757" s="2" t="s">
        <v>34</v>
      </c>
      <c r="D757" s="2" t="s">
        <v>35</v>
      </c>
      <c r="E757" s="5">
        <v>-30398</v>
      </c>
      <c r="F757" s="3" t="s">
        <v>447</v>
      </c>
      <c r="G757" s="3" t="s">
        <v>2057</v>
      </c>
      <c r="H757" s="2" t="s">
        <v>21</v>
      </c>
      <c r="I757" s="2" t="s">
        <v>2058</v>
      </c>
      <c r="J757" s="3" t="str">
        <f>HYPERLINK("https://www.boe.es/gazeta/dias/1816/10/08/pdfs/GMD-1816-125.pdf#page=3","Abrir facsímil")</f>
        <v>Abrir facsímil</v>
      </c>
      <c r="K757" s="3" t="s">
        <v>23</v>
      </c>
    </row>
    <row r="758" spans="1:11" ht="42" customHeight="1">
      <c r="A758" s="2" t="s">
        <v>2059</v>
      </c>
      <c r="B758" s="2" t="s">
        <v>2059</v>
      </c>
      <c r="C758" s="2" t="s">
        <v>34</v>
      </c>
      <c r="D758" s="2" t="s">
        <v>35</v>
      </c>
      <c r="E758" s="5">
        <v>-30424</v>
      </c>
      <c r="F758" s="3" t="s">
        <v>142</v>
      </c>
      <c r="G758" s="3" t="s">
        <v>180</v>
      </c>
      <c r="H758" s="2" t="s">
        <v>21</v>
      </c>
      <c r="I758" s="2" t="s">
        <v>2060</v>
      </c>
      <c r="J758" s="3" t="str">
        <f>HYPERLINK("https://www.boe.es/gazeta/dias/1816/09/12/pdfs/GMD-1816-113.pdf#page=10","Abrir facsímil")</f>
        <v>Abrir facsímil</v>
      </c>
      <c r="K758" s="3" t="s">
        <v>23</v>
      </c>
    </row>
    <row r="759" spans="1:11" ht="42" customHeight="1">
      <c r="A759" s="2" t="s">
        <v>2061</v>
      </c>
      <c r="B759" s="2" t="s">
        <v>2062</v>
      </c>
      <c r="C759" s="2" t="s">
        <v>26</v>
      </c>
      <c r="D759" s="2" t="s">
        <v>18</v>
      </c>
      <c r="E759" s="5">
        <v>-30536</v>
      </c>
      <c r="F759" s="3" t="s">
        <v>580</v>
      </c>
      <c r="G759" s="3" t="s">
        <v>47</v>
      </c>
      <c r="H759" s="2" t="s">
        <v>21</v>
      </c>
      <c r="I759" s="2" t="s">
        <v>2063</v>
      </c>
      <c r="J759" s="3" t="str">
        <f>HYPERLINK("https://www.boe.es/gazeta/dias/1816/05/23/pdfs/GMD-1816-65.pdf#page=5","Abrir facsímil")</f>
        <v>Abrir facsímil</v>
      </c>
      <c r="K759" s="3" t="s">
        <v>23</v>
      </c>
    </row>
    <row r="760" spans="1:11" ht="42" customHeight="1">
      <c r="A760" s="2" t="s">
        <v>2064</v>
      </c>
      <c r="B760" s="2" t="s">
        <v>2065</v>
      </c>
      <c r="C760" s="2" t="s">
        <v>26</v>
      </c>
      <c r="D760" s="2" t="s">
        <v>18</v>
      </c>
      <c r="E760" s="5">
        <v>-30573</v>
      </c>
      <c r="F760" s="3" t="s">
        <v>840</v>
      </c>
      <c r="G760" s="3" t="s">
        <v>184</v>
      </c>
      <c r="H760" s="2" t="s">
        <v>29</v>
      </c>
      <c r="I760" s="2" t="s">
        <v>2066</v>
      </c>
      <c r="J760" s="3" t="str">
        <f>HYPERLINK("https://www.boe.es/gazeta/dias/1816/04/16/pdfs/GMD-1816-49.pdf#page=3","Abrir facsímil")</f>
        <v>Abrir facsímil</v>
      </c>
      <c r="K760" s="3" t="s">
        <v>31</v>
      </c>
    </row>
    <row r="761" spans="1:11" ht="42" customHeight="1">
      <c r="A761" s="2" t="s">
        <v>2067</v>
      </c>
      <c r="B761" s="2" t="s">
        <v>2067</v>
      </c>
      <c r="C761" s="2" t="s">
        <v>34</v>
      </c>
      <c r="D761" s="2" t="s">
        <v>35</v>
      </c>
      <c r="E761" s="5">
        <v>-30650</v>
      </c>
      <c r="F761" s="3" t="s">
        <v>1170</v>
      </c>
      <c r="G761" s="3" t="s">
        <v>103</v>
      </c>
      <c r="H761" s="2" t="s">
        <v>21</v>
      </c>
      <c r="I761" s="2" t="s">
        <v>2068</v>
      </c>
      <c r="J761" s="3" t="str">
        <f>HYPERLINK("https://www.boe.es/gazeta/dias/1816/01/30/pdfs/GMD-1816-14.pdf#page=4","Abrir facsímil")</f>
        <v>Abrir facsímil</v>
      </c>
      <c r="K761" s="3" t="s">
        <v>23</v>
      </c>
    </row>
    <row r="762" spans="1:11" ht="42" customHeight="1">
      <c r="A762" s="2" t="s">
        <v>2069</v>
      </c>
      <c r="B762" s="2" t="s">
        <v>2070</v>
      </c>
      <c r="C762" s="2" t="s">
        <v>41</v>
      </c>
      <c r="D762" s="2" t="s">
        <v>18</v>
      </c>
      <c r="E762" s="5">
        <v>-30494</v>
      </c>
      <c r="F762" s="3" t="s">
        <v>174</v>
      </c>
      <c r="G762" s="3" t="s">
        <v>175</v>
      </c>
      <c r="H762" s="2" t="s">
        <v>21</v>
      </c>
      <c r="I762" s="2" t="s">
        <v>2071</v>
      </c>
      <c r="J762" s="3" t="str">
        <f>HYPERLINK("https://www.boe.es/gazeta/dias/1816/07/04/pdfs/GMD-1816-83.pdf#page=11","Abrir facsímil")</f>
        <v>Abrir facsímil</v>
      </c>
      <c r="K762" s="3" t="s">
        <v>23</v>
      </c>
    </row>
    <row r="763" spans="1:11" ht="42" customHeight="1">
      <c r="A763" s="2" t="s">
        <v>2072</v>
      </c>
      <c r="B763" s="2" t="s">
        <v>2072</v>
      </c>
      <c r="C763" s="2" t="s">
        <v>34</v>
      </c>
      <c r="D763" s="2" t="s">
        <v>35</v>
      </c>
      <c r="E763" s="5">
        <v>-30468</v>
      </c>
      <c r="F763" s="3" t="s">
        <v>383</v>
      </c>
      <c r="G763" s="3" t="s">
        <v>184</v>
      </c>
      <c r="H763" s="2" t="s">
        <v>21</v>
      </c>
      <c r="I763" s="2" t="s">
        <v>2073</v>
      </c>
      <c r="J763" s="3" t="str">
        <f>HYPERLINK("https://www.boe.es/gazeta/dias/1816/07/30/pdfs/GMD-1816-94.pdf#page=3","Abrir facsímil")</f>
        <v>Abrir facsímil</v>
      </c>
      <c r="K763" s="3" t="s">
        <v>23</v>
      </c>
    </row>
    <row r="764" spans="1:11" ht="42" customHeight="1">
      <c r="A764" s="2" t="s">
        <v>2074</v>
      </c>
      <c r="B764" s="2" t="s">
        <v>2075</v>
      </c>
      <c r="C764" s="2" t="s">
        <v>67</v>
      </c>
      <c r="D764" s="2" t="s">
        <v>18</v>
      </c>
      <c r="E764" s="5">
        <v>-30370</v>
      </c>
      <c r="F764" s="3" t="s">
        <v>669</v>
      </c>
      <c r="G764" s="3" t="s">
        <v>2076</v>
      </c>
      <c r="H764" s="2" t="s">
        <v>21</v>
      </c>
      <c r="I764" s="2" t="s">
        <v>2077</v>
      </c>
      <c r="J764" s="3" t="str">
        <f>HYPERLINK("https://www.boe.es/gazeta/dias/1816/11/05/pdfs/GMD-1816-138.pdf#page=8","Abrir facsímil")</f>
        <v>Abrir facsímil</v>
      </c>
      <c r="K764" s="3" t="s">
        <v>23</v>
      </c>
    </row>
    <row r="765" spans="1:11" ht="42" customHeight="1">
      <c r="A765" s="2" t="s">
        <v>2078</v>
      </c>
      <c r="B765" s="2" t="s">
        <v>2079</v>
      </c>
      <c r="C765" s="2" t="s">
        <v>111</v>
      </c>
      <c r="D765" s="2" t="s">
        <v>112</v>
      </c>
      <c r="E765" s="5">
        <v>-30480</v>
      </c>
      <c r="F765" s="3" t="s">
        <v>147</v>
      </c>
      <c r="G765" s="3" t="s">
        <v>28</v>
      </c>
      <c r="H765" s="2" t="s">
        <v>21</v>
      </c>
      <c r="I765" s="2" t="s">
        <v>2080</v>
      </c>
      <c r="J765" s="3" t="str">
        <f>HYPERLINK("https://www.boe.es/gazeta/dias/1816/07/18/pdfs/GMD-1816-89.pdf#page=6","Abrir facsímil")</f>
        <v>Abrir facsímil</v>
      </c>
      <c r="K765" s="3" t="s">
        <v>23</v>
      </c>
    </row>
    <row r="766" spans="1:11" ht="42" customHeight="1">
      <c r="A766" s="2" t="s">
        <v>2081</v>
      </c>
      <c r="B766" s="2" t="s">
        <v>2082</v>
      </c>
      <c r="C766" s="2" t="s">
        <v>34</v>
      </c>
      <c r="D766" s="2" t="s">
        <v>35</v>
      </c>
      <c r="E766" s="5">
        <v>-30622</v>
      </c>
      <c r="F766" s="3" t="s">
        <v>27</v>
      </c>
      <c r="G766" s="3" t="s">
        <v>2083</v>
      </c>
      <c r="H766" s="2" t="s">
        <v>21</v>
      </c>
      <c r="I766" s="2" t="s">
        <v>2084</v>
      </c>
      <c r="J766" s="3" t="str">
        <f>HYPERLINK("https://www.boe.es/gazeta/dias/1816/02/27/pdfs/GMD-1816-26.pdf#page=4","Abrir facsímil")</f>
        <v>Abrir facsímil</v>
      </c>
      <c r="K766" s="3" t="s">
        <v>23</v>
      </c>
    </row>
    <row r="767" spans="1:11" ht="42" customHeight="1">
      <c r="A767" s="2" t="s">
        <v>2085</v>
      </c>
      <c r="B767" s="2" t="s">
        <v>2086</v>
      </c>
      <c r="C767" s="2" t="s">
        <v>41</v>
      </c>
      <c r="D767" s="2" t="s">
        <v>18</v>
      </c>
      <c r="E767" s="5">
        <v>-30394</v>
      </c>
      <c r="F767" s="3" t="s">
        <v>589</v>
      </c>
      <c r="G767" s="3" t="s">
        <v>72</v>
      </c>
      <c r="H767" s="2" t="s">
        <v>21</v>
      </c>
      <c r="I767" s="2" t="s">
        <v>2087</v>
      </c>
      <c r="J767" s="3" t="str">
        <f>HYPERLINK("https://www.boe.es/gazeta/dias/1816/10/12/pdfs/GMD-1816-127.pdf#page=7","Abrir facsímil")</f>
        <v>Abrir facsímil</v>
      </c>
      <c r="K767" s="3" t="s">
        <v>23</v>
      </c>
    </row>
    <row r="768" spans="1:11" ht="42" customHeight="1">
      <c r="A768" s="2" t="s">
        <v>2085</v>
      </c>
      <c r="B768" s="2" t="s">
        <v>2086</v>
      </c>
      <c r="C768" s="2" t="s">
        <v>81</v>
      </c>
      <c r="D768" s="2" t="s">
        <v>18</v>
      </c>
      <c r="E768" s="5">
        <v>-30391</v>
      </c>
      <c r="F768" s="3" t="s">
        <v>482</v>
      </c>
      <c r="G768" s="3" t="s">
        <v>72</v>
      </c>
      <c r="H768" s="2" t="s">
        <v>21</v>
      </c>
      <c r="I768" s="2" t="s">
        <v>2088</v>
      </c>
      <c r="J768" s="3" t="str">
        <f>HYPERLINK("https://www.boe.es/gazeta/dias/1816/10/15/pdfs/GMD-1816-129.pdf#page=7","Abrir facsímil")</f>
        <v>Abrir facsímil</v>
      </c>
      <c r="K768" s="3" t="s">
        <v>23</v>
      </c>
    </row>
    <row r="769" spans="1:11" ht="42" customHeight="1">
      <c r="A769" s="2" t="s">
        <v>2085</v>
      </c>
      <c r="B769" s="2" t="s">
        <v>2086</v>
      </c>
      <c r="C769" s="2" t="s">
        <v>67</v>
      </c>
      <c r="D769" s="2" t="s">
        <v>18</v>
      </c>
      <c r="E769" s="5">
        <v>-30380</v>
      </c>
      <c r="F769" s="3" t="s">
        <v>819</v>
      </c>
      <c r="G769" s="3" t="s">
        <v>42</v>
      </c>
      <c r="H769" s="2" t="s">
        <v>21</v>
      </c>
      <c r="I769" s="2" t="s">
        <v>2089</v>
      </c>
      <c r="J769" s="3" t="str">
        <f>HYPERLINK("https://www.boe.es/gazeta/dias/1816/10/26/pdfs/GMD-1816-134.pdf#page=8","Abrir facsímil")</f>
        <v>Abrir facsímil</v>
      </c>
      <c r="K769" s="3" t="s">
        <v>23</v>
      </c>
    </row>
    <row r="770" spans="1:11" ht="42" customHeight="1">
      <c r="A770" s="2" t="s">
        <v>2090</v>
      </c>
      <c r="B770" s="2" t="s">
        <v>2091</v>
      </c>
      <c r="C770" s="2" t="s">
        <v>26</v>
      </c>
      <c r="D770" s="2" t="s">
        <v>18</v>
      </c>
      <c r="E770" s="5">
        <v>-30478</v>
      </c>
      <c r="F770" s="3" t="s">
        <v>123</v>
      </c>
      <c r="G770" s="3" t="s">
        <v>2092</v>
      </c>
      <c r="H770" s="2" t="s">
        <v>21</v>
      </c>
      <c r="I770" s="2" t="s">
        <v>2093</v>
      </c>
      <c r="J770" s="3" t="str">
        <f>HYPERLINK("https://www.boe.es/gazeta/dias/1816/07/20/pdfs/GMD-1816-90.pdf#page=5","Abrir facsímil")</f>
        <v>Abrir facsímil</v>
      </c>
      <c r="K770" s="3" t="s">
        <v>23</v>
      </c>
    </row>
    <row r="771" spans="1:11" ht="42" customHeight="1">
      <c r="A771" s="2" t="s">
        <v>2094</v>
      </c>
      <c r="B771" s="2" t="s">
        <v>2095</v>
      </c>
      <c r="C771" s="2" t="s">
        <v>26</v>
      </c>
      <c r="D771" s="2" t="s">
        <v>18</v>
      </c>
      <c r="E771" s="5">
        <v>-30478</v>
      </c>
      <c r="F771" s="3" t="s">
        <v>123</v>
      </c>
      <c r="G771" s="3" t="s">
        <v>2092</v>
      </c>
      <c r="H771" s="2" t="s">
        <v>21</v>
      </c>
      <c r="I771" s="2" t="s">
        <v>2096</v>
      </c>
      <c r="J771" s="3" t="str">
        <f>HYPERLINK("https://www.boe.es/gazeta/dias/1816/07/20/pdfs/GMD-1816-90.pdf#page=5","Abrir facsímil")</f>
        <v>Abrir facsímil</v>
      </c>
      <c r="K771" s="3" t="s">
        <v>23</v>
      </c>
    </row>
    <row r="772" spans="1:11" ht="42" customHeight="1">
      <c r="A772" s="2" t="s">
        <v>2097</v>
      </c>
      <c r="B772" s="2" t="s">
        <v>2098</v>
      </c>
      <c r="C772" s="2" t="s">
        <v>41</v>
      </c>
      <c r="D772" s="2" t="s">
        <v>18</v>
      </c>
      <c r="E772" s="5">
        <v>-30671</v>
      </c>
      <c r="F772" s="3" t="s">
        <v>2049</v>
      </c>
      <c r="G772" s="3" t="s">
        <v>47</v>
      </c>
      <c r="H772" s="2" t="s">
        <v>21</v>
      </c>
      <c r="I772" s="2" t="s">
        <v>2099</v>
      </c>
      <c r="J772" s="3" t="str">
        <f>HYPERLINK("https://www.boe.es/gazeta/dias/1816/01/09/pdfs/GMD-1816-4.pdf#page=5","Abrir facsímil")</f>
        <v>Abrir facsímil</v>
      </c>
      <c r="K772" s="3" t="s">
        <v>23</v>
      </c>
    </row>
    <row r="773" spans="1:11" ht="42" customHeight="1">
      <c r="A773" s="2" t="s">
        <v>2100</v>
      </c>
      <c r="B773" s="2" t="s">
        <v>2101</v>
      </c>
      <c r="C773" s="2" t="s">
        <v>81</v>
      </c>
      <c r="D773" s="2" t="s">
        <v>18</v>
      </c>
      <c r="E773" s="5">
        <v>-30333</v>
      </c>
      <c r="F773" s="3" t="s">
        <v>1005</v>
      </c>
      <c r="G773" s="3" t="s">
        <v>42</v>
      </c>
      <c r="H773" s="2" t="s">
        <v>21</v>
      </c>
      <c r="I773" s="2" t="s">
        <v>2102</v>
      </c>
      <c r="J773" s="3" t="str">
        <f>HYPERLINK("https://www.boe.es/gazeta/dias/1816/12/12/pdfs/GMD-1816-154.pdf#page=8","Abrir facsímil")</f>
        <v>Abrir facsímil</v>
      </c>
      <c r="K773" s="3" t="s">
        <v>23</v>
      </c>
    </row>
    <row r="774" spans="1:11" ht="42" customHeight="1">
      <c r="A774" s="2" t="s">
        <v>2103</v>
      </c>
      <c r="B774" s="2" t="s">
        <v>2104</v>
      </c>
      <c r="C774" s="2" t="s">
        <v>26</v>
      </c>
      <c r="D774" s="2" t="s">
        <v>18</v>
      </c>
      <c r="E774" s="5">
        <v>-30548</v>
      </c>
      <c r="F774" s="3" t="s">
        <v>472</v>
      </c>
      <c r="G774" s="3" t="s">
        <v>28</v>
      </c>
      <c r="H774" s="2" t="s">
        <v>21</v>
      </c>
      <c r="I774" s="2" t="s">
        <v>2105</v>
      </c>
      <c r="J774" s="3" t="str">
        <f>HYPERLINK("https://www.boe.es/gazeta/dias/1816/05/11/pdfs/GMD-1816-60.pdf#page=6","Abrir facsímil")</f>
        <v>Abrir facsímil</v>
      </c>
      <c r="K774" s="3" t="s">
        <v>23</v>
      </c>
    </row>
    <row r="775" spans="1:11" ht="42" customHeight="1">
      <c r="A775" s="2" t="s">
        <v>2106</v>
      </c>
      <c r="B775" s="2" t="s">
        <v>2107</v>
      </c>
      <c r="C775" s="2" t="s">
        <v>111</v>
      </c>
      <c r="D775" s="2" t="s">
        <v>112</v>
      </c>
      <c r="E775" s="5">
        <v>-30541</v>
      </c>
      <c r="F775" s="3" t="s">
        <v>96</v>
      </c>
      <c r="G775" s="3" t="s">
        <v>47</v>
      </c>
      <c r="H775" s="2" t="s">
        <v>21</v>
      </c>
      <c r="I775" s="2" t="s">
        <v>2108</v>
      </c>
      <c r="J775" s="3" t="str">
        <f>HYPERLINK("https://www.boe.es/gazeta/dias/1816/05/18/pdfs/GMD-1816-63.pdf#page=5","Abrir facsímil")</f>
        <v>Abrir facsímil</v>
      </c>
      <c r="K775" s="3" t="s">
        <v>23</v>
      </c>
    </row>
    <row r="776" spans="1:11" ht="42" customHeight="1">
      <c r="A776" s="2" t="s">
        <v>2109</v>
      </c>
      <c r="B776" s="2" t="s">
        <v>2110</v>
      </c>
      <c r="C776" s="2" t="s">
        <v>26</v>
      </c>
      <c r="D776" s="2" t="s">
        <v>56</v>
      </c>
      <c r="E776" s="5">
        <v>-30393</v>
      </c>
      <c r="F776" s="3" t="s">
        <v>202</v>
      </c>
      <c r="G776" s="3" t="s">
        <v>47</v>
      </c>
      <c r="H776" s="2" t="s">
        <v>21</v>
      </c>
      <c r="I776" s="2" t="s">
        <v>2111</v>
      </c>
      <c r="J776" s="3" t="str">
        <f>HYPERLINK("https://www.boe.es/gazeta/dias/1816/10/13/pdfs/GMD-1816-128E.pdf#page=5","Abrir facsímil")</f>
        <v>Abrir facsímil</v>
      </c>
      <c r="K776" s="3" t="s">
        <v>23</v>
      </c>
    </row>
    <row r="777" spans="1:11" ht="42" customHeight="1">
      <c r="A777" s="2" t="s">
        <v>2112</v>
      </c>
      <c r="B777" s="2" t="s">
        <v>2112</v>
      </c>
      <c r="C777" s="2" t="s">
        <v>34</v>
      </c>
      <c r="D777" s="2" t="s">
        <v>35</v>
      </c>
      <c r="E777" s="5">
        <v>-30496</v>
      </c>
      <c r="F777" s="3" t="s">
        <v>290</v>
      </c>
      <c r="G777" s="3" t="s">
        <v>184</v>
      </c>
      <c r="H777" s="2" t="s">
        <v>21</v>
      </c>
      <c r="I777" s="2" t="s">
        <v>2113</v>
      </c>
      <c r="J777" s="3" t="str">
        <f>HYPERLINK("https://www.boe.es/gazeta/dias/1816/07/02/pdfs/GMD-1816-82.pdf#page=3","Abrir facsímil")</f>
        <v>Abrir facsímil</v>
      </c>
      <c r="K777" s="3" t="s">
        <v>23</v>
      </c>
    </row>
    <row r="778" spans="1:11" ht="42" customHeight="1">
      <c r="A778" s="2" t="s">
        <v>2114</v>
      </c>
      <c r="B778" s="2" t="s">
        <v>2114</v>
      </c>
      <c r="C778" s="2" t="s">
        <v>34</v>
      </c>
      <c r="D778" s="2" t="s">
        <v>35</v>
      </c>
      <c r="E778" s="5">
        <v>-30674</v>
      </c>
      <c r="F778" s="3" t="s">
        <v>19</v>
      </c>
      <c r="G778" s="3" t="s">
        <v>270</v>
      </c>
      <c r="H778" s="2" t="s">
        <v>21</v>
      </c>
      <c r="I778" s="2" t="s">
        <v>2115</v>
      </c>
      <c r="J778" s="3" t="str">
        <f>HYPERLINK("https://www.boe.es/gazeta/dias/1816/01/06/pdfs/GMD-1816-3.pdf#page=2","Abrir facsímil")</f>
        <v>Abrir facsímil</v>
      </c>
      <c r="K778" s="3" t="s">
        <v>23</v>
      </c>
    </row>
    <row r="779" spans="1:11" ht="42" customHeight="1">
      <c r="A779" s="2" t="s">
        <v>2116</v>
      </c>
      <c r="B779" s="2" t="s">
        <v>2116</v>
      </c>
      <c r="C779" s="2" t="s">
        <v>34</v>
      </c>
      <c r="D779" s="2" t="s">
        <v>35</v>
      </c>
      <c r="E779" s="5">
        <v>-30604</v>
      </c>
      <c r="F779" s="3" t="s">
        <v>488</v>
      </c>
      <c r="G779" s="3" t="s">
        <v>184</v>
      </c>
      <c r="H779" s="2" t="s">
        <v>21</v>
      </c>
      <c r="I779" s="2" t="s">
        <v>2117</v>
      </c>
      <c r="J779" s="3" t="str">
        <f>HYPERLINK("https://www.boe.es/gazeta/dias/1816/03/16/pdfs/GMD-1816-35.pdf#page=3","Abrir facsímil")</f>
        <v>Abrir facsímil</v>
      </c>
      <c r="K779" s="3" t="s">
        <v>23</v>
      </c>
    </row>
    <row r="780" spans="1:11" ht="42" customHeight="1">
      <c r="A780" s="2" t="s">
        <v>2118</v>
      </c>
      <c r="B780" s="2" t="s">
        <v>2118</v>
      </c>
      <c r="C780" s="2" t="s">
        <v>26</v>
      </c>
      <c r="D780" s="2" t="s">
        <v>18</v>
      </c>
      <c r="E780" s="5">
        <v>-30555</v>
      </c>
      <c r="F780" s="3" t="s">
        <v>345</v>
      </c>
      <c r="G780" s="3" t="s">
        <v>270</v>
      </c>
      <c r="H780" s="2" t="s">
        <v>21</v>
      </c>
      <c r="I780" s="2" t="s">
        <v>2119</v>
      </c>
      <c r="J780" s="3" t="str">
        <f>HYPERLINK("https://www.boe.es/gazeta/dias/1816/05/04/pdfs/GMD-1816-57.pdf#page=2","Abrir facsímil")</f>
        <v>Abrir facsímil</v>
      </c>
      <c r="K780" s="3" t="s">
        <v>23</v>
      </c>
    </row>
    <row r="781" spans="1:11" ht="42" customHeight="1">
      <c r="A781" s="2" t="s">
        <v>2120</v>
      </c>
      <c r="B781" s="2" t="s">
        <v>2121</v>
      </c>
      <c r="C781" s="2" t="s">
        <v>81</v>
      </c>
      <c r="D781" s="2" t="s">
        <v>18</v>
      </c>
      <c r="E781" s="5">
        <v>-30319</v>
      </c>
      <c r="F781" s="3" t="s">
        <v>131</v>
      </c>
      <c r="G781" s="3" t="s">
        <v>2122</v>
      </c>
      <c r="H781" s="2" t="s">
        <v>29</v>
      </c>
      <c r="I781" s="2" t="s">
        <v>2123</v>
      </c>
      <c r="J781" s="3" t="str">
        <f>HYPERLINK("https://www.boe.es/gazeta/dias/1816/12/26/pdfs/GMD-1816-160.pdf#page=7","Abrir facsímil")</f>
        <v>Abrir facsímil</v>
      </c>
      <c r="K781" s="3" t="s">
        <v>31</v>
      </c>
    </row>
    <row r="782" spans="1:11" ht="42" customHeight="1">
      <c r="A782" s="2" t="s">
        <v>2124</v>
      </c>
      <c r="B782" s="2" t="s">
        <v>2125</v>
      </c>
      <c r="C782" s="2" t="s">
        <v>41</v>
      </c>
      <c r="D782" s="2" t="s">
        <v>18</v>
      </c>
      <c r="E782" s="5">
        <v>-30494</v>
      </c>
      <c r="F782" s="3" t="s">
        <v>174</v>
      </c>
      <c r="G782" s="3" t="s">
        <v>175</v>
      </c>
      <c r="H782" s="2" t="s">
        <v>21</v>
      </c>
      <c r="I782" s="2" t="s">
        <v>2126</v>
      </c>
      <c r="J782" s="3" t="str">
        <f>HYPERLINK("https://www.boe.es/gazeta/dias/1816/07/04/pdfs/GMD-1816-83.pdf#page=11","Abrir facsímil")</f>
        <v>Abrir facsímil</v>
      </c>
      <c r="K782" s="3" t="s">
        <v>23</v>
      </c>
    </row>
    <row r="783" spans="1:11" ht="42" customHeight="1">
      <c r="A783" s="2" t="s">
        <v>2127</v>
      </c>
      <c r="B783" s="2" t="s">
        <v>2128</v>
      </c>
      <c r="C783" s="2" t="s">
        <v>34</v>
      </c>
      <c r="D783" s="2" t="s">
        <v>35</v>
      </c>
      <c r="E783" s="5">
        <v>-30366</v>
      </c>
      <c r="F783" s="3" t="s">
        <v>179</v>
      </c>
      <c r="G783" s="3" t="s">
        <v>47</v>
      </c>
      <c r="H783" s="2" t="s">
        <v>21</v>
      </c>
      <c r="I783" s="2" t="s">
        <v>2129</v>
      </c>
      <c r="J783" s="3" t="str">
        <f>HYPERLINK("https://www.boe.es/gazeta/dias/1816/11/09/pdfs/GMD-1816-140.pdf#page=5","Abrir facsímil")</f>
        <v>Abrir facsímil</v>
      </c>
      <c r="K783" s="3" t="s">
        <v>23</v>
      </c>
    </row>
    <row r="784" spans="1:11" ht="42" customHeight="1">
      <c r="A784" s="2" t="s">
        <v>2130</v>
      </c>
      <c r="B784" s="2" t="s">
        <v>2131</v>
      </c>
      <c r="C784" s="2" t="s">
        <v>41</v>
      </c>
      <c r="D784" s="2" t="s">
        <v>18</v>
      </c>
      <c r="E784" s="5">
        <v>-30494</v>
      </c>
      <c r="F784" s="3" t="s">
        <v>174</v>
      </c>
      <c r="G784" s="3" t="s">
        <v>175</v>
      </c>
      <c r="H784" s="2" t="s">
        <v>21</v>
      </c>
      <c r="I784" s="2" t="s">
        <v>2132</v>
      </c>
      <c r="J784" s="3" t="str">
        <f>HYPERLINK("https://www.boe.es/gazeta/dias/1816/07/04/pdfs/GMD-1816-83.pdf#page=11","Abrir facsímil")</f>
        <v>Abrir facsímil</v>
      </c>
      <c r="K784" s="3" t="s">
        <v>23</v>
      </c>
    </row>
    <row r="785" spans="1:11" ht="42" customHeight="1">
      <c r="A785" s="2" t="s">
        <v>2133</v>
      </c>
      <c r="B785" s="2" t="s">
        <v>2134</v>
      </c>
      <c r="C785" s="2" t="s">
        <v>111</v>
      </c>
      <c r="D785" s="2" t="s">
        <v>112</v>
      </c>
      <c r="E785" s="5">
        <v>-30485</v>
      </c>
      <c r="F785" s="3" t="s">
        <v>156</v>
      </c>
      <c r="G785" s="3" t="s">
        <v>42</v>
      </c>
      <c r="H785" s="2" t="s">
        <v>21</v>
      </c>
      <c r="I785" s="2" t="s">
        <v>2135</v>
      </c>
      <c r="J785" s="3" t="str">
        <f>HYPERLINK("https://www.boe.es/gazeta/dias/1816/07/13/pdfs/GMD-1816-87.pdf#page=8","Abrir facsímil")</f>
        <v>Abrir facsímil</v>
      </c>
      <c r="K785" s="3" t="s">
        <v>23</v>
      </c>
    </row>
    <row r="786" spans="1:11" ht="42" customHeight="1">
      <c r="A786" s="2" t="s">
        <v>2136</v>
      </c>
      <c r="B786" s="2" t="s">
        <v>2137</v>
      </c>
      <c r="C786" s="2" t="s">
        <v>111</v>
      </c>
      <c r="D786" s="2" t="s">
        <v>112</v>
      </c>
      <c r="E786" s="5">
        <v>-30466</v>
      </c>
      <c r="F786" s="3" t="s">
        <v>2138</v>
      </c>
      <c r="G786" s="3" t="s">
        <v>72</v>
      </c>
      <c r="H786" s="2" t="s">
        <v>21</v>
      </c>
      <c r="I786" s="2" t="s">
        <v>2139</v>
      </c>
      <c r="J786" s="3" t="str">
        <f>HYPERLINK("https://www.boe.es/gazeta/dias/1816/08/01/pdfs/GMD-1816-95.pdf#page=7","Abrir facsímil")</f>
        <v>Abrir facsímil</v>
      </c>
      <c r="K786" s="3" t="s">
        <v>23</v>
      </c>
    </row>
    <row r="787" spans="1:11" ht="42" customHeight="1">
      <c r="A787" s="2" t="s">
        <v>2140</v>
      </c>
      <c r="B787" s="2" t="s">
        <v>2141</v>
      </c>
      <c r="C787" s="2" t="s">
        <v>34</v>
      </c>
      <c r="D787" s="2" t="s">
        <v>35</v>
      </c>
      <c r="E787" s="5">
        <v>-30508</v>
      </c>
      <c r="F787" s="3" t="s">
        <v>36</v>
      </c>
      <c r="G787" s="3" t="s">
        <v>47</v>
      </c>
      <c r="H787" s="2" t="s">
        <v>21</v>
      </c>
      <c r="I787" s="2" t="s">
        <v>2142</v>
      </c>
      <c r="J787" s="3" t="str">
        <f>HYPERLINK("https://www.boe.es/gazeta/dias/1816/06/20/pdfs/GMD-1816-77.pdf#page=5","Abrir facsímil")</f>
        <v>Abrir facsímil</v>
      </c>
      <c r="K787" s="3" t="s">
        <v>23</v>
      </c>
    </row>
    <row r="788" spans="1:11" ht="42" customHeight="1">
      <c r="A788" s="2" t="s">
        <v>2140</v>
      </c>
      <c r="B788" s="2" t="s">
        <v>2141</v>
      </c>
      <c r="C788" s="2" t="s">
        <v>34</v>
      </c>
      <c r="D788" s="2" t="s">
        <v>35</v>
      </c>
      <c r="E788" s="5">
        <v>-30508</v>
      </c>
      <c r="F788" s="3" t="s">
        <v>36</v>
      </c>
      <c r="G788" s="3" t="s">
        <v>28</v>
      </c>
      <c r="H788" s="2" t="s">
        <v>21</v>
      </c>
      <c r="I788" s="2" t="s">
        <v>2143</v>
      </c>
      <c r="J788" s="3" t="str">
        <f>HYPERLINK("https://www.boe.es/gazeta/dias/1816/06/20/pdfs/GMD-1816-77.pdf#page=6","Abrir facsímil")</f>
        <v>Abrir facsímil</v>
      </c>
      <c r="K788" s="3" t="s">
        <v>23</v>
      </c>
    </row>
    <row r="789" spans="1:11" ht="42" customHeight="1">
      <c r="A789" s="2" t="s">
        <v>2144</v>
      </c>
      <c r="B789" s="2" t="s">
        <v>2145</v>
      </c>
      <c r="C789" s="2" t="s">
        <v>34</v>
      </c>
      <c r="D789" s="2" t="s">
        <v>35</v>
      </c>
      <c r="E789" s="5">
        <v>-30464</v>
      </c>
      <c r="F789" s="3" t="s">
        <v>215</v>
      </c>
      <c r="G789" s="3" t="s">
        <v>47</v>
      </c>
      <c r="H789" s="2" t="s">
        <v>21</v>
      </c>
      <c r="I789" s="2" t="s">
        <v>2146</v>
      </c>
      <c r="J789" s="3" t="str">
        <f>HYPERLINK("https://www.boe.es/gazeta/dias/1816/08/03/pdfs/GMD-1816-96.pdf#page=5","Abrir facsímil")</f>
        <v>Abrir facsímil</v>
      </c>
      <c r="K789" s="3" t="s">
        <v>23</v>
      </c>
    </row>
    <row r="790" spans="1:11" ht="42" customHeight="1">
      <c r="A790" s="2" t="s">
        <v>2147</v>
      </c>
      <c r="B790" s="2" t="s">
        <v>2148</v>
      </c>
      <c r="C790" s="2" t="s">
        <v>26</v>
      </c>
      <c r="D790" s="2" t="s">
        <v>18</v>
      </c>
      <c r="E790" s="5">
        <v>-30424</v>
      </c>
      <c r="F790" s="3" t="s">
        <v>142</v>
      </c>
      <c r="G790" s="3" t="s">
        <v>175</v>
      </c>
      <c r="H790" s="2" t="s">
        <v>21</v>
      </c>
      <c r="I790" s="2" t="s">
        <v>2149</v>
      </c>
      <c r="J790" s="3" t="str">
        <f>HYPERLINK("https://www.boe.es/gazeta/dias/1816/09/12/pdfs/GMD-1816-113.pdf#page=11","Abrir facsímil")</f>
        <v>Abrir facsímil</v>
      </c>
      <c r="K790" s="3" t="s">
        <v>23</v>
      </c>
    </row>
    <row r="791" spans="1:11" ht="42" customHeight="1">
      <c r="A791" s="2" t="s">
        <v>2150</v>
      </c>
      <c r="B791" s="2" t="s">
        <v>2151</v>
      </c>
      <c r="C791" s="2" t="s">
        <v>41</v>
      </c>
      <c r="D791" s="2" t="s">
        <v>18</v>
      </c>
      <c r="E791" s="5">
        <v>-30429</v>
      </c>
      <c r="F791" s="3" t="s">
        <v>598</v>
      </c>
      <c r="G791" s="3" t="s">
        <v>42</v>
      </c>
      <c r="H791" s="2" t="s">
        <v>21</v>
      </c>
      <c r="I791" s="2" t="s">
        <v>2152</v>
      </c>
      <c r="J791" s="3" t="str">
        <f>HYPERLINK("https://www.boe.es/gazeta/dias/1816/09/07/pdfs/GMD-1816-111.pdf#page=8","Abrir facsímil")</f>
        <v>Abrir facsímil</v>
      </c>
      <c r="K791" s="3" t="s">
        <v>23</v>
      </c>
    </row>
    <row r="792" spans="1:11" ht="42" customHeight="1">
      <c r="A792" s="2" t="s">
        <v>2153</v>
      </c>
      <c r="B792" s="2" t="s">
        <v>2154</v>
      </c>
      <c r="C792" s="2" t="s">
        <v>111</v>
      </c>
      <c r="D792" s="2" t="s">
        <v>112</v>
      </c>
      <c r="E792" s="5">
        <v>-30436</v>
      </c>
      <c r="F792" s="3" t="s">
        <v>102</v>
      </c>
      <c r="G792" s="3" t="s">
        <v>180</v>
      </c>
      <c r="H792" s="2" t="s">
        <v>21</v>
      </c>
      <c r="I792" s="2" t="s">
        <v>2155</v>
      </c>
      <c r="J792" s="3" t="str">
        <f>HYPERLINK("https://www.boe.es/gazeta/dias/1816/08/31/pdfs/GMD-1816-108.pdf#page=10","Abrir facsímil")</f>
        <v>Abrir facsímil</v>
      </c>
      <c r="K792" s="3" t="s">
        <v>23</v>
      </c>
    </row>
    <row r="793" spans="1:11" ht="42" customHeight="1">
      <c r="A793" s="2" t="s">
        <v>2156</v>
      </c>
      <c r="B793" s="2" t="s">
        <v>2157</v>
      </c>
      <c r="C793" s="2" t="s">
        <v>67</v>
      </c>
      <c r="D793" s="2" t="s">
        <v>18</v>
      </c>
      <c r="E793" s="5">
        <v>-30622</v>
      </c>
      <c r="F793" s="3" t="s">
        <v>27</v>
      </c>
      <c r="G793" s="3" t="s">
        <v>28</v>
      </c>
      <c r="H793" s="2" t="s">
        <v>29</v>
      </c>
      <c r="I793" s="2" t="s">
        <v>2158</v>
      </c>
      <c r="J793" s="3" t="str">
        <f>HYPERLINK("https://www.boe.es/gazeta/dias/1816/02/27/pdfs/GMD-1816-26.pdf#page=6","Abrir facsímil")</f>
        <v>Abrir facsímil</v>
      </c>
      <c r="K793" s="3" t="s">
        <v>31</v>
      </c>
    </row>
    <row r="794" spans="1:11" ht="42" customHeight="1">
      <c r="A794" s="2" t="s">
        <v>2159</v>
      </c>
      <c r="B794" s="2" t="s">
        <v>2160</v>
      </c>
      <c r="C794" s="2" t="s">
        <v>26</v>
      </c>
      <c r="D794" s="2" t="s">
        <v>18</v>
      </c>
      <c r="E794" s="5">
        <v>-30445</v>
      </c>
      <c r="F794" s="3" t="s">
        <v>51</v>
      </c>
      <c r="G794" s="3" t="s">
        <v>175</v>
      </c>
      <c r="H794" s="2" t="s">
        <v>29</v>
      </c>
      <c r="I794" s="2" t="s">
        <v>2161</v>
      </c>
      <c r="J794" s="3" t="str">
        <f>HYPERLINK("https://www.boe.es/gazeta/dias/1816/08/22/pdfs/GMD-1816-104.pdf#page=11","Abrir facsímil")</f>
        <v>Abrir facsímil</v>
      </c>
      <c r="K794" s="3" t="s">
        <v>31</v>
      </c>
    </row>
    <row r="795" spans="1:11" ht="42" customHeight="1">
      <c r="A795" s="2" t="s">
        <v>2159</v>
      </c>
      <c r="B795" s="2" t="s">
        <v>2160</v>
      </c>
      <c r="C795" s="2" t="s">
        <v>41</v>
      </c>
      <c r="D795" s="2" t="s">
        <v>18</v>
      </c>
      <c r="E795" s="5">
        <v>-30419</v>
      </c>
      <c r="F795" s="3" t="s">
        <v>1256</v>
      </c>
      <c r="G795" s="3" t="s">
        <v>2162</v>
      </c>
      <c r="H795" s="2" t="s">
        <v>29</v>
      </c>
      <c r="I795" s="2" t="s">
        <v>2163</v>
      </c>
      <c r="J795" s="3" t="str">
        <f>HYPERLINK("https://www.boe.es/gazeta/dias/1816/09/17/pdfs/GMD-1816-115.pdf#page=8","Abrir facsímil")</f>
        <v>Abrir facsímil</v>
      </c>
      <c r="K795" s="3" t="s">
        <v>31</v>
      </c>
    </row>
    <row r="796" spans="1:11" ht="42" customHeight="1">
      <c r="A796" s="2" t="s">
        <v>2164</v>
      </c>
      <c r="B796" s="2" t="s">
        <v>2164</v>
      </c>
      <c r="C796" s="2" t="s">
        <v>26</v>
      </c>
      <c r="D796" s="2" t="s">
        <v>18</v>
      </c>
      <c r="E796" s="5">
        <v>-30655</v>
      </c>
      <c r="F796" s="3" t="s">
        <v>170</v>
      </c>
      <c r="G796" s="3" t="s">
        <v>72</v>
      </c>
      <c r="H796" s="2" t="s">
        <v>21</v>
      </c>
      <c r="I796" s="2" t="s">
        <v>2165</v>
      </c>
      <c r="J796" s="3" t="str">
        <f>HYPERLINK("https://www.boe.es/gazeta/dias/1816/01/25/pdfs/GMD-1816-11.pdf#page=7","Abrir facsímil")</f>
        <v>Abrir facsímil</v>
      </c>
      <c r="K796" s="3" t="s">
        <v>23</v>
      </c>
    </row>
    <row r="797" spans="1:11" ht="42" customHeight="1">
      <c r="A797" s="2" t="s">
        <v>2166</v>
      </c>
      <c r="B797" s="2" t="s">
        <v>2166</v>
      </c>
      <c r="C797" s="2" t="s">
        <v>26</v>
      </c>
      <c r="D797" s="2" t="s">
        <v>18</v>
      </c>
      <c r="E797" s="5">
        <v>-30398</v>
      </c>
      <c r="F797" s="3" t="s">
        <v>447</v>
      </c>
      <c r="G797" s="3" t="s">
        <v>103</v>
      </c>
      <c r="H797" s="2" t="s">
        <v>21</v>
      </c>
      <c r="I797" s="2" t="s">
        <v>2167</v>
      </c>
      <c r="J797" s="3" t="str">
        <f>HYPERLINK("https://www.boe.es/gazeta/dias/1816/10/08/pdfs/GMD-1816-125.pdf#page=4","Abrir facsímil")</f>
        <v>Abrir facsímil</v>
      </c>
      <c r="K797" s="3" t="s">
        <v>23</v>
      </c>
    </row>
    <row r="798" spans="1:11" ht="42" customHeight="1">
      <c r="A798" s="2" t="s">
        <v>2168</v>
      </c>
      <c r="B798" s="2" t="s">
        <v>2169</v>
      </c>
      <c r="C798" s="2" t="s">
        <v>111</v>
      </c>
      <c r="D798" s="2" t="s">
        <v>112</v>
      </c>
      <c r="E798" s="5">
        <v>-30583</v>
      </c>
      <c r="F798" s="3" t="s">
        <v>241</v>
      </c>
      <c r="G798" s="3" t="s">
        <v>72</v>
      </c>
      <c r="H798" s="2" t="s">
        <v>29</v>
      </c>
      <c r="I798" s="2" t="s">
        <v>2170</v>
      </c>
      <c r="J798" s="3" t="str">
        <f>HYPERLINK("https://www.boe.es/gazeta/dias/1816/04/06/pdfs/GMD-1816-45.pdf#page=7","Abrir facsímil")</f>
        <v>Abrir facsímil</v>
      </c>
      <c r="K798" s="3" t="s">
        <v>31</v>
      </c>
    </row>
    <row r="799" spans="1:11" ht="42" customHeight="1">
      <c r="A799" s="2" t="s">
        <v>2171</v>
      </c>
      <c r="B799" s="2" t="s">
        <v>2172</v>
      </c>
      <c r="C799" s="2" t="s">
        <v>26</v>
      </c>
      <c r="D799" s="2" t="s">
        <v>18</v>
      </c>
      <c r="E799" s="5">
        <v>-30445</v>
      </c>
      <c r="F799" s="3" t="s">
        <v>51</v>
      </c>
      <c r="G799" s="3" t="s">
        <v>47</v>
      </c>
      <c r="H799" s="2" t="s">
        <v>21</v>
      </c>
      <c r="I799" s="2" t="s">
        <v>2173</v>
      </c>
      <c r="J799" s="3" t="str">
        <f>HYPERLINK("https://www.boe.es/gazeta/dias/1816/08/22/pdfs/GMD-1816-104.pdf#page=5","Abrir facsímil")</f>
        <v>Abrir facsímil</v>
      </c>
      <c r="K799" s="3" t="s">
        <v>23</v>
      </c>
    </row>
    <row r="800" spans="1:11" ht="42" customHeight="1">
      <c r="A800" s="2" t="s">
        <v>2174</v>
      </c>
      <c r="B800" s="2" t="s">
        <v>2175</v>
      </c>
      <c r="C800" s="2" t="s">
        <v>34</v>
      </c>
      <c r="D800" s="2" t="s">
        <v>35</v>
      </c>
      <c r="E800" s="5">
        <v>-30384</v>
      </c>
      <c r="F800" s="3" t="s">
        <v>460</v>
      </c>
      <c r="G800" s="3" t="s">
        <v>103</v>
      </c>
      <c r="H800" s="2" t="s">
        <v>21</v>
      </c>
      <c r="I800" s="2" t="s">
        <v>2176</v>
      </c>
      <c r="J800" s="3" t="str">
        <f>HYPERLINK("https://www.boe.es/gazeta/dias/1816/10/22/pdfs/GMD-1816-132.pdf#page=4","Abrir facsímil")</f>
        <v>Abrir facsímil</v>
      </c>
      <c r="K800" s="3" t="s">
        <v>23</v>
      </c>
    </row>
    <row r="801" spans="1:11" ht="42" customHeight="1">
      <c r="A801" s="2" t="s">
        <v>2177</v>
      </c>
      <c r="B801" s="2" t="s">
        <v>2178</v>
      </c>
      <c r="C801" s="2" t="s">
        <v>34</v>
      </c>
      <c r="D801" s="2" t="s">
        <v>35</v>
      </c>
      <c r="E801" s="5">
        <v>-30531</v>
      </c>
      <c r="F801" s="3" t="s">
        <v>535</v>
      </c>
      <c r="G801" s="3" t="s">
        <v>47</v>
      </c>
      <c r="H801" s="2" t="s">
        <v>21</v>
      </c>
      <c r="I801" s="2" t="s">
        <v>2179</v>
      </c>
      <c r="J801" s="3" t="str">
        <f>HYPERLINK("https://www.boe.es/gazeta/dias/1816/05/28/pdfs/GMD-1816-67.pdf#page=5","Abrir facsímil")</f>
        <v>Abrir facsímil</v>
      </c>
      <c r="K801" s="3" t="s">
        <v>23</v>
      </c>
    </row>
    <row r="802" spans="1:11" ht="42" customHeight="1">
      <c r="A802" s="2" t="s">
        <v>2177</v>
      </c>
      <c r="B802" s="2" t="s">
        <v>2178</v>
      </c>
      <c r="C802" s="2" t="s">
        <v>111</v>
      </c>
      <c r="D802" s="2" t="s">
        <v>112</v>
      </c>
      <c r="E802" s="5">
        <v>-30459</v>
      </c>
      <c r="F802" s="3" t="s">
        <v>1957</v>
      </c>
      <c r="G802" s="3" t="s">
        <v>72</v>
      </c>
      <c r="H802" s="2" t="s">
        <v>21</v>
      </c>
      <c r="I802" s="2" t="s">
        <v>2180</v>
      </c>
      <c r="J802" s="3" t="str">
        <f>HYPERLINK("https://www.boe.es/gazeta/dias/1816/08/08/pdfs/GMD-1816-98.pdf#page=7","Abrir facsímil")</f>
        <v>Abrir facsímil</v>
      </c>
      <c r="K802" s="3" t="s">
        <v>23</v>
      </c>
    </row>
    <row r="803" spans="1:11" ht="42" customHeight="1">
      <c r="A803" s="2" t="s">
        <v>2181</v>
      </c>
      <c r="B803" s="2" t="s">
        <v>2182</v>
      </c>
      <c r="C803" s="2" t="s">
        <v>111</v>
      </c>
      <c r="D803" s="2" t="s">
        <v>112</v>
      </c>
      <c r="E803" s="5">
        <v>-30655</v>
      </c>
      <c r="F803" s="3" t="s">
        <v>170</v>
      </c>
      <c r="G803" s="3" t="s">
        <v>850</v>
      </c>
      <c r="H803" s="2" t="s">
        <v>29</v>
      </c>
      <c r="I803" s="2" t="s">
        <v>2183</v>
      </c>
      <c r="J803" s="3" t="str">
        <f>HYPERLINK("https://www.boe.es/gazeta/dias/1816/01/25/pdfs/GMD-1816-11.pdf#page=6","Abrir facsímil")</f>
        <v>Abrir facsímil</v>
      </c>
      <c r="K803" s="3" t="s">
        <v>31</v>
      </c>
    </row>
    <row r="804" spans="1:11" ht="42" customHeight="1">
      <c r="A804" s="2" t="s">
        <v>2184</v>
      </c>
      <c r="B804" s="2" t="s">
        <v>2185</v>
      </c>
      <c r="C804" s="2" t="s">
        <v>34</v>
      </c>
      <c r="D804" s="2" t="s">
        <v>56</v>
      </c>
      <c r="E804" s="5">
        <v>-30393</v>
      </c>
      <c r="F804" s="3" t="s">
        <v>202</v>
      </c>
      <c r="G804" s="3" t="s">
        <v>184</v>
      </c>
      <c r="H804" s="2" t="s">
        <v>21</v>
      </c>
      <c r="I804" s="2" t="s">
        <v>2186</v>
      </c>
      <c r="J804" s="3" t="str">
        <f>HYPERLINK("https://www.boe.es/gazeta/dias/1816/10/13/pdfs/GMD-1816-128E.pdf#page=3","Abrir facsímil")</f>
        <v>Abrir facsímil</v>
      </c>
      <c r="K804" s="3" t="s">
        <v>23</v>
      </c>
    </row>
    <row r="805" spans="1:11" ht="42" customHeight="1">
      <c r="A805" s="2" t="s">
        <v>2187</v>
      </c>
      <c r="B805" s="2" t="s">
        <v>2188</v>
      </c>
      <c r="C805" s="2" t="s">
        <v>34</v>
      </c>
      <c r="D805" s="2" t="s">
        <v>35</v>
      </c>
      <c r="E805" s="5">
        <v>-30643</v>
      </c>
      <c r="F805" s="3" t="s">
        <v>620</v>
      </c>
      <c r="G805" s="3" t="s">
        <v>42</v>
      </c>
      <c r="H805" s="2" t="s">
        <v>21</v>
      </c>
      <c r="I805" s="2" t="s">
        <v>2189</v>
      </c>
      <c r="J805" s="3" t="str">
        <f>HYPERLINK("https://www.boe.es/gazeta/dias/1816/02/06/pdfs/GMD-1816-17.pdf#page=8","Abrir facsímil")</f>
        <v>Abrir facsímil</v>
      </c>
      <c r="K805" s="3" t="s">
        <v>23</v>
      </c>
    </row>
    <row r="806" spans="1:11" ht="42" customHeight="1">
      <c r="A806" s="2" t="s">
        <v>2190</v>
      </c>
      <c r="B806" s="2" t="s">
        <v>2191</v>
      </c>
      <c r="C806" s="2" t="s">
        <v>111</v>
      </c>
      <c r="D806" s="2" t="s">
        <v>112</v>
      </c>
      <c r="E806" s="5">
        <v>-30403</v>
      </c>
      <c r="F806" s="3" t="s">
        <v>1264</v>
      </c>
      <c r="G806" s="3" t="s">
        <v>47</v>
      </c>
      <c r="H806" s="2" t="s">
        <v>21</v>
      </c>
      <c r="I806" s="2" t="s">
        <v>2192</v>
      </c>
      <c r="J806" s="3" t="str">
        <f>HYPERLINK("https://www.boe.es/gazeta/dias/1816/10/03/pdfs/GMD-1816-122.pdf#page=5","Abrir facsímil")</f>
        <v>Abrir facsímil</v>
      </c>
      <c r="K806" s="3" t="s">
        <v>23</v>
      </c>
    </row>
    <row r="807" spans="1:11" ht="42" customHeight="1">
      <c r="A807" s="2" t="s">
        <v>2193</v>
      </c>
      <c r="B807" s="2" t="s">
        <v>2194</v>
      </c>
      <c r="C807" s="2" t="s">
        <v>34</v>
      </c>
      <c r="D807" s="2" t="s">
        <v>35</v>
      </c>
      <c r="E807" s="5">
        <v>-30622</v>
      </c>
      <c r="F807" s="3" t="s">
        <v>27</v>
      </c>
      <c r="G807" s="3" t="s">
        <v>2195</v>
      </c>
      <c r="H807" s="2" t="s">
        <v>21</v>
      </c>
      <c r="I807" s="2" t="s">
        <v>2196</v>
      </c>
      <c r="J807" s="3" t="str">
        <f>HYPERLINK("https://www.boe.es/gazeta/dias/1816/02/27/pdfs/GMD-1816-26.pdf#page=8","Abrir facsímil")</f>
        <v>Abrir facsímil</v>
      </c>
      <c r="K807" s="3" t="s">
        <v>23</v>
      </c>
    </row>
    <row r="808" spans="1:11" ht="42" customHeight="1">
      <c r="A808" s="2" t="s">
        <v>2197</v>
      </c>
      <c r="B808" s="2" t="s">
        <v>2198</v>
      </c>
      <c r="C808" s="2" t="s">
        <v>26</v>
      </c>
      <c r="D808" s="2" t="s">
        <v>18</v>
      </c>
      <c r="E808" s="5">
        <v>-30592</v>
      </c>
      <c r="F808" s="3" t="s">
        <v>236</v>
      </c>
      <c r="G808" s="3" t="s">
        <v>2199</v>
      </c>
      <c r="H808" s="2" t="s">
        <v>21</v>
      </c>
      <c r="I808" s="2" t="s">
        <v>2200</v>
      </c>
      <c r="J808" s="3" t="str">
        <f>HYPERLINK("https://www.boe.es/gazeta/dias/1816/03/28/pdfs/GMD-1816-41.pdf#page=10","Abrir facsímil")</f>
        <v>Abrir facsímil</v>
      </c>
      <c r="K808" s="3" t="s">
        <v>23</v>
      </c>
    </row>
    <row r="809" spans="1:11" ht="42" customHeight="1">
      <c r="A809" s="2" t="s">
        <v>2201</v>
      </c>
      <c r="B809" s="2" t="s">
        <v>2202</v>
      </c>
      <c r="C809" s="2" t="s">
        <v>26</v>
      </c>
      <c r="D809" s="2" t="s">
        <v>18</v>
      </c>
      <c r="E809" s="5">
        <v>-30580</v>
      </c>
      <c r="F809" s="3" t="s">
        <v>107</v>
      </c>
      <c r="G809" s="3" t="s">
        <v>72</v>
      </c>
      <c r="H809" s="2" t="s">
        <v>21</v>
      </c>
      <c r="I809" s="2" t="s">
        <v>2203</v>
      </c>
      <c r="J809" s="3" t="str">
        <f>HYPERLINK("https://www.boe.es/gazeta/dias/1816/04/09/pdfs/GMD-1816-46.pdf#page=7","Abrir facsímil")</f>
        <v>Abrir facsímil</v>
      </c>
      <c r="K809" s="3" t="s">
        <v>23</v>
      </c>
    </row>
    <row r="810" spans="1:11" ht="42" customHeight="1">
      <c r="A810" s="2" t="s">
        <v>2204</v>
      </c>
      <c r="B810" s="2" t="s">
        <v>2205</v>
      </c>
      <c r="C810" s="2" t="s">
        <v>26</v>
      </c>
      <c r="D810" s="2" t="s">
        <v>18</v>
      </c>
      <c r="E810" s="5">
        <v>-30559</v>
      </c>
      <c r="F810" s="3" t="s">
        <v>165</v>
      </c>
      <c r="G810" s="3" t="s">
        <v>42</v>
      </c>
      <c r="H810" s="2" t="s">
        <v>21</v>
      </c>
      <c r="I810" s="2" t="s">
        <v>2206</v>
      </c>
      <c r="J810" s="3" t="str">
        <f>HYPERLINK("https://www.boe.es/gazeta/dias/1816/04/30/pdfs/GMD-1816-55.pdf#page=8","Abrir facsímil")</f>
        <v>Abrir facsímil</v>
      </c>
      <c r="K810" s="3" t="s">
        <v>23</v>
      </c>
    </row>
    <row r="811" spans="1:11" ht="42" customHeight="1">
      <c r="A811" s="2" t="s">
        <v>2207</v>
      </c>
      <c r="B811" s="2" t="s">
        <v>2208</v>
      </c>
      <c r="C811" s="2" t="s">
        <v>34</v>
      </c>
      <c r="D811" s="2" t="s">
        <v>35</v>
      </c>
      <c r="E811" s="5">
        <v>-30408</v>
      </c>
      <c r="F811" s="3" t="s">
        <v>295</v>
      </c>
      <c r="G811" s="3" t="s">
        <v>184</v>
      </c>
      <c r="H811" s="2" t="s">
        <v>21</v>
      </c>
      <c r="I811" s="2" t="s">
        <v>2209</v>
      </c>
      <c r="J811" s="3" t="str">
        <f>HYPERLINK("https://www.boe.es/gazeta/dias/1816/09/28/pdfs/GMD-1816-120.pdf#page=3","Abrir facsímil")</f>
        <v>Abrir facsímil</v>
      </c>
      <c r="K811" s="3" t="s">
        <v>23</v>
      </c>
    </row>
    <row r="812" spans="1:11" ht="42" customHeight="1">
      <c r="A812" s="2" t="s">
        <v>2210</v>
      </c>
      <c r="B812" s="2" t="s">
        <v>2211</v>
      </c>
      <c r="C812" s="2" t="s">
        <v>34</v>
      </c>
      <c r="D812" s="2" t="s">
        <v>35</v>
      </c>
      <c r="E812" s="5">
        <v>-30354</v>
      </c>
      <c r="F812" s="3" t="s">
        <v>68</v>
      </c>
      <c r="G812" s="3" t="s">
        <v>42</v>
      </c>
      <c r="H812" s="2" t="s">
        <v>21</v>
      </c>
      <c r="I812" s="2" t="s">
        <v>2212</v>
      </c>
      <c r="J812" s="3" t="str">
        <f>HYPERLINK("https://www.boe.es/gazeta/dias/1816/11/21/pdfs/GMD-1816-145.pdf#page=8","Abrir facsímil")</f>
        <v>Abrir facsímil</v>
      </c>
      <c r="K812" s="3" t="s">
        <v>23</v>
      </c>
    </row>
    <row r="813" spans="1:11" ht="42" customHeight="1">
      <c r="A813" s="2" t="s">
        <v>2213</v>
      </c>
      <c r="B813" s="2" t="s">
        <v>2214</v>
      </c>
      <c r="C813" s="2" t="s">
        <v>26</v>
      </c>
      <c r="D813" s="2" t="s">
        <v>18</v>
      </c>
      <c r="E813" s="5">
        <v>-30366</v>
      </c>
      <c r="F813" s="3" t="s">
        <v>179</v>
      </c>
      <c r="G813" s="3" t="s">
        <v>103</v>
      </c>
      <c r="H813" s="2" t="s">
        <v>21</v>
      </c>
      <c r="I813" s="2" t="s">
        <v>2215</v>
      </c>
      <c r="J813" s="3" t="str">
        <f>HYPERLINK("https://www.boe.es/gazeta/dias/1816/11/09/pdfs/GMD-1816-140.pdf#page=4","Abrir facsímil")</f>
        <v>Abrir facsímil</v>
      </c>
      <c r="K813" s="3" t="s">
        <v>23</v>
      </c>
    </row>
    <row r="814" spans="1:11" ht="42" customHeight="1">
      <c r="A814" s="2" t="s">
        <v>2216</v>
      </c>
      <c r="B814" s="2" t="s">
        <v>2217</v>
      </c>
      <c r="C814" s="2" t="s">
        <v>111</v>
      </c>
      <c r="D814" s="2" t="s">
        <v>112</v>
      </c>
      <c r="E814" s="5">
        <v>-30655</v>
      </c>
      <c r="F814" s="3" t="s">
        <v>170</v>
      </c>
      <c r="G814" s="3" t="s">
        <v>850</v>
      </c>
      <c r="H814" s="2" t="s">
        <v>21</v>
      </c>
      <c r="I814" s="2" t="s">
        <v>2218</v>
      </c>
      <c r="J814" s="3" t="str">
        <f>HYPERLINK("https://www.boe.es/gazeta/dias/1816/01/25/pdfs/GMD-1816-11.pdf#page=6","Abrir facsímil")</f>
        <v>Abrir facsímil</v>
      </c>
      <c r="K814" s="3" t="s">
        <v>23</v>
      </c>
    </row>
    <row r="815" spans="1:11" ht="42" customHeight="1">
      <c r="A815" s="2" t="s">
        <v>2219</v>
      </c>
      <c r="B815" s="2" t="s">
        <v>2220</v>
      </c>
      <c r="C815" s="2" t="s">
        <v>34</v>
      </c>
      <c r="D815" s="2" t="s">
        <v>35</v>
      </c>
      <c r="E815" s="5">
        <v>-30678</v>
      </c>
      <c r="F815" s="3" t="s">
        <v>76</v>
      </c>
      <c r="G815" s="3" t="s">
        <v>2221</v>
      </c>
      <c r="H815" s="2" t="s">
        <v>21</v>
      </c>
      <c r="I815" s="2" t="s">
        <v>2222</v>
      </c>
      <c r="J815" s="3" t="str">
        <f>HYPERLINK("https://www.boe.es/gazeta/dias/1816/01/02/pdfs/GMD-1816-1.pdf#page=7","Abrir facsímil")</f>
        <v>Abrir facsímil</v>
      </c>
      <c r="K815" s="3" t="s">
        <v>23</v>
      </c>
    </row>
    <row r="816" spans="1:11" ht="42" customHeight="1">
      <c r="A816" s="2" t="s">
        <v>2223</v>
      </c>
      <c r="B816" s="2" t="s">
        <v>2224</v>
      </c>
      <c r="C816" s="2" t="s">
        <v>67</v>
      </c>
      <c r="D816" s="2" t="s">
        <v>18</v>
      </c>
      <c r="E816" s="5">
        <v>-30440</v>
      </c>
      <c r="F816" s="3" t="s">
        <v>564</v>
      </c>
      <c r="G816" s="3" t="s">
        <v>565</v>
      </c>
      <c r="H816" s="2" t="s">
        <v>21</v>
      </c>
      <c r="I816" s="2" t="s">
        <v>2225</v>
      </c>
      <c r="J816" s="3" t="str">
        <f>HYPERLINK("https://www.boe.es/gazeta/dias/1816/08/27/pdfs/GMD-1816-106.pdf#page=7","Abrir facsímil")</f>
        <v>Abrir facsímil</v>
      </c>
      <c r="K816" s="3" t="s">
        <v>23</v>
      </c>
    </row>
    <row r="817" spans="1:11" ht="42" customHeight="1">
      <c r="A817" s="2" t="s">
        <v>2226</v>
      </c>
      <c r="B817" s="2" t="s">
        <v>2227</v>
      </c>
      <c r="C817" s="2" t="s">
        <v>111</v>
      </c>
      <c r="D817" s="2" t="s">
        <v>112</v>
      </c>
      <c r="E817" s="5">
        <v>-30578</v>
      </c>
      <c r="F817" s="3" t="s">
        <v>91</v>
      </c>
      <c r="G817" s="3" t="s">
        <v>286</v>
      </c>
      <c r="H817" s="2" t="s">
        <v>29</v>
      </c>
      <c r="I817" s="2" t="s">
        <v>2228</v>
      </c>
      <c r="J817" s="3" t="str">
        <f>HYPERLINK("https://www.boe.es/gazeta/dias/1816/04/11/pdfs/GMD-1816-47.pdf#page=11","Abrir facsímil")</f>
        <v>Abrir facsímil</v>
      </c>
      <c r="K817" s="3" t="s">
        <v>31</v>
      </c>
    </row>
    <row r="818" spans="1:11" ht="42" customHeight="1">
      <c r="A818" s="2" t="s">
        <v>2229</v>
      </c>
      <c r="B818" s="2" t="s">
        <v>2230</v>
      </c>
      <c r="C818" s="2" t="s">
        <v>387</v>
      </c>
      <c r="D818" s="2" t="s">
        <v>18</v>
      </c>
      <c r="E818" s="5">
        <v>-30475</v>
      </c>
      <c r="F818" s="3" t="s">
        <v>319</v>
      </c>
      <c r="G818" s="3" t="s">
        <v>103</v>
      </c>
      <c r="H818" s="2" t="s">
        <v>21</v>
      </c>
      <c r="I818" s="2" t="s">
        <v>2231</v>
      </c>
      <c r="J818" s="3" t="str">
        <f>HYPERLINK("https://www.boe.es/gazeta/dias/1816/07/23/pdfs/GMD-1816-91.pdf#page=4","Abrir facsímil")</f>
        <v>Abrir facsímil</v>
      </c>
      <c r="K818" s="3" t="s">
        <v>23</v>
      </c>
    </row>
    <row r="819" spans="1:11" ht="42" customHeight="1">
      <c r="A819" s="2" t="s">
        <v>2232</v>
      </c>
      <c r="B819" s="2" t="s">
        <v>2233</v>
      </c>
      <c r="C819" s="2" t="s">
        <v>34</v>
      </c>
      <c r="D819" s="2" t="s">
        <v>35</v>
      </c>
      <c r="E819" s="5">
        <v>-30634</v>
      </c>
      <c r="F819" s="3" t="s">
        <v>1104</v>
      </c>
      <c r="G819" s="3" t="s">
        <v>2234</v>
      </c>
      <c r="H819" s="2" t="s">
        <v>21</v>
      </c>
      <c r="I819" s="2" t="s">
        <v>2235</v>
      </c>
      <c r="J819" s="3" t="str">
        <f>HYPERLINK("https://www.boe.es/gazeta/dias/1816/02/15/pdfs/GMD-1816-21.pdf#page=8","Abrir facsímil")</f>
        <v>Abrir facsímil</v>
      </c>
      <c r="K819" s="3" t="s">
        <v>23</v>
      </c>
    </row>
    <row r="820" spans="1:11" ht="42" customHeight="1">
      <c r="A820" s="2" t="s">
        <v>2236</v>
      </c>
      <c r="B820" s="2" t="s">
        <v>2237</v>
      </c>
      <c r="C820" s="2" t="s">
        <v>26</v>
      </c>
      <c r="D820" s="2" t="s">
        <v>18</v>
      </c>
      <c r="E820" s="5">
        <v>-30438</v>
      </c>
      <c r="F820" s="3" t="s">
        <v>299</v>
      </c>
      <c r="G820" s="3" t="s">
        <v>300</v>
      </c>
      <c r="H820" s="2" t="s">
        <v>21</v>
      </c>
      <c r="I820" s="2" t="s">
        <v>2238</v>
      </c>
      <c r="J820" s="3" t="str">
        <f>HYPERLINK("https://www.boe.es/gazeta/dias/1816/08/29/pdfs/GMD-1816-107.pdf#page=12","Abrir facsímil")</f>
        <v>Abrir facsímil</v>
      </c>
      <c r="K820" s="3" t="s">
        <v>23</v>
      </c>
    </row>
    <row r="821" spans="1:11" ht="42" customHeight="1">
      <c r="A821" s="2" t="s">
        <v>2239</v>
      </c>
      <c r="B821" s="2" t="s">
        <v>2240</v>
      </c>
      <c r="C821" s="2" t="s">
        <v>81</v>
      </c>
      <c r="D821" s="2" t="s">
        <v>18</v>
      </c>
      <c r="E821" s="5">
        <v>-30314</v>
      </c>
      <c r="F821" s="3" t="s">
        <v>1899</v>
      </c>
      <c r="G821" s="3" t="s">
        <v>42</v>
      </c>
      <c r="H821" s="2" t="s">
        <v>21</v>
      </c>
      <c r="I821" s="2" t="s">
        <v>2241</v>
      </c>
      <c r="J821" s="3" t="str">
        <f>HYPERLINK("https://www.boe.es/gazeta/dias/1816/12/31/pdfs/GMD-1816-162.pdf#page=8","Abrir facsímil")</f>
        <v>Abrir facsímil</v>
      </c>
      <c r="K821" s="3" t="s">
        <v>23</v>
      </c>
    </row>
    <row r="822" spans="1:11" ht="42" customHeight="1">
      <c r="A822" s="2" t="s">
        <v>2242</v>
      </c>
      <c r="B822" s="2" t="s">
        <v>2243</v>
      </c>
      <c r="C822" s="2" t="s">
        <v>26</v>
      </c>
      <c r="D822" s="2" t="s">
        <v>18</v>
      </c>
      <c r="E822" s="5">
        <v>-30662</v>
      </c>
      <c r="F822" s="3" t="s">
        <v>485</v>
      </c>
      <c r="G822" s="3" t="s">
        <v>72</v>
      </c>
      <c r="H822" s="2" t="s">
        <v>21</v>
      </c>
      <c r="I822" s="2" t="s">
        <v>2244</v>
      </c>
      <c r="J822" s="3" t="str">
        <f>HYPERLINK("https://www.boe.es/gazeta/dias/1816/01/18/pdfs/GMD-1816-8.pdf#page=7","Abrir facsímil")</f>
        <v>Abrir facsímil</v>
      </c>
      <c r="K822" s="3" t="s">
        <v>23</v>
      </c>
    </row>
    <row r="823" spans="1:11" ht="42" customHeight="1">
      <c r="A823" s="2" t="s">
        <v>2245</v>
      </c>
      <c r="B823" s="2" t="s">
        <v>2245</v>
      </c>
      <c r="C823" s="2" t="s">
        <v>26</v>
      </c>
      <c r="D823" s="2" t="s">
        <v>18</v>
      </c>
      <c r="E823" s="5">
        <v>-30534</v>
      </c>
      <c r="F823" s="3" t="s">
        <v>274</v>
      </c>
      <c r="G823" s="3" t="s">
        <v>103</v>
      </c>
      <c r="H823" s="2" t="s">
        <v>21</v>
      </c>
      <c r="I823" s="2" t="s">
        <v>2246</v>
      </c>
      <c r="J823" s="3" t="str">
        <f>HYPERLINK("https://www.boe.es/gazeta/dias/1816/05/25/pdfs/GMD-1816-66.pdf#page=4","Abrir facsímil")</f>
        <v>Abrir facsímil</v>
      </c>
      <c r="K823" s="3" t="s">
        <v>23</v>
      </c>
    </row>
    <row r="824" spans="1:11" ht="42" customHeight="1">
      <c r="A824" s="2" t="s">
        <v>2247</v>
      </c>
      <c r="B824" s="2" t="s">
        <v>2248</v>
      </c>
      <c r="C824" s="2" t="s">
        <v>34</v>
      </c>
      <c r="D824" s="2" t="s">
        <v>35</v>
      </c>
      <c r="E824" s="5">
        <v>-30473</v>
      </c>
      <c r="F824" s="3" t="s">
        <v>336</v>
      </c>
      <c r="G824" s="3" t="s">
        <v>175</v>
      </c>
      <c r="H824" s="2" t="s">
        <v>21</v>
      </c>
      <c r="I824" s="2" t="s">
        <v>2249</v>
      </c>
      <c r="J824" s="3" t="str">
        <f>HYPERLINK("https://www.boe.es/gazeta/dias/1816/07/25/pdfs/GMD-1816-92.pdf#page=11","Abrir facsímil")</f>
        <v>Abrir facsímil</v>
      </c>
      <c r="K824" s="3" t="s">
        <v>23</v>
      </c>
    </row>
    <row r="825" spans="1:11" ht="42" customHeight="1">
      <c r="A825" s="2" t="s">
        <v>2250</v>
      </c>
      <c r="B825" s="2" t="s">
        <v>2251</v>
      </c>
      <c r="C825" s="2" t="s">
        <v>26</v>
      </c>
      <c r="D825" s="2" t="s">
        <v>18</v>
      </c>
      <c r="E825" s="5">
        <v>-30473</v>
      </c>
      <c r="F825" s="3" t="s">
        <v>336</v>
      </c>
      <c r="G825" s="3" t="s">
        <v>175</v>
      </c>
      <c r="H825" s="2" t="s">
        <v>21</v>
      </c>
      <c r="I825" s="2" t="s">
        <v>2252</v>
      </c>
      <c r="J825" s="3" t="str">
        <f>HYPERLINK("https://www.boe.es/gazeta/dias/1816/07/25/pdfs/GMD-1816-92.pdf#page=11","Abrir facsímil")</f>
        <v>Abrir facsímil</v>
      </c>
      <c r="K825" s="3" t="s">
        <v>23</v>
      </c>
    </row>
    <row r="826" spans="1:11" ht="42" customHeight="1">
      <c r="A826" s="2" t="s">
        <v>2253</v>
      </c>
      <c r="B826" s="2" t="s">
        <v>2254</v>
      </c>
      <c r="C826" s="2" t="s">
        <v>34</v>
      </c>
      <c r="D826" s="2" t="s">
        <v>35</v>
      </c>
      <c r="E826" s="5">
        <v>-30639</v>
      </c>
      <c r="F826" s="3" t="s">
        <v>87</v>
      </c>
      <c r="G826" s="3" t="s">
        <v>72</v>
      </c>
      <c r="H826" s="2" t="s">
        <v>21</v>
      </c>
      <c r="I826" s="2" t="s">
        <v>2255</v>
      </c>
      <c r="J826" s="3" t="str">
        <f>HYPERLINK("https://www.boe.es/gazeta/dias/1816/02/10/pdfs/GMD-1816-19.pdf#page=7","Abrir facsímil")</f>
        <v>Abrir facsímil</v>
      </c>
      <c r="K826" s="3" t="s">
        <v>23</v>
      </c>
    </row>
    <row r="827" spans="1:11" ht="42" customHeight="1">
      <c r="A827" s="2" t="s">
        <v>2253</v>
      </c>
      <c r="B827" s="2" t="s">
        <v>2254</v>
      </c>
      <c r="C827" s="2" t="s">
        <v>34</v>
      </c>
      <c r="D827" s="2" t="s">
        <v>35</v>
      </c>
      <c r="E827" s="5">
        <v>-30578</v>
      </c>
      <c r="F827" s="3" t="s">
        <v>91</v>
      </c>
      <c r="G827" s="3" t="s">
        <v>92</v>
      </c>
      <c r="H827" s="2" t="s">
        <v>21</v>
      </c>
      <c r="I827" s="2" t="s">
        <v>2256</v>
      </c>
      <c r="J827" s="3" t="str">
        <f>HYPERLINK("https://www.boe.es/gazeta/dias/1816/04/11/pdfs/GMD-1816-47.pdf#page=9","Abrir facsímil")</f>
        <v>Abrir facsímil</v>
      </c>
      <c r="K827" s="3" t="s">
        <v>23</v>
      </c>
    </row>
    <row r="828" spans="1:11" ht="42" customHeight="1">
      <c r="A828" s="2" t="s">
        <v>2257</v>
      </c>
      <c r="B828" s="2" t="s">
        <v>2258</v>
      </c>
      <c r="C828" s="2" t="s">
        <v>111</v>
      </c>
      <c r="D828" s="2" t="s">
        <v>112</v>
      </c>
      <c r="E828" s="5">
        <v>-30534</v>
      </c>
      <c r="F828" s="3" t="s">
        <v>274</v>
      </c>
      <c r="G828" s="3" t="s">
        <v>42</v>
      </c>
      <c r="H828" s="2" t="s">
        <v>21</v>
      </c>
      <c r="I828" s="2" t="s">
        <v>2259</v>
      </c>
      <c r="J828" s="3" t="str">
        <f>HYPERLINK("https://www.boe.es/gazeta/dias/1816/05/25/pdfs/GMD-1816-66.pdf#page=8","Abrir facsímil")</f>
        <v>Abrir facsímil</v>
      </c>
      <c r="K828" s="3" t="s">
        <v>23</v>
      </c>
    </row>
    <row r="829" spans="1:11" ht="42" customHeight="1">
      <c r="A829" s="2" t="s">
        <v>2260</v>
      </c>
      <c r="B829" s="2" t="s">
        <v>2261</v>
      </c>
      <c r="C829" s="2" t="s">
        <v>111</v>
      </c>
      <c r="D829" s="2" t="s">
        <v>112</v>
      </c>
      <c r="E829" s="5">
        <v>-30438</v>
      </c>
      <c r="F829" s="3" t="s">
        <v>299</v>
      </c>
      <c r="G829" s="3" t="s">
        <v>300</v>
      </c>
      <c r="H829" s="2" t="s">
        <v>21</v>
      </c>
      <c r="I829" s="2" t="s">
        <v>2262</v>
      </c>
      <c r="J829" s="3" t="str">
        <f>HYPERLINK("https://www.boe.es/gazeta/dias/1816/08/29/pdfs/GMD-1816-107.pdf#page=12","Abrir facsímil")</f>
        <v>Abrir facsímil</v>
      </c>
      <c r="K829" s="3" t="s">
        <v>23</v>
      </c>
    </row>
    <row r="830" spans="1:11" ht="42" customHeight="1">
      <c r="A830" s="2" t="s">
        <v>2263</v>
      </c>
      <c r="B830" s="2" t="s">
        <v>2264</v>
      </c>
      <c r="C830" s="2" t="s">
        <v>34</v>
      </c>
      <c r="D830" s="2" t="s">
        <v>35</v>
      </c>
      <c r="E830" s="5">
        <v>-30571</v>
      </c>
      <c r="F830" s="3" t="s">
        <v>738</v>
      </c>
      <c r="G830" s="3" t="s">
        <v>72</v>
      </c>
      <c r="H830" s="2" t="s">
        <v>21</v>
      </c>
      <c r="I830" s="2" t="s">
        <v>2265</v>
      </c>
      <c r="J830" s="3" t="str">
        <f>HYPERLINK("https://www.boe.es/gazeta/dias/1816/04/18/pdfs/GMD-1816-50.pdf#page=7","Abrir facsímil")</f>
        <v>Abrir facsímil</v>
      </c>
      <c r="K830" s="3" t="s">
        <v>23</v>
      </c>
    </row>
    <row r="831" spans="1:11" ht="42" customHeight="1">
      <c r="A831" s="2" t="s">
        <v>2266</v>
      </c>
      <c r="B831" s="2" t="s">
        <v>2267</v>
      </c>
      <c r="C831" s="2" t="s">
        <v>26</v>
      </c>
      <c r="D831" s="2" t="s">
        <v>18</v>
      </c>
      <c r="E831" s="5">
        <v>-30576</v>
      </c>
      <c r="F831" s="3" t="s">
        <v>353</v>
      </c>
      <c r="G831" s="3" t="s">
        <v>72</v>
      </c>
      <c r="H831" s="2" t="s">
        <v>29</v>
      </c>
      <c r="I831" s="2" t="s">
        <v>2268</v>
      </c>
      <c r="J831" s="3" t="str">
        <f>HYPERLINK("https://www.boe.es/gazeta/dias/1816/04/13/pdfs/GMD-1816-48.pdf#page=7","Abrir facsímil")</f>
        <v>Abrir facsímil</v>
      </c>
      <c r="K831" s="3" t="s">
        <v>31</v>
      </c>
    </row>
    <row r="832" spans="1:11" ht="42" customHeight="1">
      <c r="A832" s="2" t="s">
        <v>2269</v>
      </c>
      <c r="B832" s="2" t="s">
        <v>2270</v>
      </c>
      <c r="C832" s="2" t="s">
        <v>111</v>
      </c>
      <c r="D832" s="2" t="s">
        <v>112</v>
      </c>
      <c r="E832" s="5">
        <v>-30338</v>
      </c>
      <c r="F832" s="3" t="s">
        <v>464</v>
      </c>
      <c r="G832" s="3" t="s">
        <v>42</v>
      </c>
      <c r="H832" s="2" t="s">
        <v>21</v>
      </c>
      <c r="I832" s="2" t="s">
        <v>2271</v>
      </c>
      <c r="J832" s="3" t="str">
        <f>HYPERLINK("https://www.boe.es/gazeta/dias/1816/12/07/pdfs/GMD-1816-152.pdf#page=8","Abrir facsímil")</f>
        <v>Abrir facsímil</v>
      </c>
      <c r="K832" s="3" t="s">
        <v>23</v>
      </c>
    </row>
    <row r="833" spans="1:11" ht="42" customHeight="1">
      <c r="A833" s="2" t="s">
        <v>2272</v>
      </c>
      <c r="B833" s="2" t="s">
        <v>2273</v>
      </c>
      <c r="C833" s="2" t="s">
        <v>34</v>
      </c>
      <c r="D833" s="2" t="s">
        <v>35</v>
      </c>
      <c r="E833" s="5">
        <v>-30625</v>
      </c>
      <c r="F833" s="3" t="s">
        <v>631</v>
      </c>
      <c r="G833" s="3" t="s">
        <v>42</v>
      </c>
      <c r="H833" s="2" t="s">
        <v>21</v>
      </c>
      <c r="I833" s="2" t="s">
        <v>2274</v>
      </c>
      <c r="J833" s="3" t="str">
        <f>HYPERLINK("https://www.boe.es/gazeta/dias/1816/02/24/pdfs/GMD-1816-25.pdf#page=8","Abrir facsímil")</f>
        <v>Abrir facsímil</v>
      </c>
      <c r="K833" s="3" t="s">
        <v>23</v>
      </c>
    </row>
    <row r="834" spans="1:11" ht="42" customHeight="1">
      <c r="A834" s="2" t="s">
        <v>2272</v>
      </c>
      <c r="B834" s="2" t="s">
        <v>2273</v>
      </c>
      <c r="C834" s="2" t="s">
        <v>34</v>
      </c>
      <c r="D834" s="2" t="s">
        <v>35</v>
      </c>
      <c r="E834" s="5">
        <v>-30592</v>
      </c>
      <c r="F834" s="3" t="s">
        <v>236</v>
      </c>
      <c r="G834" s="3" t="s">
        <v>606</v>
      </c>
      <c r="H834" s="2" t="s">
        <v>21</v>
      </c>
      <c r="I834" s="2" t="s">
        <v>2275</v>
      </c>
      <c r="J834" s="3" t="str">
        <f>HYPERLINK("https://www.boe.es/gazeta/dias/1816/03/28/pdfs/GMD-1816-41.pdf#page=12","Abrir facsímil")</f>
        <v>Abrir facsímil</v>
      </c>
      <c r="K834" s="3" t="s">
        <v>23</v>
      </c>
    </row>
    <row r="835" spans="1:11" ht="42" customHeight="1">
      <c r="A835" s="2" t="s">
        <v>2272</v>
      </c>
      <c r="B835" s="2" t="s">
        <v>2273</v>
      </c>
      <c r="C835" s="2" t="s">
        <v>34</v>
      </c>
      <c r="D835" s="2" t="s">
        <v>35</v>
      </c>
      <c r="E835" s="5">
        <v>-30583</v>
      </c>
      <c r="F835" s="3" t="s">
        <v>241</v>
      </c>
      <c r="G835" s="3" t="s">
        <v>42</v>
      </c>
      <c r="H835" s="2" t="s">
        <v>21</v>
      </c>
      <c r="I835" s="2" t="s">
        <v>2276</v>
      </c>
      <c r="J835" s="3" t="str">
        <f>HYPERLINK("https://www.boe.es/gazeta/dias/1816/04/06/pdfs/GMD-1816-45.pdf#page=8","Abrir facsímil")</f>
        <v>Abrir facsímil</v>
      </c>
      <c r="K835" s="3" t="s">
        <v>23</v>
      </c>
    </row>
    <row r="836" spans="1:11" ht="42" customHeight="1">
      <c r="A836" s="2" t="s">
        <v>2272</v>
      </c>
      <c r="B836" s="2" t="s">
        <v>2273</v>
      </c>
      <c r="C836" s="2" t="s">
        <v>111</v>
      </c>
      <c r="D836" s="2" t="s">
        <v>112</v>
      </c>
      <c r="E836" s="5">
        <v>-30431</v>
      </c>
      <c r="F836" s="3" t="s">
        <v>756</v>
      </c>
      <c r="G836" s="3" t="s">
        <v>2277</v>
      </c>
      <c r="H836" s="2" t="s">
        <v>21</v>
      </c>
      <c r="I836" s="2" t="s">
        <v>2278</v>
      </c>
      <c r="J836" s="3" t="str">
        <f>HYPERLINK("https://www.boe.es/gazeta/dias/1816/09/05/pdfs/GMD-1816-110.pdf#page=8","Abrir facsímil")</f>
        <v>Abrir facsímil</v>
      </c>
      <c r="K836" s="3" t="s">
        <v>23</v>
      </c>
    </row>
    <row r="837" spans="1:11" ht="42" customHeight="1">
      <c r="A837" s="2" t="s">
        <v>2272</v>
      </c>
      <c r="B837" s="2" t="s">
        <v>2273</v>
      </c>
      <c r="C837" s="2" t="s">
        <v>34</v>
      </c>
      <c r="D837" s="2" t="s">
        <v>35</v>
      </c>
      <c r="E837" s="5">
        <v>-30424</v>
      </c>
      <c r="F837" s="3" t="s">
        <v>142</v>
      </c>
      <c r="G837" s="3" t="s">
        <v>52</v>
      </c>
      <c r="H837" s="2" t="s">
        <v>21</v>
      </c>
      <c r="I837" s="2" t="s">
        <v>2279</v>
      </c>
      <c r="J837" s="3" t="str">
        <f>HYPERLINK("https://www.boe.es/gazeta/dias/1816/09/12/pdfs/GMD-1816-113.pdf#page=12","Abrir facsímil")</f>
        <v>Abrir facsímil</v>
      </c>
      <c r="K837" s="3" t="s">
        <v>23</v>
      </c>
    </row>
    <row r="838" spans="1:11" ht="42" customHeight="1">
      <c r="A838" s="2" t="s">
        <v>2272</v>
      </c>
      <c r="B838" s="2" t="s">
        <v>2273</v>
      </c>
      <c r="C838" s="2" t="s">
        <v>111</v>
      </c>
      <c r="D838" s="2" t="s">
        <v>112</v>
      </c>
      <c r="E838" s="5">
        <v>-30338</v>
      </c>
      <c r="F838" s="3" t="s">
        <v>464</v>
      </c>
      <c r="G838" s="3" t="s">
        <v>42</v>
      </c>
      <c r="H838" s="2" t="s">
        <v>21</v>
      </c>
      <c r="I838" s="2" t="s">
        <v>2280</v>
      </c>
      <c r="J838" s="3" t="str">
        <f>HYPERLINK("https://www.boe.es/gazeta/dias/1816/12/07/pdfs/GMD-1816-152.pdf#page=8","Abrir facsímil")</f>
        <v>Abrir facsímil</v>
      </c>
      <c r="K838" s="3" t="s">
        <v>23</v>
      </c>
    </row>
    <row r="839" spans="1:11" ht="42" customHeight="1">
      <c r="A839" s="2" t="s">
        <v>2281</v>
      </c>
      <c r="B839" s="2" t="s">
        <v>2281</v>
      </c>
      <c r="C839" s="2" t="s">
        <v>34</v>
      </c>
      <c r="D839" s="2" t="s">
        <v>35</v>
      </c>
      <c r="E839" s="5">
        <v>-30436</v>
      </c>
      <c r="F839" s="3" t="s">
        <v>102</v>
      </c>
      <c r="G839" s="3" t="s">
        <v>184</v>
      </c>
      <c r="H839" s="2" t="s">
        <v>21</v>
      </c>
      <c r="I839" s="2" t="s">
        <v>2282</v>
      </c>
      <c r="J839" s="3" t="str">
        <f>HYPERLINK("https://www.boe.es/gazeta/dias/1816/08/31/pdfs/GMD-1816-108.pdf#page=3","Abrir facsímil")</f>
        <v>Abrir facsímil</v>
      </c>
      <c r="K839" s="3" t="s">
        <v>23</v>
      </c>
    </row>
    <row r="840" spans="1:11" ht="42" customHeight="1">
      <c r="A840" s="2" t="s">
        <v>2283</v>
      </c>
      <c r="B840" s="2" t="s">
        <v>2284</v>
      </c>
      <c r="C840" s="2" t="s">
        <v>41</v>
      </c>
      <c r="D840" s="2" t="s">
        <v>18</v>
      </c>
      <c r="E840" s="5">
        <v>-30356</v>
      </c>
      <c r="F840" s="3" t="s">
        <v>824</v>
      </c>
      <c r="G840" s="3" t="s">
        <v>1826</v>
      </c>
      <c r="H840" s="2" t="s">
        <v>21</v>
      </c>
      <c r="I840" s="2" t="s">
        <v>2285</v>
      </c>
      <c r="J840" s="3" t="str">
        <f>HYPERLINK("https://www.boe.es/gazeta/dias/1816/11/19/pdfs/GMD-1816-144.pdf#page=5","Abrir facsímil")</f>
        <v>Abrir facsímil</v>
      </c>
      <c r="K840" s="3" t="s">
        <v>23</v>
      </c>
    </row>
    <row r="841" spans="1:11" ht="42" customHeight="1">
      <c r="A841" s="2" t="s">
        <v>2286</v>
      </c>
      <c r="B841" s="2" t="s">
        <v>2287</v>
      </c>
      <c r="C841" s="2" t="s">
        <v>26</v>
      </c>
      <c r="D841" s="2" t="s">
        <v>18</v>
      </c>
      <c r="E841" s="5">
        <v>-30424</v>
      </c>
      <c r="F841" s="3" t="s">
        <v>142</v>
      </c>
      <c r="G841" s="3" t="s">
        <v>143</v>
      </c>
      <c r="H841" s="2" t="s">
        <v>21</v>
      </c>
      <c r="I841" s="2" t="s">
        <v>2288</v>
      </c>
      <c r="J841" s="3" t="str">
        <f>HYPERLINK("https://www.boe.es/gazeta/dias/1816/09/12/pdfs/GMD-1816-113.pdf#page=4","Abrir facsímil")</f>
        <v>Abrir facsímil</v>
      </c>
      <c r="K841" s="3" t="s">
        <v>23</v>
      </c>
    </row>
    <row r="842" spans="1:11" ht="42" customHeight="1">
      <c r="A842" s="2" t="s">
        <v>2289</v>
      </c>
      <c r="B842" s="2" t="s">
        <v>2290</v>
      </c>
      <c r="C842" s="2" t="s">
        <v>34</v>
      </c>
      <c r="D842" s="2" t="s">
        <v>35</v>
      </c>
      <c r="E842" s="5">
        <v>-30405</v>
      </c>
      <c r="F842" s="3" t="s">
        <v>587</v>
      </c>
      <c r="G842" s="3" t="s">
        <v>47</v>
      </c>
      <c r="H842" s="2" t="s">
        <v>21</v>
      </c>
      <c r="I842" s="2" t="s">
        <v>2291</v>
      </c>
      <c r="J842" s="3" t="str">
        <f>HYPERLINK("https://www.boe.es/gazeta/dias/1816/10/01/pdfs/GMD-1816-121.pdf#page=5","Abrir facsímil")</f>
        <v>Abrir facsímil</v>
      </c>
      <c r="K842" s="3" t="s">
        <v>23</v>
      </c>
    </row>
    <row r="843" spans="1:11" ht="42" customHeight="1">
      <c r="A843" s="2" t="s">
        <v>2292</v>
      </c>
      <c r="B843" s="2" t="s">
        <v>2293</v>
      </c>
      <c r="C843" s="2" t="s">
        <v>34</v>
      </c>
      <c r="D843" s="2" t="s">
        <v>35</v>
      </c>
      <c r="E843" s="5">
        <v>-30594</v>
      </c>
      <c r="F843" s="3" t="s">
        <v>234</v>
      </c>
      <c r="G843" s="3" t="s">
        <v>42</v>
      </c>
      <c r="H843" s="2" t="s">
        <v>21</v>
      </c>
      <c r="I843" s="2" t="s">
        <v>2294</v>
      </c>
      <c r="J843" s="3" t="str">
        <f>HYPERLINK("https://www.boe.es/gazeta/dias/1816/03/26/pdfs/GMD-1816-40.pdf#page=8","Abrir facsímil")</f>
        <v>Abrir facsímil</v>
      </c>
      <c r="K843" s="3" t="s">
        <v>23</v>
      </c>
    </row>
    <row r="844" spans="1:11" ht="42" customHeight="1">
      <c r="A844" s="2" t="s">
        <v>2292</v>
      </c>
      <c r="B844" s="2" t="s">
        <v>2293</v>
      </c>
      <c r="C844" s="2" t="s">
        <v>34</v>
      </c>
      <c r="D844" s="2" t="s">
        <v>35</v>
      </c>
      <c r="E844" s="5">
        <v>-30580</v>
      </c>
      <c r="F844" s="3" t="s">
        <v>107</v>
      </c>
      <c r="G844" s="3" t="s">
        <v>28</v>
      </c>
      <c r="H844" s="2" t="s">
        <v>21</v>
      </c>
      <c r="I844" s="2" t="s">
        <v>2295</v>
      </c>
      <c r="J844" s="3" t="str">
        <f>HYPERLINK("https://www.boe.es/gazeta/dias/1816/04/09/pdfs/GMD-1816-46.pdf#page=6","Abrir facsímil")</f>
        <v>Abrir facsímil</v>
      </c>
      <c r="K844" s="3" t="s">
        <v>23</v>
      </c>
    </row>
    <row r="845" spans="1:11" ht="42" customHeight="1">
      <c r="A845" s="2" t="s">
        <v>2296</v>
      </c>
      <c r="B845" s="2" t="s">
        <v>2297</v>
      </c>
      <c r="C845" s="2" t="s">
        <v>34</v>
      </c>
      <c r="D845" s="2" t="s">
        <v>35</v>
      </c>
      <c r="E845" s="5">
        <v>-30359</v>
      </c>
      <c r="F845" s="3" t="s">
        <v>812</v>
      </c>
      <c r="G845" s="3" t="s">
        <v>47</v>
      </c>
      <c r="H845" s="2" t="s">
        <v>21</v>
      </c>
      <c r="I845" s="2" t="s">
        <v>2298</v>
      </c>
      <c r="J845" s="3" t="str">
        <f>HYPERLINK("https://www.boe.es/gazeta/dias/1816/11/16/pdfs/GMD-1816-143.pdf#page=5","Abrir facsímil")</f>
        <v>Abrir facsímil</v>
      </c>
      <c r="K845" s="3" t="s">
        <v>23</v>
      </c>
    </row>
    <row r="846" spans="1:11" ht="42" customHeight="1">
      <c r="A846" s="2" t="s">
        <v>2299</v>
      </c>
      <c r="B846" s="2" t="s">
        <v>2300</v>
      </c>
      <c r="C846" s="2" t="s">
        <v>41</v>
      </c>
      <c r="D846" s="2" t="s">
        <v>18</v>
      </c>
      <c r="E846" s="5">
        <v>-30443</v>
      </c>
      <c r="F846" s="3" t="s">
        <v>259</v>
      </c>
      <c r="G846" s="3" t="s">
        <v>260</v>
      </c>
      <c r="H846" s="2" t="s">
        <v>21</v>
      </c>
      <c r="I846" s="2" t="s">
        <v>2301</v>
      </c>
      <c r="J846" s="3" t="str">
        <f>HYPERLINK("https://www.boe.es/gazeta/dias/1816/08/24/pdfs/GMD-1816-105.pdf#page=8","Abrir facsímil")</f>
        <v>Abrir facsímil</v>
      </c>
      <c r="K846" s="3" t="s">
        <v>23</v>
      </c>
    </row>
    <row r="847" spans="1:11" ht="42" customHeight="1">
      <c r="A847" s="2" t="s">
        <v>2299</v>
      </c>
      <c r="B847" s="2" t="s">
        <v>2300</v>
      </c>
      <c r="C847" s="2" t="s">
        <v>41</v>
      </c>
      <c r="D847" s="2" t="s">
        <v>18</v>
      </c>
      <c r="E847" s="5">
        <v>-30398</v>
      </c>
      <c r="F847" s="3" t="s">
        <v>447</v>
      </c>
      <c r="G847" s="3" t="s">
        <v>72</v>
      </c>
      <c r="H847" s="2" t="s">
        <v>21</v>
      </c>
      <c r="I847" s="2" t="s">
        <v>2302</v>
      </c>
      <c r="J847" s="3" t="str">
        <f>HYPERLINK("https://www.boe.es/gazeta/dias/1816/10/08/pdfs/GMD-1816-125.pdf#page=7","Abrir facsímil")</f>
        <v>Abrir facsímil</v>
      </c>
      <c r="K847" s="3" t="s">
        <v>23</v>
      </c>
    </row>
    <row r="848" spans="1:11" ht="42" customHeight="1">
      <c r="A848" s="2" t="s">
        <v>2303</v>
      </c>
      <c r="B848" s="2" t="s">
        <v>2303</v>
      </c>
      <c r="C848" s="2" t="s">
        <v>34</v>
      </c>
      <c r="D848" s="2" t="s">
        <v>35</v>
      </c>
      <c r="E848" s="5">
        <v>-30545</v>
      </c>
      <c r="F848" s="3" t="s">
        <v>127</v>
      </c>
      <c r="G848" s="3" t="s">
        <v>184</v>
      </c>
      <c r="H848" s="2" t="s">
        <v>21</v>
      </c>
      <c r="I848" s="2" t="s">
        <v>2304</v>
      </c>
      <c r="J848" s="3" t="str">
        <f>HYPERLINK("https://www.boe.es/gazeta/dias/1816/05/14/pdfs/GMD-1816-61.pdf#page=3","Abrir facsímil")</f>
        <v>Abrir facsímil</v>
      </c>
      <c r="K848" s="3" t="s">
        <v>23</v>
      </c>
    </row>
    <row r="849" spans="1:11" ht="42" customHeight="1">
      <c r="A849" s="2" t="s">
        <v>2303</v>
      </c>
      <c r="B849" s="2" t="s">
        <v>2303</v>
      </c>
      <c r="C849" s="2" t="s">
        <v>34</v>
      </c>
      <c r="D849" s="2" t="s">
        <v>35</v>
      </c>
      <c r="E849" s="5">
        <v>-30545</v>
      </c>
      <c r="F849" s="3" t="s">
        <v>127</v>
      </c>
      <c r="G849" s="3" t="s">
        <v>103</v>
      </c>
      <c r="H849" s="2" t="s">
        <v>21</v>
      </c>
      <c r="I849" s="2" t="s">
        <v>2305</v>
      </c>
      <c r="J849" s="3" t="str">
        <f>HYPERLINK("https://www.boe.es/gazeta/dias/1816/05/14/pdfs/GMD-1816-61.pdf#page=4","Abrir facsímil")</f>
        <v>Abrir facsímil</v>
      </c>
      <c r="K849" s="3" t="s">
        <v>23</v>
      </c>
    </row>
    <row r="850" spans="1:11" ht="42" customHeight="1">
      <c r="A850" s="2" t="s">
        <v>2306</v>
      </c>
      <c r="B850" s="2" t="s">
        <v>2307</v>
      </c>
      <c r="C850" s="2" t="s">
        <v>34</v>
      </c>
      <c r="D850" s="2" t="s">
        <v>35</v>
      </c>
      <c r="E850" s="5">
        <v>-30576</v>
      </c>
      <c r="F850" s="3" t="s">
        <v>353</v>
      </c>
      <c r="G850" s="3" t="s">
        <v>72</v>
      </c>
      <c r="H850" s="2" t="s">
        <v>21</v>
      </c>
      <c r="I850" s="2" t="s">
        <v>2308</v>
      </c>
      <c r="J850" s="3" t="str">
        <f>HYPERLINK("https://www.boe.es/gazeta/dias/1816/04/13/pdfs/GMD-1816-48.pdf#page=7","Abrir facsímil")</f>
        <v>Abrir facsímil</v>
      </c>
      <c r="K850" s="3" t="s">
        <v>23</v>
      </c>
    </row>
    <row r="851" spans="1:11" ht="42" customHeight="1">
      <c r="A851" s="2" t="s">
        <v>2309</v>
      </c>
      <c r="B851" s="2" t="s">
        <v>2310</v>
      </c>
      <c r="C851" s="2" t="s">
        <v>111</v>
      </c>
      <c r="D851" s="2" t="s">
        <v>112</v>
      </c>
      <c r="E851" s="5">
        <v>-30597</v>
      </c>
      <c r="F851" s="3" t="s">
        <v>696</v>
      </c>
      <c r="G851" s="3" t="s">
        <v>47</v>
      </c>
      <c r="H851" s="2" t="s">
        <v>21</v>
      </c>
      <c r="I851" s="2" t="s">
        <v>2311</v>
      </c>
      <c r="J851" s="3" t="str">
        <f>HYPERLINK("https://www.boe.es/gazeta/dias/1816/03/23/pdfs/GMD-1816-39.pdf#page=5","Abrir facsímil")</f>
        <v>Abrir facsímil</v>
      </c>
      <c r="K851" s="3" t="s">
        <v>23</v>
      </c>
    </row>
    <row r="852" spans="1:11" ht="42" customHeight="1">
      <c r="A852" s="2" t="s">
        <v>2312</v>
      </c>
      <c r="B852" s="2" t="s">
        <v>2313</v>
      </c>
      <c r="C852" s="2" t="s">
        <v>34</v>
      </c>
      <c r="D852" s="2" t="s">
        <v>35</v>
      </c>
      <c r="E852" s="5">
        <v>-30485</v>
      </c>
      <c r="F852" s="3" t="s">
        <v>156</v>
      </c>
      <c r="G852" s="3" t="s">
        <v>28</v>
      </c>
      <c r="H852" s="2" t="s">
        <v>21</v>
      </c>
      <c r="I852" s="2" t="s">
        <v>2314</v>
      </c>
      <c r="J852" s="3" t="str">
        <f>HYPERLINK("https://www.boe.es/gazeta/dias/1816/07/13/pdfs/GMD-1816-87.pdf#page=6","Abrir facsímil")</f>
        <v>Abrir facsímil</v>
      </c>
      <c r="K852" s="3" t="s">
        <v>23</v>
      </c>
    </row>
    <row r="853" spans="1:11" ht="42" customHeight="1">
      <c r="A853" s="2" t="s">
        <v>2315</v>
      </c>
      <c r="B853" s="2" t="s">
        <v>2316</v>
      </c>
      <c r="C853" s="2" t="s">
        <v>26</v>
      </c>
      <c r="D853" s="2" t="s">
        <v>18</v>
      </c>
      <c r="E853" s="5">
        <v>-30433</v>
      </c>
      <c r="F853" s="3" t="s">
        <v>954</v>
      </c>
      <c r="G853" s="3" t="s">
        <v>955</v>
      </c>
      <c r="H853" s="2" t="s">
        <v>21</v>
      </c>
      <c r="I853" s="2" t="s">
        <v>2317</v>
      </c>
      <c r="J853" s="3" t="str">
        <f>HYPERLINK("https://www.boe.es/gazeta/dias/1816/09/03/pdfs/GMD-1816-109.pdf#page=7","Abrir facsímil")</f>
        <v>Abrir facsímil</v>
      </c>
      <c r="K853" s="3" t="s">
        <v>23</v>
      </c>
    </row>
    <row r="854" spans="1:11" ht="42" customHeight="1">
      <c r="A854" s="2" t="s">
        <v>2318</v>
      </c>
      <c r="B854" s="2" t="s">
        <v>2319</v>
      </c>
      <c r="C854" s="2" t="s">
        <v>111</v>
      </c>
      <c r="D854" s="2" t="s">
        <v>112</v>
      </c>
      <c r="E854" s="5">
        <v>-30431</v>
      </c>
      <c r="F854" s="3" t="s">
        <v>756</v>
      </c>
      <c r="G854" s="3" t="s">
        <v>72</v>
      </c>
      <c r="H854" s="2" t="s">
        <v>21</v>
      </c>
      <c r="I854" s="2" t="s">
        <v>2320</v>
      </c>
      <c r="J854" s="3" t="str">
        <f>HYPERLINK("https://www.boe.es/gazeta/dias/1816/09/05/pdfs/GMD-1816-110.pdf#page=7","Abrir facsímil")</f>
        <v>Abrir facsímil</v>
      </c>
      <c r="K854" s="3" t="s">
        <v>23</v>
      </c>
    </row>
    <row r="855" spans="1:11" ht="42" customHeight="1">
      <c r="A855" s="2" t="s">
        <v>2321</v>
      </c>
      <c r="B855" s="2" t="s">
        <v>2322</v>
      </c>
      <c r="C855" s="2" t="s">
        <v>111</v>
      </c>
      <c r="D855" s="2" t="s">
        <v>112</v>
      </c>
      <c r="E855" s="5">
        <v>-30382</v>
      </c>
      <c r="F855" s="3" t="s">
        <v>326</v>
      </c>
      <c r="G855" s="3" t="s">
        <v>28</v>
      </c>
      <c r="H855" s="2" t="s">
        <v>21</v>
      </c>
      <c r="I855" s="2" t="s">
        <v>2323</v>
      </c>
      <c r="J855" s="3" t="str">
        <f>HYPERLINK("https://www.boe.es/gazeta/dias/1816/10/24/pdfs/GMD-1816-133.pdf#page=6","Abrir facsímil")</f>
        <v>Abrir facsímil</v>
      </c>
      <c r="K855" s="3" t="s">
        <v>23</v>
      </c>
    </row>
    <row r="856" spans="1:11" ht="42" customHeight="1">
      <c r="A856" s="2" t="s">
        <v>2324</v>
      </c>
      <c r="B856" s="2" t="s">
        <v>2325</v>
      </c>
      <c r="C856" s="2" t="s">
        <v>41</v>
      </c>
      <c r="D856" s="2" t="s">
        <v>18</v>
      </c>
      <c r="E856" s="5">
        <v>-30475</v>
      </c>
      <c r="F856" s="3" t="s">
        <v>319</v>
      </c>
      <c r="G856" s="3" t="s">
        <v>767</v>
      </c>
      <c r="H856" s="2" t="s">
        <v>21</v>
      </c>
      <c r="I856" s="2" t="s">
        <v>2326</v>
      </c>
      <c r="J856" s="3" t="str">
        <f>HYPERLINK("https://www.boe.es/gazeta/dias/1816/07/23/pdfs/GMD-1816-91.pdf#page=8","Abrir facsímil")</f>
        <v>Abrir facsímil</v>
      </c>
      <c r="K856" s="3" t="s">
        <v>23</v>
      </c>
    </row>
    <row r="857" spans="1:11" ht="42" customHeight="1">
      <c r="A857" s="2" t="s">
        <v>2327</v>
      </c>
      <c r="B857" s="2" t="s">
        <v>2328</v>
      </c>
      <c r="C857" s="2" t="s">
        <v>41</v>
      </c>
      <c r="D857" s="2" t="s">
        <v>18</v>
      </c>
      <c r="E857" s="5">
        <v>-30559</v>
      </c>
      <c r="F857" s="3" t="s">
        <v>165</v>
      </c>
      <c r="G857" s="3" t="s">
        <v>166</v>
      </c>
      <c r="H857" s="2" t="s">
        <v>21</v>
      </c>
      <c r="I857" s="2" t="s">
        <v>2329</v>
      </c>
      <c r="J857" s="3" t="str">
        <f>HYPERLINK("https://www.boe.es/gazeta/dias/1816/04/30/pdfs/GMD-1816-55.pdf#page=7","Abrir facsímil")</f>
        <v>Abrir facsímil</v>
      </c>
      <c r="K857" s="3" t="s">
        <v>23</v>
      </c>
    </row>
    <row r="858" spans="1:11" ht="42" customHeight="1">
      <c r="A858" s="2" t="s">
        <v>2330</v>
      </c>
      <c r="B858" s="2" t="s">
        <v>2331</v>
      </c>
      <c r="C858" s="2" t="s">
        <v>111</v>
      </c>
      <c r="D858" s="2" t="s">
        <v>112</v>
      </c>
      <c r="E858" s="5">
        <v>-30468</v>
      </c>
      <c r="F858" s="3" t="s">
        <v>383</v>
      </c>
      <c r="G858" s="3" t="s">
        <v>184</v>
      </c>
      <c r="H858" s="2" t="s">
        <v>21</v>
      </c>
      <c r="I858" s="2" t="s">
        <v>2332</v>
      </c>
      <c r="J858" s="3" t="str">
        <f>HYPERLINK("https://www.boe.es/gazeta/dias/1816/07/30/pdfs/GMD-1816-94.pdf#page=3","Abrir facsímil")</f>
        <v>Abrir facsímil</v>
      </c>
      <c r="K858" s="3" t="s">
        <v>23</v>
      </c>
    </row>
    <row r="859" spans="1:11" ht="42" customHeight="1">
      <c r="A859" s="2" t="s">
        <v>2330</v>
      </c>
      <c r="B859" s="2" t="s">
        <v>2331</v>
      </c>
      <c r="C859" s="2" t="s">
        <v>111</v>
      </c>
      <c r="D859" s="2" t="s">
        <v>112</v>
      </c>
      <c r="E859" s="5">
        <v>-30382</v>
      </c>
      <c r="F859" s="3" t="s">
        <v>326</v>
      </c>
      <c r="G859" s="3" t="s">
        <v>28</v>
      </c>
      <c r="H859" s="2" t="s">
        <v>21</v>
      </c>
      <c r="I859" s="2" t="s">
        <v>2333</v>
      </c>
      <c r="J859" s="3" t="str">
        <f>HYPERLINK("https://www.boe.es/gazeta/dias/1816/10/24/pdfs/GMD-1816-133.pdf#page=6","Abrir facsímil")</f>
        <v>Abrir facsímil</v>
      </c>
      <c r="K859" s="3" t="s">
        <v>23</v>
      </c>
    </row>
    <row r="860" spans="1:11" ht="42" customHeight="1">
      <c r="A860" s="2" t="s">
        <v>2334</v>
      </c>
      <c r="B860" s="2" t="s">
        <v>2335</v>
      </c>
      <c r="C860" s="2" t="s">
        <v>34</v>
      </c>
      <c r="D860" s="2" t="s">
        <v>35</v>
      </c>
      <c r="E860" s="5">
        <v>-30366</v>
      </c>
      <c r="F860" s="3" t="s">
        <v>179</v>
      </c>
      <c r="G860" s="3" t="s">
        <v>72</v>
      </c>
      <c r="H860" s="2" t="s">
        <v>21</v>
      </c>
      <c r="I860" s="2" t="s">
        <v>2336</v>
      </c>
      <c r="J860" s="3" t="str">
        <f>HYPERLINK("https://www.boe.es/gazeta/dias/1816/11/09/pdfs/GMD-1816-140.pdf#page=7","Abrir facsímil")</f>
        <v>Abrir facsímil</v>
      </c>
      <c r="K860" s="3" t="s">
        <v>23</v>
      </c>
    </row>
    <row r="861" spans="1:11" ht="42" customHeight="1">
      <c r="A861" s="2" t="s">
        <v>2337</v>
      </c>
      <c r="B861" s="2" t="s">
        <v>2338</v>
      </c>
      <c r="C861" s="2" t="s">
        <v>34</v>
      </c>
      <c r="D861" s="2" t="s">
        <v>35</v>
      </c>
      <c r="E861" s="5">
        <v>-30473</v>
      </c>
      <c r="F861" s="3" t="s">
        <v>336</v>
      </c>
      <c r="G861" s="3" t="s">
        <v>337</v>
      </c>
      <c r="H861" s="2" t="s">
        <v>21</v>
      </c>
      <c r="I861" s="2" t="s">
        <v>2339</v>
      </c>
      <c r="J861" s="3" t="str">
        <f>HYPERLINK("https://www.boe.es/gazeta/dias/1816/07/25/pdfs/GMD-1816-92.pdf#page=3","Abrir facsímil")</f>
        <v>Abrir facsímil</v>
      </c>
      <c r="K861" s="3" t="s">
        <v>23</v>
      </c>
    </row>
    <row r="862" spans="1:11" ht="42" customHeight="1">
      <c r="A862" s="2" t="s">
        <v>2340</v>
      </c>
      <c r="B862" s="2" t="s">
        <v>2341</v>
      </c>
      <c r="C862" s="2" t="s">
        <v>26</v>
      </c>
      <c r="D862" s="2" t="s">
        <v>18</v>
      </c>
      <c r="E862" s="5">
        <v>-30377</v>
      </c>
      <c r="F862" s="3" t="s">
        <v>138</v>
      </c>
      <c r="G862" s="3" t="s">
        <v>47</v>
      </c>
      <c r="H862" s="2" t="s">
        <v>21</v>
      </c>
      <c r="I862" s="2" t="s">
        <v>2342</v>
      </c>
      <c r="J862" s="3" t="str">
        <f>HYPERLINK("https://www.boe.es/gazeta/dias/1816/10/29/pdfs/GMD-1816-135.pdf#page=5","Abrir facsímil")</f>
        <v>Abrir facsímil</v>
      </c>
      <c r="K862" s="3" t="s">
        <v>23</v>
      </c>
    </row>
    <row r="863" spans="1:11" ht="42" customHeight="1">
      <c r="A863" s="2" t="s">
        <v>2343</v>
      </c>
      <c r="B863" s="2" t="s">
        <v>2344</v>
      </c>
      <c r="C863" s="2" t="s">
        <v>34</v>
      </c>
      <c r="D863" s="2" t="s">
        <v>35</v>
      </c>
      <c r="E863" s="5">
        <v>-30475</v>
      </c>
      <c r="F863" s="3" t="s">
        <v>319</v>
      </c>
      <c r="G863" s="3" t="s">
        <v>103</v>
      </c>
      <c r="H863" s="2" t="s">
        <v>21</v>
      </c>
      <c r="I863" s="2" t="s">
        <v>2345</v>
      </c>
      <c r="J863" s="3" t="str">
        <f>HYPERLINK("https://www.boe.es/gazeta/dias/1816/07/23/pdfs/GMD-1816-91.pdf#page=4","Abrir facsímil")</f>
        <v>Abrir facsímil</v>
      </c>
      <c r="K863" s="3" t="s">
        <v>23</v>
      </c>
    </row>
    <row r="864" spans="1:11" ht="42" customHeight="1">
      <c r="A864" s="2" t="s">
        <v>2346</v>
      </c>
      <c r="B864" s="2" t="s">
        <v>2347</v>
      </c>
      <c r="C864" s="2" t="s">
        <v>111</v>
      </c>
      <c r="D864" s="2" t="s">
        <v>112</v>
      </c>
      <c r="E864" s="5">
        <v>-30366</v>
      </c>
      <c r="F864" s="3" t="s">
        <v>179</v>
      </c>
      <c r="G864" s="3" t="s">
        <v>72</v>
      </c>
      <c r="H864" s="2" t="s">
        <v>21</v>
      </c>
      <c r="I864" s="2" t="s">
        <v>2348</v>
      </c>
      <c r="J864" s="3" t="str">
        <f>HYPERLINK("https://www.boe.es/gazeta/dias/1816/11/09/pdfs/GMD-1816-140.pdf#page=7","Abrir facsímil")</f>
        <v>Abrir facsímil</v>
      </c>
      <c r="K864" s="3" t="s">
        <v>23</v>
      </c>
    </row>
    <row r="865" spans="1:11" ht="42" customHeight="1">
      <c r="A865" s="2" t="s">
        <v>2349</v>
      </c>
      <c r="B865" s="2" t="s">
        <v>2350</v>
      </c>
      <c r="C865" s="2" t="s">
        <v>111</v>
      </c>
      <c r="D865" s="2" t="s">
        <v>112</v>
      </c>
      <c r="E865" s="5">
        <v>-30384</v>
      </c>
      <c r="F865" s="3" t="s">
        <v>460</v>
      </c>
      <c r="G865" s="3" t="s">
        <v>28</v>
      </c>
      <c r="H865" s="2" t="s">
        <v>21</v>
      </c>
      <c r="I865" s="2" t="s">
        <v>2351</v>
      </c>
      <c r="J865" s="3" t="str">
        <f>HYPERLINK("https://www.boe.es/gazeta/dias/1816/10/22/pdfs/GMD-1816-132.pdf#page=6","Abrir facsímil")</f>
        <v>Abrir facsímil</v>
      </c>
      <c r="K865" s="3" t="s">
        <v>23</v>
      </c>
    </row>
    <row r="866" spans="1:11" ht="42" customHeight="1">
      <c r="A866" s="2" t="s">
        <v>2352</v>
      </c>
      <c r="B866" s="2" t="s">
        <v>2353</v>
      </c>
      <c r="C866" s="2" t="s">
        <v>111</v>
      </c>
      <c r="D866" s="2" t="s">
        <v>112</v>
      </c>
      <c r="E866" s="5">
        <v>-30331</v>
      </c>
      <c r="F866" s="3" t="s">
        <v>315</v>
      </c>
      <c r="G866" s="3" t="s">
        <v>47</v>
      </c>
      <c r="H866" s="2" t="s">
        <v>21</v>
      </c>
      <c r="I866" s="2" t="s">
        <v>2354</v>
      </c>
      <c r="J866" s="3" t="str">
        <f>HYPERLINK("https://www.boe.es/gazeta/dias/1816/12/14/pdfs/GMD-1816-155.pdf#page=5","Abrir facsímil")</f>
        <v>Abrir facsímil</v>
      </c>
      <c r="K866" s="3" t="s">
        <v>23</v>
      </c>
    </row>
    <row r="867" spans="1:11" ht="42" customHeight="1">
      <c r="A867" s="2" t="s">
        <v>2355</v>
      </c>
      <c r="B867" s="2" t="s">
        <v>2356</v>
      </c>
      <c r="C867" s="2" t="s">
        <v>41</v>
      </c>
      <c r="D867" s="2" t="s">
        <v>18</v>
      </c>
      <c r="E867" s="5">
        <v>-30571</v>
      </c>
      <c r="F867" s="3" t="s">
        <v>738</v>
      </c>
      <c r="G867" s="3" t="s">
        <v>42</v>
      </c>
      <c r="H867" s="2" t="s">
        <v>21</v>
      </c>
      <c r="I867" s="2" t="s">
        <v>2357</v>
      </c>
      <c r="J867" s="3" t="str">
        <f>HYPERLINK("https://www.boe.es/gazeta/dias/1816/04/18/pdfs/GMD-1816-50.pdf#page=8","Abrir facsímil")</f>
        <v>Abrir facsímil</v>
      </c>
      <c r="K867" s="3" t="s">
        <v>23</v>
      </c>
    </row>
    <row r="868" spans="1:11" ht="42" customHeight="1">
      <c r="A868" s="2" t="s">
        <v>2358</v>
      </c>
      <c r="B868" s="2" t="s">
        <v>2359</v>
      </c>
      <c r="C868" s="2" t="s">
        <v>34</v>
      </c>
      <c r="D868" s="2" t="s">
        <v>35</v>
      </c>
      <c r="E868" s="5">
        <v>-30314</v>
      </c>
      <c r="F868" s="3" t="s">
        <v>1899</v>
      </c>
      <c r="G868" s="3" t="s">
        <v>2360</v>
      </c>
      <c r="H868" s="2" t="s">
        <v>21</v>
      </c>
      <c r="I868" s="2" t="s">
        <v>2361</v>
      </c>
      <c r="J868" s="3" t="str">
        <f>HYPERLINK("https://www.boe.es/gazeta/dias/1816/12/31/pdfs/GMD-1816-162.pdf#page=4","Abrir facsímil")</f>
        <v>Abrir facsímil</v>
      </c>
      <c r="K868" s="3" t="s">
        <v>23</v>
      </c>
    </row>
    <row r="869" spans="1:11" ht="42" customHeight="1">
      <c r="A869" s="2" t="s">
        <v>2362</v>
      </c>
      <c r="B869" s="2" t="s">
        <v>2363</v>
      </c>
      <c r="C869" s="2" t="s">
        <v>41</v>
      </c>
      <c r="D869" s="2" t="s">
        <v>18</v>
      </c>
      <c r="E869" s="5">
        <v>-30494</v>
      </c>
      <c r="F869" s="3" t="s">
        <v>174</v>
      </c>
      <c r="G869" s="3" t="s">
        <v>175</v>
      </c>
      <c r="H869" s="2" t="s">
        <v>21</v>
      </c>
      <c r="I869" s="2" t="s">
        <v>2364</v>
      </c>
      <c r="J869" s="3" t="str">
        <f>HYPERLINK("https://www.boe.es/gazeta/dias/1816/07/04/pdfs/GMD-1816-83.pdf#page=11","Abrir facsímil")</f>
        <v>Abrir facsímil</v>
      </c>
      <c r="K869" s="3" t="s">
        <v>23</v>
      </c>
    </row>
    <row r="870" spans="1:11" ht="42" customHeight="1">
      <c r="A870" s="2" t="s">
        <v>2365</v>
      </c>
      <c r="B870" s="2" t="s">
        <v>2366</v>
      </c>
      <c r="C870" s="2" t="s">
        <v>111</v>
      </c>
      <c r="D870" s="2" t="s">
        <v>112</v>
      </c>
      <c r="E870" s="5">
        <v>-30529</v>
      </c>
      <c r="F870" s="3" t="s">
        <v>432</v>
      </c>
      <c r="G870" s="3" t="s">
        <v>28</v>
      </c>
      <c r="H870" s="2" t="s">
        <v>21</v>
      </c>
      <c r="I870" s="2" t="s">
        <v>2367</v>
      </c>
      <c r="J870" s="3" t="str">
        <f>HYPERLINK("https://www.boe.es/gazeta/dias/1816/05/30/pdfs/GMD-1816-68.pdf#page=6","Abrir facsímil")</f>
        <v>Abrir facsímil</v>
      </c>
      <c r="K870" s="3" t="s">
        <v>23</v>
      </c>
    </row>
    <row r="871" spans="1:11" ht="42" customHeight="1">
      <c r="A871" s="2" t="s">
        <v>2368</v>
      </c>
      <c r="B871" s="2" t="s">
        <v>2369</v>
      </c>
      <c r="C871" s="2" t="s">
        <v>26</v>
      </c>
      <c r="D871" s="2" t="s">
        <v>18</v>
      </c>
      <c r="E871" s="5">
        <v>-30366</v>
      </c>
      <c r="F871" s="3" t="s">
        <v>179</v>
      </c>
      <c r="G871" s="3" t="s">
        <v>103</v>
      </c>
      <c r="H871" s="2" t="s">
        <v>21</v>
      </c>
      <c r="I871" s="2" t="s">
        <v>2370</v>
      </c>
      <c r="J871" s="3" t="str">
        <f>HYPERLINK("https://www.boe.es/gazeta/dias/1816/11/09/pdfs/GMD-1816-140.pdf#page=4","Abrir facsímil")</f>
        <v>Abrir facsímil</v>
      </c>
      <c r="K871" s="3" t="s">
        <v>23</v>
      </c>
    </row>
    <row r="872" spans="1:11" ht="42" customHeight="1">
      <c r="A872" s="2" t="s">
        <v>2371</v>
      </c>
      <c r="B872" s="2" t="s">
        <v>2372</v>
      </c>
      <c r="C872" s="2" t="s">
        <v>26</v>
      </c>
      <c r="D872" s="2" t="s">
        <v>18</v>
      </c>
      <c r="E872" s="5">
        <v>-30457</v>
      </c>
      <c r="F872" s="3" t="s">
        <v>539</v>
      </c>
      <c r="G872" s="3" t="s">
        <v>28</v>
      </c>
      <c r="H872" s="2" t="s">
        <v>21</v>
      </c>
      <c r="I872" s="2" t="s">
        <v>2373</v>
      </c>
      <c r="J872" s="3" t="str">
        <f>HYPERLINK("https://www.boe.es/gazeta/dias/1816/08/10/pdfs/GMD-1816-99.pdf#page=6","Abrir facsímil")</f>
        <v>Abrir facsímil</v>
      </c>
      <c r="K872" s="3" t="s">
        <v>23</v>
      </c>
    </row>
    <row r="873" spans="1:11" ht="42" customHeight="1">
      <c r="A873" s="2" t="s">
        <v>2374</v>
      </c>
      <c r="B873" s="2" t="s">
        <v>2375</v>
      </c>
      <c r="C873" s="2" t="s">
        <v>26</v>
      </c>
      <c r="D873" s="2" t="s">
        <v>18</v>
      </c>
      <c r="E873" s="5">
        <v>-30349</v>
      </c>
      <c r="F873" s="3" t="s">
        <v>360</v>
      </c>
      <c r="G873" s="3" t="s">
        <v>72</v>
      </c>
      <c r="H873" s="2" t="s">
        <v>21</v>
      </c>
      <c r="I873" s="2" t="s">
        <v>2376</v>
      </c>
      <c r="J873" s="3" t="str">
        <f>HYPERLINK("https://www.boe.es/gazeta/dias/1816/11/26/pdfs/GMD-1816-147.pdf#page=7","Abrir facsímil")</f>
        <v>Abrir facsímil</v>
      </c>
      <c r="K873" s="3" t="s">
        <v>23</v>
      </c>
    </row>
    <row r="874" spans="1:11" ht="42" customHeight="1">
      <c r="A874" s="2" t="s">
        <v>2374</v>
      </c>
      <c r="B874" s="2" t="s">
        <v>2375</v>
      </c>
      <c r="C874" s="2" t="s">
        <v>67</v>
      </c>
      <c r="D874" s="2" t="s">
        <v>18</v>
      </c>
      <c r="E874" s="5">
        <v>-30349</v>
      </c>
      <c r="F874" s="3" t="s">
        <v>360</v>
      </c>
      <c r="G874" s="3" t="s">
        <v>42</v>
      </c>
      <c r="H874" s="2" t="s">
        <v>21</v>
      </c>
      <c r="I874" s="2" t="s">
        <v>2377</v>
      </c>
      <c r="J874" s="3" t="str">
        <f>HYPERLINK("https://www.boe.es/gazeta/dias/1816/11/26/pdfs/GMD-1816-147.pdf#page=8","Abrir facsímil")</f>
        <v>Abrir facsímil</v>
      </c>
      <c r="K874" s="3" t="s">
        <v>23</v>
      </c>
    </row>
    <row r="875" spans="1:11" ht="42" customHeight="1">
      <c r="A875" s="2" t="s">
        <v>2378</v>
      </c>
      <c r="B875" s="2" t="s">
        <v>2379</v>
      </c>
      <c r="C875" s="2" t="s">
        <v>26</v>
      </c>
      <c r="D875" s="2" t="s">
        <v>18</v>
      </c>
      <c r="E875" s="5">
        <v>-30349</v>
      </c>
      <c r="F875" s="3" t="s">
        <v>360</v>
      </c>
      <c r="G875" s="3" t="s">
        <v>72</v>
      </c>
      <c r="H875" s="2" t="s">
        <v>21</v>
      </c>
      <c r="I875" s="2" t="s">
        <v>2380</v>
      </c>
      <c r="J875" s="3" t="str">
        <f>HYPERLINK("https://www.boe.es/gazeta/dias/1816/11/26/pdfs/GMD-1816-147.pdf#page=7","Abrir facsímil")</f>
        <v>Abrir facsímil</v>
      </c>
      <c r="K875" s="3" t="s">
        <v>23</v>
      </c>
    </row>
    <row r="876" spans="1:11" ht="42" customHeight="1">
      <c r="A876" s="2" t="s">
        <v>2378</v>
      </c>
      <c r="B876" s="2" t="s">
        <v>2379</v>
      </c>
      <c r="C876" s="2" t="s">
        <v>26</v>
      </c>
      <c r="D876" s="2" t="s">
        <v>18</v>
      </c>
      <c r="E876" s="5">
        <v>-30321</v>
      </c>
      <c r="F876" s="3" t="s">
        <v>1086</v>
      </c>
      <c r="G876" s="3" t="s">
        <v>92</v>
      </c>
      <c r="H876" s="2" t="s">
        <v>21</v>
      </c>
      <c r="I876" s="2" t="s">
        <v>2381</v>
      </c>
      <c r="J876" s="3" t="str">
        <f>HYPERLINK("https://www.boe.es/gazeta/dias/1816/12/24/pdfs/GMD-1816-159.pdf#page=9","Abrir facsímil")</f>
        <v>Abrir facsímil</v>
      </c>
      <c r="K876" s="3" t="s">
        <v>23</v>
      </c>
    </row>
    <row r="877" spans="1:11" ht="42" customHeight="1">
      <c r="A877" s="2" t="s">
        <v>2382</v>
      </c>
      <c r="B877" s="2" t="s">
        <v>2383</v>
      </c>
      <c r="C877" s="2" t="s">
        <v>17</v>
      </c>
      <c r="D877" s="2" t="s">
        <v>18</v>
      </c>
      <c r="E877" s="5">
        <v>-30632</v>
      </c>
      <c r="F877" s="3" t="s">
        <v>89</v>
      </c>
      <c r="G877" s="3" t="s">
        <v>42</v>
      </c>
      <c r="H877" s="2" t="s">
        <v>21</v>
      </c>
      <c r="I877" s="2" t="s">
        <v>2384</v>
      </c>
      <c r="J877" s="3" t="str">
        <f>HYPERLINK("https://www.boe.es/gazeta/dias/1816/02/17/pdfs/GMD-1816-22.pdf#page=8","Abrir facsímil")</f>
        <v>Abrir facsímil</v>
      </c>
      <c r="K877" s="3" t="s">
        <v>23</v>
      </c>
    </row>
    <row r="878" spans="1:11" ht="42" customHeight="1">
      <c r="A878" s="2" t="s">
        <v>2385</v>
      </c>
      <c r="B878" s="2" t="s">
        <v>2386</v>
      </c>
      <c r="C878" s="2" t="s">
        <v>26</v>
      </c>
      <c r="D878" s="2" t="s">
        <v>18</v>
      </c>
      <c r="E878" s="5">
        <v>-30366</v>
      </c>
      <c r="F878" s="3" t="s">
        <v>179</v>
      </c>
      <c r="G878" s="3" t="s">
        <v>47</v>
      </c>
      <c r="H878" s="2" t="s">
        <v>21</v>
      </c>
      <c r="I878" s="2" t="s">
        <v>2387</v>
      </c>
      <c r="J878" s="3" t="str">
        <f>HYPERLINK("https://www.boe.es/gazeta/dias/1816/11/09/pdfs/GMD-1816-140.pdf#page=5","Abrir facsímil")</f>
        <v>Abrir facsímil</v>
      </c>
      <c r="K878" s="3" t="s">
        <v>23</v>
      </c>
    </row>
    <row r="879" spans="1:11" ht="42" customHeight="1">
      <c r="A879" s="2" t="s">
        <v>2388</v>
      </c>
      <c r="B879" s="2" t="s">
        <v>2389</v>
      </c>
      <c r="C879" s="2" t="s">
        <v>41</v>
      </c>
      <c r="D879" s="2" t="s">
        <v>18</v>
      </c>
      <c r="E879" s="5">
        <v>-30373</v>
      </c>
      <c r="F879" s="3" t="s">
        <v>1280</v>
      </c>
      <c r="G879" s="3" t="s">
        <v>1281</v>
      </c>
      <c r="H879" s="2" t="s">
        <v>21</v>
      </c>
      <c r="I879" s="2" t="s">
        <v>2390</v>
      </c>
      <c r="J879" s="3" t="str">
        <f>HYPERLINK("https://www.boe.es/gazeta/dias/1816/11/02/pdfs/GMD-1816-137.pdf#page=6","Abrir facsímil")</f>
        <v>Abrir facsímil</v>
      </c>
      <c r="K879" s="3" t="s">
        <v>23</v>
      </c>
    </row>
    <row r="880" spans="1:11" ht="42" customHeight="1">
      <c r="A880" s="2" t="s">
        <v>2391</v>
      </c>
      <c r="B880" s="2" t="s">
        <v>2392</v>
      </c>
      <c r="C880" s="2" t="s">
        <v>34</v>
      </c>
      <c r="D880" s="2" t="s">
        <v>56</v>
      </c>
      <c r="E880" s="5">
        <v>-30393</v>
      </c>
      <c r="F880" s="3" t="s">
        <v>202</v>
      </c>
      <c r="G880" s="3" t="s">
        <v>184</v>
      </c>
      <c r="H880" s="2" t="s">
        <v>21</v>
      </c>
      <c r="I880" s="2" t="s">
        <v>2393</v>
      </c>
      <c r="J880" s="3" t="str">
        <f>HYPERLINK("https://www.boe.es/gazeta/dias/1816/10/13/pdfs/GMD-1816-128E.pdf#page=3","Abrir facsímil")</f>
        <v>Abrir facsímil</v>
      </c>
      <c r="K880" s="3" t="s">
        <v>23</v>
      </c>
    </row>
    <row r="881" spans="1:11" ht="42" customHeight="1">
      <c r="A881" s="2" t="s">
        <v>2394</v>
      </c>
      <c r="B881" s="2" t="s">
        <v>2395</v>
      </c>
      <c r="C881" s="2" t="s">
        <v>34</v>
      </c>
      <c r="D881" s="2" t="s">
        <v>35</v>
      </c>
      <c r="E881" s="5">
        <v>-30613</v>
      </c>
      <c r="F881" s="3" t="s">
        <v>392</v>
      </c>
      <c r="G881" s="3" t="s">
        <v>2396</v>
      </c>
      <c r="H881" s="2" t="s">
        <v>21</v>
      </c>
      <c r="I881" s="2" t="s">
        <v>2397</v>
      </c>
      <c r="J881" s="3" t="str">
        <f>HYPERLINK("https://www.boe.es/gazeta/dias/1816/03/07/pdfs/GMD-1816-31.pdf#page=5","Abrir facsímil")</f>
        <v>Abrir facsímil</v>
      </c>
      <c r="K881" s="3" t="s">
        <v>23</v>
      </c>
    </row>
    <row r="882" spans="1:11" ht="42" customHeight="1">
      <c r="A882" s="2" t="s">
        <v>2394</v>
      </c>
      <c r="B882" s="2" t="s">
        <v>2395</v>
      </c>
      <c r="C882" s="2" t="s">
        <v>34</v>
      </c>
      <c r="D882" s="2" t="s">
        <v>35</v>
      </c>
      <c r="E882" s="5">
        <v>-30594</v>
      </c>
      <c r="F882" s="3" t="s">
        <v>234</v>
      </c>
      <c r="G882" s="3" t="s">
        <v>28</v>
      </c>
      <c r="H882" s="2" t="s">
        <v>21</v>
      </c>
      <c r="I882" s="2" t="s">
        <v>2398</v>
      </c>
      <c r="J882" s="3" t="str">
        <f>HYPERLINK("https://www.boe.es/gazeta/dias/1816/03/26/pdfs/GMD-1816-40.pdf#page=6","Abrir facsímil")</f>
        <v>Abrir facsímil</v>
      </c>
      <c r="K882" s="3" t="s">
        <v>23</v>
      </c>
    </row>
    <row r="883" spans="1:11" ht="42" customHeight="1">
      <c r="A883" s="2" t="s">
        <v>2394</v>
      </c>
      <c r="B883" s="2" t="s">
        <v>2395</v>
      </c>
      <c r="C883" s="2" t="s">
        <v>111</v>
      </c>
      <c r="D883" s="2" t="s">
        <v>112</v>
      </c>
      <c r="E883" s="5">
        <v>-30594</v>
      </c>
      <c r="F883" s="3" t="s">
        <v>234</v>
      </c>
      <c r="G883" s="3" t="s">
        <v>42</v>
      </c>
      <c r="H883" s="2" t="s">
        <v>21</v>
      </c>
      <c r="I883" s="2" t="s">
        <v>2399</v>
      </c>
      <c r="J883" s="3" t="str">
        <f>HYPERLINK("https://www.boe.es/gazeta/dias/1816/03/26/pdfs/GMD-1816-40.pdf#page=8","Abrir facsímil")</f>
        <v>Abrir facsímil</v>
      </c>
      <c r="K883" s="3" t="s">
        <v>23</v>
      </c>
    </row>
    <row r="884" spans="1:11" ht="42" customHeight="1">
      <c r="A884" s="2" t="s">
        <v>2394</v>
      </c>
      <c r="B884" s="2" t="s">
        <v>2395</v>
      </c>
      <c r="C884" s="2" t="s">
        <v>34</v>
      </c>
      <c r="D884" s="2" t="s">
        <v>35</v>
      </c>
      <c r="E884" s="5">
        <v>-30592</v>
      </c>
      <c r="F884" s="3" t="s">
        <v>236</v>
      </c>
      <c r="G884" s="3" t="s">
        <v>103</v>
      </c>
      <c r="H884" s="2" t="s">
        <v>21</v>
      </c>
      <c r="I884" s="2" t="s">
        <v>2400</v>
      </c>
      <c r="J884" s="3" t="str">
        <f>HYPERLINK("https://www.boe.es/gazeta/dias/1816/03/28/pdfs/GMD-1816-41.pdf#page=4","Abrir facsímil")</f>
        <v>Abrir facsímil</v>
      </c>
      <c r="K884" s="3" t="s">
        <v>23</v>
      </c>
    </row>
    <row r="885" spans="1:11" ht="42" customHeight="1">
      <c r="A885" s="2" t="s">
        <v>2401</v>
      </c>
      <c r="B885" s="2" t="s">
        <v>2402</v>
      </c>
      <c r="C885" s="2" t="s">
        <v>67</v>
      </c>
      <c r="D885" s="2" t="s">
        <v>18</v>
      </c>
      <c r="E885" s="5">
        <v>-30629</v>
      </c>
      <c r="F885" s="3" t="s">
        <v>904</v>
      </c>
      <c r="G885" s="3" t="s">
        <v>42</v>
      </c>
      <c r="H885" s="2" t="s">
        <v>21</v>
      </c>
      <c r="I885" s="2" t="s">
        <v>2403</v>
      </c>
      <c r="J885" s="3" t="str">
        <f>HYPERLINK("https://www.boe.es/gazeta/dias/1816/02/20/pdfs/GMD-1816-23.pdf#page=8","Abrir facsímil")</f>
        <v>Abrir facsímil</v>
      </c>
      <c r="K885" s="3" t="s">
        <v>23</v>
      </c>
    </row>
    <row r="886" spans="1:11" ht="42" customHeight="1">
      <c r="A886" s="2" t="s">
        <v>2404</v>
      </c>
      <c r="B886" s="2" t="s">
        <v>2405</v>
      </c>
      <c r="C886" s="2" t="s">
        <v>34</v>
      </c>
      <c r="D886" s="2" t="s">
        <v>35</v>
      </c>
      <c r="E886" s="5">
        <v>-30506</v>
      </c>
      <c r="F886" s="3" t="s">
        <v>220</v>
      </c>
      <c r="G886" s="3" t="s">
        <v>47</v>
      </c>
      <c r="H886" s="2" t="s">
        <v>21</v>
      </c>
      <c r="I886" s="2" t="s">
        <v>2406</v>
      </c>
      <c r="J886" s="3" t="str">
        <f>HYPERLINK("https://www.boe.es/gazeta/dias/1816/06/22/pdfs/GMD-1816-78.pdf#page=5","Abrir facsímil")</f>
        <v>Abrir facsímil</v>
      </c>
      <c r="K886" s="3" t="s">
        <v>23</v>
      </c>
    </row>
    <row r="887" spans="1:11" ht="42" customHeight="1">
      <c r="A887" s="2" t="s">
        <v>2407</v>
      </c>
      <c r="B887" s="2" t="s">
        <v>2408</v>
      </c>
      <c r="C887" s="2" t="s">
        <v>34</v>
      </c>
      <c r="D887" s="2" t="s">
        <v>35</v>
      </c>
      <c r="E887" s="5">
        <v>-30506</v>
      </c>
      <c r="F887" s="3" t="s">
        <v>220</v>
      </c>
      <c r="G887" s="3" t="s">
        <v>47</v>
      </c>
      <c r="H887" s="2" t="s">
        <v>21</v>
      </c>
      <c r="I887" s="2" t="s">
        <v>2409</v>
      </c>
      <c r="J887" s="3" t="str">
        <f>HYPERLINK("https://www.boe.es/gazeta/dias/1816/06/22/pdfs/GMD-1816-78.pdf#page=5","Abrir facsímil")</f>
        <v>Abrir facsímil</v>
      </c>
      <c r="K887" s="3" t="s">
        <v>23</v>
      </c>
    </row>
    <row r="888" spans="1:11" ht="42" customHeight="1">
      <c r="A888" s="2" t="s">
        <v>2410</v>
      </c>
      <c r="B888" s="2" t="s">
        <v>2411</v>
      </c>
      <c r="C888" s="2" t="s">
        <v>111</v>
      </c>
      <c r="D888" s="2" t="s">
        <v>112</v>
      </c>
      <c r="E888" s="5">
        <v>-30650</v>
      </c>
      <c r="F888" s="3" t="s">
        <v>1170</v>
      </c>
      <c r="G888" s="3" t="s">
        <v>42</v>
      </c>
      <c r="H888" s="2" t="s">
        <v>21</v>
      </c>
      <c r="I888" s="2" t="s">
        <v>2412</v>
      </c>
      <c r="J888" s="3" t="str">
        <f>HYPERLINK("https://www.boe.es/gazeta/dias/1816/01/30/pdfs/GMD-1816-14.pdf#page=8","Abrir facsímil")</f>
        <v>Abrir facsímil</v>
      </c>
      <c r="K888" s="3" t="s">
        <v>23</v>
      </c>
    </row>
    <row r="889" spans="1:11" ht="42" customHeight="1">
      <c r="A889" s="2" t="s">
        <v>2413</v>
      </c>
      <c r="B889" s="2" t="s">
        <v>2414</v>
      </c>
      <c r="C889" s="2" t="s">
        <v>111</v>
      </c>
      <c r="D889" s="2" t="s">
        <v>112</v>
      </c>
      <c r="E889" s="5">
        <v>-30438</v>
      </c>
      <c r="F889" s="3" t="s">
        <v>299</v>
      </c>
      <c r="G889" s="3" t="s">
        <v>300</v>
      </c>
      <c r="H889" s="2" t="s">
        <v>21</v>
      </c>
      <c r="I889" s="2" t="s">
        <v>2415</v>
      </c>
      <c r="J889" s="3" t="str">
        <f>HYPERLINK("https://www.boe.es/gazeta/dias/1816/08/29/pdfs/GMD-1816-107.pdf#page=12","Abrir facsímil")</f>
        <v>Abrir facsímil</v>
      </c>
      <c r="K889" s="3" t="s">
        <v>23</v>
      </c>
    </row>
    <row r="890" spans="1:11" ht="42" customHeight="1">
      <c r="A890" s="2" t="s">
        <v>2416</v>
      </c>
      <c r="B890" s="2" t="s">
        <v>2417</v>
      </c>
      <c r="C890" s="2" t="s">
        <v>26</v>
      </c>
      <c r="D890" s="2" t="s">
        <v>18</v>
      </c>
      <c r="E890" s="5">
        <v>-30655</v>
      </c>
      <c r="F890" s="3" t="s">
        <v>170</v>
      </c>
      <c r="G890" s="3" t="s">
        <v>72</v>
      </c>
      <c r="H890" s="2" t="s">
        <v>21</v>
      </c>
      <c r="I890" s="2" t="s">
        <v>2418</v>
      </c>
      <c r="J890" s="3" t="str">
        <f>HYPERLINK("https://www.boe.es/gazeta/dias/1816/01/25/pdfs/GMD-1816-11.pdf#page=7","Abrir facsímil")</f>
        <v>Abrir facsímil</v>
      </c>
      <c r="K890" s="3" t="s">
        <v>23</v>
      </c>
    </row>
    <row r="891" spans="1:11" ht="42" customHeight="1">
      <c r="A891" s="2" t="s">
        <v>2419</v>
      </c>
      <c r="B891" s="2" t="s">
        <v>2419</v>
      </c>
      <c r="C891" s="2" t="s">
        <v>34</v>
      </c>
      <c r="D891" s="2" t="s">
        <v>35</v>
      </c>
      <c r="E891" s="5">
        <v>-30639</v>
      </c>
      <c r="F891" s="3" t="s">
        <v>87</v>
      </c>
      <c r="G891" s="3" t="s">
        <v>184</v>
      </c>
      <c r="H891" s="2" t="s">
        <v>21</v>
      </c>
      <c r="I891" s="2" t="s">
        <v>2420</v>
      </c>
      <c r="J891" s="3" t="str">
        <f>HYPERLINK("https://www.boe.es/gazeta/dias/1816/02/10/pdfs/GMD-1816-19.pdf#page=3","Abrir facsímil")</f>
        <v>Abrir facsímil</v>
      </c>
      <c r="K891" s="3" t="s">
        <v>23</v>
      </c>
    </row>
    <row r="892" spans="1:11" ht="42" customHeight="1">
      <c r="A892" s="2" t="s">
        <v>2421</v>
      </c>
      <c r="B892" s="2" t="s">
        <v>2422</v>
      </c>
      <c r="C892" s="2" t="s">
        <v>34</v>
      </c>
      <c r="D892" s="2" t="s">
        <v>56</v>
      </c>
      <c r="E892" s="5">
        <v>-30393</v>
      </c>
      <c r="F892" s="3" t="s">
        <v>202</v>
      </c>
      <c r="G892" s="3" t="s">
        <v>270</v>
      </c>
      <c r="H892" s="2" t="s">
        <v>29</v>
      </c>
      <c r="I892" s="2" t="s">
        <v>2423</v>
      </c>
      <c r="J892" s="3" t="str">
        <f>HYPERLINK("https://www.boe.es/gazeta/dias/1816/10/13/pdfs/GMD-1816-128E.pdf#page=2","Abrir facsímil")</f>
        <v>Abrir facsímil</v>
      </c>
      <c r="K892" s="3" t="s">
        <v>31</v>
      </c>
    </row>
    <row r="893" spans="1:11" ht="42" customHeight="1">
      <c r="A893" s="2" t="s">
        <v>2424</v>
      </c>
      <c r="B893" s="2" t="s">
        <v>2425</v>
      </c>
      <c r="C893" s="2" t="s">
        <v>111</v>
      </c>
      <c r="D893" s="2" t="s">
        <v>112</v>
      </c>
      <c r="E893" s="5">
        <v>-30655</v>
      </c>
      <c r="F893" s="3" t="s">
        <v>170</v>
      </c>
      <c r="G893" s="3" t="s">
        <v>72</v>
      </c>
      <c r="H893" s="2" t="s">
        <v>21</v>
      </c>
      <c r="I893" s="2" t="s">
        <v>2426</v>
      </c>
      <c r="J893" s="3" t="str">
        <f>HYPERLINK("https://www.boe.es/gazeta/dias/1816/01/25/pdfs/GMD-1816-11.pdf#page=7","Abrir facsímil")</f>
        <v>Abrir facsímil</v>
      </c>
      <c r="K893" s="3" t="s">
        <v>23</v>
      </c>
    </row>
    <row r="894" spans="1:11" ht="42" customHeight="1">
      <c r="A894" s="2" t="s">
        <v>2427</v>
      </c>
      <c r="B894" s="2" t="s">
        <v>2428</v>
      </c>
      <c r="C894" s="2" t="s">
        <v>26</v>
      </c>
      <c r="D894" s="2" t="s">
        <v>18</v>
      </c>
      <c r="E894" s="5">
        <v>-30494</v>
      </c>
      <c r="F894" s="3" t="s">
        <v>174</v>
      </c>
      <c r="G894" s="3" t="s">
        <v>175</v>
      </c>
      <c r="H894" s="2" t="s">
        <v>21</v>
      </c>
      <c r="I894" s="2" t="s">
        <v>2429</v>
      </c>
      <c r="J894" s="3" t="str">
        <f>HYPERLINK("https://www.boe.es/gazeta/dias/1816/07/04/pdfs/GMD-1816-83.pdf#page=11","Abrir facsímil")</f>
        <v>Abrir facsímil</v>
      </c>
      <c r="K894" s="3" t="s">
        <v>23</v>
      </c>
    </row>
    <row r="895" spans="1:11" ht="42" customHeight="1">
      <c r="A895" s="2" t="s">
        <v>2430</v>
      </c>
      <c r="B895" s="2" t="s">
        <v>2431</v>
      </c>
      <c r="C895" s="2" t="s">
        <v>34</v>
      </c>
      <c r="D895" s="2" t="s">
        <v>35</v>
      </c>
      <c r="E895" s="5">
        <v>-30387</v>
      </c>
      <c r="F895" s="3" t="s">
        <v>224</v>
      </c>
      <c r="G895" s="3" t="s">
        <v>28</v>
      </c>
      <c r="H895" s="2" t="s">
        <v>21</v>
      </c>
      <c r="I895" s="2" t="s">
        <v>2432</v>
      </c>
      <c r="J895" s="3" t="str">
        <f>HYPERLINK("https://www.boe.es/gazeta/dias/1816/10/19/pdfs/GMD-1816-131.pdf#page=6","Abrir facsímil")</f>
        <v>Abrir facsímil</v>
      </c>
      <c r="K895" s="3" t="s">
        <v>23</v>
      </c>
    </row>
    <row r="896" spans="1:11" ht="42" customHeight="1">
      <c r="A896" s="2" t="s">
        <v>2433</v>
      </c>
      <c r="B896" s="2" t="s">
        <v>2434</v>
      </c>
      <c r="C896" s="2" t="s">
        <v>26</v>
      </c>
      <c r="D896" s="2" t="s">
        <v>18</v>
      </c>
      <c r="E896" s="5">
        <v>-30391</v>
      </c>
      <c r="F896" s="3" t="s">
        <v>482</v>
      </c>
      <c r="G896" s="3" t="s">
        <v>28</v>
      </c>
      <c r="H896" s="2" t="s">
        <v>21</v>
      </c>
      <c r="I896" s="2" t="s">
        <v>2435</v>
      </c>
      <c r="J896" s="3" t="str">
        <f>HYPERLINK("https://www.boe.es/gazeta/dias/1816/10/15/pdfs/GMD-1816-129.pdf#page=6","Abrir facsímil")</f>
        <v>Abrir facsímil</v>
      </c>
      <c r="K896" s="3" t="s">
        <v>23</v>
      </c>
    </row>
    <row r="897" spans="1:11" ht="42" customHeight="1">
      <c r="A897" s="2" t="s">
        <v>2436</v>
      </c>
      <c r="B897" s="2" t="s">
        <v>2437</v>
      </c>
      <c r="C897" s="2" t="s">
        <v>34</v>
      </c>
      <c r="D897" s="2" t="s">
        <v>56</v>
      </c>
      <c r="E897" s="5">
        <v>-30393</v>
      </c>
      <c r="F897" s="3" t="s">
        <v>202</v>
      </c>
      <c r="G897" s="3" t="s">
        <v>645</v>
      </c>
      <c r="H897" s="2" t="s">
        <v>21</v>
      </c>
      <c r="I897" s="2" t="s">
        <v>2438</v>
      </c>
      <c r="J897" s="3" t="str">
        <f>HYPERLINK("https://www.boe.es/gazeta/dias/1816/10/13/pdfs/GMD-1816-128E.pdf#page=4","Abrir facsímil")</f>
        <v>Abrir facsímil</v>
      </c>
      <c r="K897" s="3" t="s">
        <v>23</v>
      </c>
    </row>
    <row r="898" spans="1:11" ht="42" customHeight="1">
      <c r="A898" s="2" t="s">
        <v>2439</v>
      </c>
      <c r="B898" s="2" t="s">
        <v>2440</v>
      </c>
      <c r="C898" s="2" t="s">
        <v>34</v>
      </c>
      <c r="D898" s="2" t="s">
        <v>35</v>
      </c>
      <c r="E898" s="5">
        <v>-30405</v>
      </c>
      <c r="F898" s="3" t="s">
        <v>587</v>
      </c>
      <c r="G898" s="3" t="s">
        <v>270</v>
      </c>
      <c r="H898" s="2" t="s">
        <v>21</v>
      </c>
      <c r="I898" s="2" t="s">
        <v>2441</v>
      </c>
      <c r="J898" s="3" t="str">
        <f>HYPERLINK("https://www.boe.es/gazeta/dias/1816/10/01/pdfs/GMD-1816-121.pdf#page=2","Abrir facsímil")</f>
        <v>Abrir facsímil</v>
      </c>
      <c r="K898" s="3" t="s">
        <v>23</v>
      </c>
    </row>
    <row r="899" spans="1:11" ht="42" customHeight="1">
      <c r="A899" s="2" t="s">
        <v>2442</v>
      </c>
      <c r="B899" s="2" t="s">
        <v>2443</v>
      </c>
      <c r="C899" s="2" t="s">
        <v>26</v>
      </c>
      <c r="D899" s="2" t="s">
        <v>18</v>
      </c>
      <c r="E899" s="5">
        <v>-30324</v>
      </c>
      <c r="F899" s="3" t="s">
        <v>46</v>
      </c>
      <c r="G899" s="3" t="s">
        <v>270</v>
      </c>
      <c r="H899" s="2" t="s">
        <v>21</v>
      </c>
      <c r="I899" s="2" t="s">
        <v>2444</v>
      </c>
      <c r="J899" s="3" t="str">
        <f>HYPERLINK("https://www.boe.es/gazeta/dias/1816/12/21/pdfs/GMD-1816-158.pdf#page=2","Abrir facsímil")</f>
        <v>Abrir facsímil</v>
      </c>
      <c r="K899" s="3" t="s">
        <v>23</v>
      </c>
    </row>
    <row r="900" spans="1:11" ht="42" customHeight="1">
      <c r="A900" s="2" t="s">
        <v>2445</v>
      </c>
      <c r="B900" s="2" t="s">
        <v>2446</v>
      </c>
      <c r="C900" s="2" t="s">
        <v>34</v>
      </c>
      <c r="D900" s="2" t="s">
        <v>35</v>
      </c>
      <c r="E900" s="5">
        <v>-30667</v>
      </c>
      <c r="F900" s="3" t="s">
        <v>659</v>
      </c>
      <c r="G900" s="3" t="s">
        <v>1733</v>
      </c>
      <c r="H900" s="2" t="s">
        <v>21</v>
      </c>
      <c r="I900" s="2" t="s">
        <v>2447</v>
      </c>
      <c r="J900" s="3" t="str">
        <f>HYPERLINK("https://www.boe.es/gazeta/dias/1816/01/13/pdfs/GMD-1816-6.pdf#page=7","Abrir facsímil")</f>
        <v>Abrir facsímil</v>
      </c>
      <c r="K900" s="3" t="s">
        <v>23</v>
      </c>
    </row>
    <row r="901" spans="1:11" ht="42" customHeight="1">
      <c r="A901" s="2" t="s">
        <v>2448</v>
      </c>
      <c r="B901" s="2" t="s">
        <v>2448</v>
      </c>
      <c r="C901" s="2" t="s">
        <v>34</v>
      </c>
      <c r="D901" s="2" t="s">
        <v>35</v>
      </c>
      <c r="E901" s="5">
        <v>-30382</v>
      </c>
      <c r="F901" s="3" t="s">
        <v>326</v>
      </c>
      <c r="G901" s="3" t="s">
        <v>42</v>
      </c>
      <c r="H901" s="2" t="s">
        <v>21</v>
      </c>
      <c r="I901" s="2" t="s">
        <v>2449</v>
      </c>
      <c r="J901" s="3" t="str">
        <f>HYPERLINK("https://www.boe.es/gazeta/dias/1816/10/24/pdfs/GMD-1816-133.pdf#page=8","Abrir facsímil")</f>
        <v>Abrir facsímil</v>
      </c>
      <c r="K901" s="3" t="s">
        <v>23</v>
      </c>
    </row>
    <row r="902" spans="1:11" ht="42" customHeight="1">
      <c r="A902" s="2" t="s">
        <v>2450</v>
      </c>
      <c r="B902" s="2" t="s">
        <v>2450</v>
      </c>
      <c r="C902" s="2" t="s">
        <v>34</v>
      </c>
      <c r="D902" s="2" t="s">
        <v>35</v>
      </c>
      <c r="E902" s="5">
        <v>-30660</v>
      </c>
      <c r="F902" s="3" t="s">
        <v>809</v>
      </c>
      <c r="G902" s="3" t="s">
        <v>28</v>
      </c>
      <c r="H902" s="2" t="s">
        <v>21</v>
      </c>
      <c r="I902" s="2" t="s">
        <v>2451</v>
      </c>
      <c r="J902" s="3" t="str">
        <f>HYPERLINK("https://www.boe.es/gazeta/dias/1816/01/20/pdfs/GMD-1816-9.pdf#page=6","Abrir facsímil")</f>
        <v>Abrir facsímil</v>
      </c>
      <c r="K902" s="3" t="s">
        <v>23</v>
      </c>
    </row>
    <row r="903" spans="1:11" ht="42" customHeight="1">
      <c r="A903" s="2" t="s">
        <v>2450</v>
      </c>
      <c r="B903" s="2" t="s">
        <v>2450</v>
      </c>
      <c r="C903" s="2" t="s">
        <v>34</v>
      </c>
      <c r="D903" s="2" t="s">
        <v>35</v>
      </c>
      <c r="E903" s="5">
        <v>-30515</v>
      </c>
      <c r="F903" s="3" t="s">
        <v>2452</v>
      </c>
      <c r="G903" s="3" t="s">
        <v>2453</v>
      </c>
      <c r="H903" s="2" t="s">
        <v>21</v>
      </c>
      <c r="I903" s="2" t="s">
        <v>2454</v>
      </c>
      <c r="J903" s="3" t="str">
        <f>HYPERLINK("https://www.boe.es/gazeta/dias/1816/06/13/pdfs/GMD-1816-74.pdf#page=7","Abrir facsímil")</f>
        <v>Abrir facsímil</v>
      </c>
      <c r="K903" s="3" t="s">
        <v>23</v>
      </c>
    </row>
    <row r="904" spans="1:11" ht="42" customHeight="1">
      <c r="A904" s="2" t="s">
        <v>2450</v>
      </c>
      <c r="B904" s="2" t="s">
        <v>2450</v>
      </c>
      <c r="C904" s="2" t="s">
        <v>34</v>
      </c>
      <c r="D904" s="2" t="s">
        <v>35</v>
      </c>
      <c r="E904" s="5">
        <v>-30410</v>
      </c>
      <c r="F904" s="3" t="s">
        <v>1259</v>
      </c>
      <c r="G904" s="3" t="s">
        <v>175</v>
      </c>
      <c r="H904" s="2" t="s">
        <v>21</v>
      </c>
      <c r="I904" s="2" t="s">
        <v>2455</v>
      </c>
      <c r="J904" s="3" t="str">
        <f>HYPERLINK("https://www.boe.es/gazeta/dias/1816/09/26/pdfs/GMD-1816-119.pdf#page=11","Abrir facsímil")</f>
        <v>Abrir facsímil</v>
      </c>
      <c r="K904" s="3" t="s">
        <v>23</v>
      </c>
    </row>
    <row r="905" spans="1:11" ht="42" customHeight="1">
      <c r="A905" s="2" t="s">
        <v>2450</v>
      </c>
      <c r="B905" s="2" t="s">
        <v>2450</v>
      </c>
      <c r="C905" s="2" t="s">
        <v>34</v>
      </c>
      <c r="D905" s="2" t="s">
        <v>35</v>
      </c>
      <c r="E905" s="5">
        <v>-30382</v>
      </c>
      <c r="F905" s="3" t="s">
        <v>326</v>
      </c>
      <c r="G905" s="3" t="s">
        <v>42</v>
      </c>
      <c r="H905" s="2" t="s">
        <v>21</v>
      </c>
      <c r="I905" s="2" t="s">
        <v>2456</v>
      </c>
      <c r="J905" s="3" t="str">
        <f>HYPERLINK("https://www.boe.es/gazeta/dias/1816/10/24/pdfs/GMD-1816-133.pdf#page=8","Abrir facsímil")</f>
        <v>Abrir facsímil</v>
      </c>
      <c r="K905" s="3" t="s">
        <v>23</v>
      </c>
    </row>
    <row r="906" spans="1:11" ht="42" customHeight="1">
      <c r="A906" s="2" t="s">
        <v>2457</v>
      </c>
      <c r="B906" s="2" t="s">
        <v>2457</v>
      </c>
      <c r="C906" s="2" t="s">
        <v>34</v>
      </c>
      <c r="D906" s="2" t="s">
        <v>35</v>
      </c>
      <c r="E906" s="5">
        <v>-30333</v>
      </c>
      <c r="F906" s="3" t="s">
        <v>1005</v>
      </c>
      <c r="G906" s="3" t="s">
        <v>1006</v>
      </c>
      <c r="H906" s="2" t="s">
        <v>21</v>
      </c>
      <c r="I906" s="2" t="s">
        <v>2458</v>
      </c>
      <c r="J906" s="3" t="str">
        <f>HYPERLINK("https://www.boe.es/gazeta/dias/1816/12/12/pdfs/GMD-1816-154.pdf#page=5","Abrir facsímil")</f>
        <v>Abrir facsímil</v>
      </c>
      <c r="K906" s="3" t="s">
        <v>23</v>
      </c>
    </row>
    <row r="907" spans="1:11" ht="42" customHeight="1">
      <c r="A907" s="2" t="s">
        <v>2459</v>
      </c>
      <c r="B907" s="2" t="s">
        <v>2459</v>
      </c>
      <c r="C907" s="2" t="s">
        <v>34</v>
      </c>
      <c r="D907" s="2" t="s">
        <v>35</v>
      </c>
      <c r="E907" s="5">
        <v>-30562</v>
      </c>
      <c r="F907" s="3" t="s">
        <v>1664</v>
      </c>
      <c r="G907" s="3" t="s">
        <v>47</v>
      </c>
      <c r="H907" s="2" t="s">
        <v>21</v>
      </c>
      <c r="I907" s="2" t="s">
        <v>2460</v>
      </c>
      <c r="J907" s="3" t="str">
        <f>HYPERLINK("https://www.boe.es/gazeta/dias/1816/04/27/pdfs/GMD-1816-54.pdf#page=5","Abrir facsímil")</f>
        <v>Abrir facsímil</v>
      </c>
      <c r="K907" s="3" t="s">
        <v>23</v>
      </c>
    </row>
    <row r="908" spans="1:11" ht="42" customHeight="1">
      <c r="A908" s="2" t="s">
        <v>2459</v>
      </c>
      <c r="B908" s="2" t="s">
        <v>2459</v>
      </c>
      <c r="C908" s="2" t="s">
        <v>26</v>
      </c>
      <c r="D908" s="2" t="s">
        <v>18</v>
      </c>
      <c r="E908" s="5">
        <v>-30426</v>
      </c>
      <c r="F908" s="3" t="s">
        <v>779</v>
      </c>
      <c r="G908" s="3" t="s">
        <v>103</v>
      </c>
      <c r="H908" s="2" t="s">
        <v>21</v>
      </c>
      <c r="I908" s="2" t="s">
        <v>2461</v>
      </c>
      <c r="J908" s="3" t="str">
        <f>HYPERLINK("https://www.boe.es/gazeta/dias/1816/09/10/pdfs/GMD-1816-112.pdf#page=4","Abrir facsímil")</f>
        <v>Abrir facsímil</v>
      </c>
      <c r="K908" s="3" t="s">
        <v>23</v>
      </c>
    </row>
    <row r="909" spans="1:11" ht="42" customHeight="1">
      <c r="A909" s="2" t="s">
        <v>2459</v>
      </c>
      <c r="B909" s="2" t="s">
        <v>2459</v>
      </c>
      <c r="C909" s="2" t="s">
        <v>67</v>
      </c>
      <c r="D909" s="2" t="s">
        <v>18</v>
      </c>
      <c r="E909" s="5">
        <v>-30410</v>
      </c>
      <c r="F909" s="3" t="s">
        <v>1259</v>
      </c>
      <c r="G909" s="3" t="s">
        <v>175</v>
      </c>
      <c r="H909" s="2" t="s">
        <v>21</v>
      </c>
      <c r="I909" s="2" t="s">
        <v>2462</v>
      </c>
      <c r="J909" s="3" t="str">
        <f>HYPERLINK("https://www.boe.es/gazeta/dias/1816/09/26/pdfs/GMD-1816-119.pdf#page=11","Abrir facsímil")</f>
        <v>Abrir facsímil</v>
      </c>
      <c r="K909" s="3" t="s">
        <v>23</v>
      </c>
    </row>
    <row r="910" spans="1:11" ht="42" customHeight="1">
      <c r="A910" s="2" t="s">
        <v>2463</v>
      </c>
      <c r="B910" s="2" t="s">
        <v>2464</v>
      </c>
      <c r="C910" s="2" t="s">
        <v>111</v>
      </c>
      <c r="D910" s="2" t="s">
        <v>112</v>
      </c>
      <c r="E910" s="5">
        <v>-30445</v>
      </c>
      <c r="F910" s="3" t="s">
        <v>51</v>
      </c>
      <c r="G910" s="3" t="s">
        <v>175</v>
      </c>
      <c r="H910" s="2" t="s">
        <v>29</v>
      </c>
      <c r="I910" s="2" t="s">
        <v>2465</v>
      </c>
      <c r="J910" s="3" t="str">
        <f>HYPERLINK("https://www.boe.es/gazeta/dias/1816/08/22/pdfs/GMD-1816-104.pdf#page=11","Abrir facsímil")</f>
        <v>Abrir facsímil</v>
      </c>
      <c r="K910" s="3" t="s">
        <v>31</v>
      </c>
    </row>
    <row r="911" spans="1:11" ht="42" customHeight="1">
      <c r="A911" s="2" t="s">
        <v>2466</v>
      </c>
      <c r="B911" s="2" t="s">
        <v>2467</v>
      </c>
      <c r="C911" s="2" t="s">
        <v>26</v>
      </c>
      <c r="D911" s="2" t="s">
        <v>18</v>
      </c>
      <c r="E911" s="5">
        <v>-30403</v>
      </c>
      <c r="F911" s="3" t="s">
        <v>1264</v>
      </c>
      <c r="G911" s="3" t="s">
        <v>47</v>
      </c>
      <c r="H911" s="2" t="s">
        <v>21</v>
      </c>
      <c r="I911" s="2" t="s">
        <v>2468</v>
      </c>
      <c r="J911" s="3" t="str">
        <f>HYPERLINK("https://www.boe.es/gazeta/dias/1816/10/03/pdfs/GMD-1816-122.pdf#page=5","Abrir facsímil")</f>
        <v>Abrir facsímil</v>
      </c>
      <c r="K911" s="3" t="s">
        <v>23</v>
      </c>
    </row>
    <row r="912" spans="1:11" ht="42" customHeight="1">
      <c r="A912" s="2" t="s">
        <v>2469</v>
      </c>
      <c r="B912" s="2" t="s">
        <v>2470</v>
      </c>
      <c r="C912" s="2" t="s">
        <v>26</v>
      </c>
      <c r="D912" s="2" t="s">
        <v>18</v>
      </c>
      <c r="E912" s="5">
        <v>-30445</v>
      </c>
      <c r="F912" s="3" t="s">
        <v>51</v>
      </c>
      <c r="G912" s="3" t="s">
        <v>175</v>
      </c>
      <c r="H912" s="2" t="s">
        <v>21</v>
      </c>
      <c r="I912" s="2" t="s">
        <v>2471</v>
      </c>
      <c r="J912" s="3" t="str">
        <f>HYPERLINK("https://www.boe.es/gazeta/dias/1816/08/22/pdfs/GMD-1816-104.pdf#page=11","Abrir facsímil")</f>
        <v>Abrir facsímil</v>
      </c>
      <c r="K912" s="3" t="s">
        <v>23</v>
      </c>
    </row>
    <row r="913" spans="1:11" ht="42" customHeight="1">
      <c r="A913" s="2" t="s">
        <v>2472</v>
      </c>
      <c r="B913" s="2" t="s">
        <v>2472</v>
      </c>
      <c r="C913" s="2" t="s">
        <v>111</v>
      </c>
      <c r="D913" s="2" t="s">
        <v>112</v>
      </c>
      <c r="E913" s="5">
        <v>-30660</v>
      </c>
      <c r="F913" s="3" t="s">
        <v>809</v>
      </c>
      <c r="G913" s="3" t="s">
        <v>270</v>
      </c>
      <c r="H913" s="2" t="s">
        <v>21</v>
      </c>
      <c r="I913" s="2" t="s">
        <v>2473</v>
      </c>
      <c r="J913" s="3" t="str">
        <f>HYPERLINK("https://www.boe.es/gazeta/dias/1816/01/20/pdfs/GMD-1816-9.pdf#page=2","Abrir facsímil")</f>
        <v>Abrir facsímil</v>
      </c>
      <c r="K913" s="3" t="s">
        <v>23</v>
      </c>
    </row>
    <row r="914" spans="1:11" ht="42" customHeight="1">
      <c r="A914" s="2" t="s">
        <v>2474</v>
      </c>
      <c r="B914" s="2" t="s">
        <v>2475</v>
      </c>
      <c r="C914" s="2" t="s">
        <v>34</v>
      </c>
      <c r="D914" s="2" t="s">
        <v>35</v>
      </c>
      <c r="E914" s="5">
        <v>-30564</v>
      </c>
      <c r="F914" s="3" t="s">
        <v>963</v>
      </c>
      <c r="G914" s="3" t="s">
        <v>47</v>
      </c>
      <c r="H914" s="2" t="s">
        <v>21</v>
      </c>
      <c r="I914" s="2" t="s">
        <v>2476</v>
      </c>
      <c r="J914" s="3" t="str">
        <f>HYPERLINK("https://www.boe.es/gazeta/dias/1816/04/25/pdfs/GMD-1816-53.pdf#page=5","Abrir facsímil")</f>
        <v>Abrir facsímil</v>
      </c>
      <c r="K914" s="3" t="s">
        <v>23</v>
      </c>
    </row>
    <row r="915" spans="1:11" ht="42" customHeight="1">
      <c r="A915" s="2" t="s">
        <v>2477</v>
      </c>
      <c r="B915" s="2" t="s">
        <v>2478</v>
      </c>
      <c r="C915" s="2" t="s">
        <v>41</v>
      </c>
      <c r="D915" s="2" t="s">
        <v>18</v>
      </c>
      <c r="E915" s="5">
        <v>-30583</v>
      </c>
      <c r="F915" s="3" t="s">
        <v>241</v>
      </c>
      <c r="G915" s="3" t="s">
        <v>42</v>
      </c>
      <c r="H915" s="2" t="s">
        <v>21</v>
      </c>
      <c r="I915" s="2" t="s">
        <v>2479</v>
      </c>
      <c r="J915" s="3" t="str">
        <f>HYPERLINK("https://www.boe.es/gazeta/dias/1816/04/06/pdfs/GMD-1816-45.pdf#page=8","Abrir facsímil")</f>
        <v>Abrir facsímil</v>
      </c>
      <c r="K915" s="3" t="s">
        <v>23</v>
      </c>
    </row>
    <row r="916" spans="1:11" ht="42" customHeight="1">
      <c r="A916" s="2" t="s">
        <v>2480</v>
      </c>
      <c r="B916" s="2" t="s">
        <v>2481</v>
      </c>
      <c r="C916" s="2" t="s">
        <v>387</v>
      </c>
      <c r="D916" s="2" t="s">
        <v>18</v>
      </c>
      <c r="E916" s="5">
        <v>-30415</v>
      </c>
      <c r="F916" s="3" t="s">
        <v>585</v>
      </c>
      <c r="G916" s="3" t="s">
        <v>52</v>
      </c>
      <c r="H916" s="2" t="s">
        <v>21</v>
      </c>
      <c r="I916" s="2" t="s">
        <v>2482</v>
      </c>
      <c r="J916" s="3" t="str">
        <f>HYPERLINK("https://www.boe.es/gazeta/dias/1816/09/21/pdfs/GMD-1816-117.pdf#page=12","Abrir facsímil")</f>
        <v>Abrir facsímil</v>
      </c>
      <c r="K916" s="3" t="s">
        <v>23</v>
      </c>
    </row>
    <row r="917" spans="1:11" ht="42" customHeight="1">
      <c r="A917" s="2" t="s">
        <v>2483</v>
      </c>
      <c r="B917" s="2" t="s">
        <v>2484</v>
      </c>
      <c r="C917" s="2" t="s">
        <v>81</v>
      </c>
      <c r="D917" s="2" t="s">
        <v>18</v>
      </c>
      <c r="E917" s="5">
        <v>-30608</v>
      </c>
      <c r="F917" s="3" t="s">
        <v>550</v>
      </c>
      <c r="G917" s="3" t="s">
        <v>72</v>
      </c>
      <c r="H917" s="2" t="s">
        <v>21</v>
      </c>
      <c r="I917" s="2" t="s">
        <v>2485</v>
      </c>
      <c r="J917" s="3" t="str">
        <f>HYPERLINK("https://www.boe.es/gazeta/dias/1816/03/12/pdfs/GMD-1816-33.pdf#page=7","Abrir facsímil")</f>
        <v>Abrir facsímil</v>
      </c>
      <c r="K917" s="3" t="s">
        <v>23</v>
      </c>
    </row>
    <row r="918" spans="1:11" ht="42" customHeight="1">
      <c r="A918" s="2" t="s">
        <v>2486</v>
      </c>
      <c r="B918" s="2" t="s">
        <v>2487</v>
      </c>
      <c r="C918" s="2" t="s">
        <v>34</v>
      </c>
      <c r="D918" s="2" t="s">
        <v>35</v>
      </c>
      <c r="E918" s="5">
        <v>-30564</v>
      </c>
      <c r="F918" s="3" t="s">
        <v>963</v>
      </c>
      <c r="G918" s="3" t="s">
        <v>964</v>
      </c>
      <c r="H918" s="2" t="s">
        <v>21</v>
      </c>
      <c r="I918" s="2" t="s">
        <v>2488</v>
      </c>
      <c r="J918" s="3" t="str">
        <f>HYPERLINK("https://www.boe.es/gazeta/dias/1816/04/25/pdfs/GMD-1816-53.pdf#page=6","Abrir facsímil")</f>
        <v>Abrir facsímil</v>
      </c>
      <c r="K918" s="3" t="s">
        <v>23</v>
      </c>
    </row>
    <row r="919" spans="1:11" ht="42" customHeight="1">
      <c r="A919" s="2" t="s">
        <v>2489</v>
      </c>
      <c r="B919" s="2" t="s">
        <v>2490</v>
      </c>
      <c r="C919" s="2" t="s">
        <v>34</v>
      </c>
      <c r="D919" s="2" t="s">
        <v>56</v>
      </c>
      <c r="E919" s="5">
        <v>-30393</v>
      </c>
      <c r="F919" s="3" t="s">
        <v>202</v>
      </c>
      <c r="G919" s="3" t="s">
        <v>47</v>
      </c>
      <c r="H919" s="2" t="s">
        <v>21</v>
      </c>
      <c r="I919" s="2" t="s">
        <v>2491</v>
      </c>
      <c r="J919" s="3" t="str">
        <f>HYPERLINK("https://www.boe.es/gazeta/dias/1816/10/13/pdfs/GMD-1816-128E.pdf#page=5","Abrir facsímil")</f>
        <v>Abrir facsímil</v>
      </c>
      <c r="K919" s="3" t="s">
        <v>23</v>
      </c>
    </row>
    <row r="920" spans="1:11" ht="42" customHeight="1">
      <c r="A920" s="2" t="s">
        <v>2492</v>
      </c>
      <c r="B920" s="2" t="s">
        <v>2493</v>
      </c>
      <c r="C920" s="2" t="s">
        <v>34</v>
      </c>
      <c r="D920" s="2" t="s">
        <v>35</v>
      </c>
      <c r="E920" s="5">
        <v>-30513</v>
      </c>
      <c r="F920" s="3" t="s">
        <v>582</v>
      </c>
      <c r="G920" s="3" t="s">
        <v>47</v>
      </c>
      <c r="H920" s="2" t="s">
        <v>21</v>
      </c>
      <c r="I920" s="2" t="s">
        <v>2494</v>
      </c>
      <c r="J920" s="3" t="str">
        <f>HYPERLINK("https://www.boe.es/gazeta/dias/1816/06/15/pdfs/GMD-1816-75.pdf#page=5","Abrir facsímil")</f>
        <v>Abrir facsímil</v>
      </c>
      <c r="K920" s="3" t="s">
        <v>23</v>
      </c>
    </row>
    <row r="921" spans="1:11" ht="42" customHeight="1">
      <c r="A921" s="2" t="s">
        <v>2495</v>
      </c>
      <c r="B921" s="2" t="s">
        <v>2496</v>
      </c>
      <c r="C921" s="2" t="s">
        <v>34</v>
      </c>
      <c r="D921" s="2" t="s">
        <v>56</v>
      </c>
      <c r="E921" s="5">
        <v>-30393</v>
      </c>
      <c r="F921" s="3" t="s">
        <v>202</v>
      </c>
      <c r="G921" s="3" t="s">
        <v>47</v>
      </c>
      <c r="H921" s="2" t="s">
        <v>21</v>
      </c>
      <c r="I921" s="2" t="s">
        <v>2497</v>
      </c>
      <c r="J921" s="3" t="str">
        <f>HYPERLINK("https://www.boe.es/gazeta/dias/1816/10/13/pdfs/GMD-1816-128E.pdf#page=5","Abrir facsímil")</f>
        <v>Abrir facsímil</v>
      </c>
      <c r="K921" s="3" t="s">
        <v>23</v>
      </c>
    </row>
    <row r="922" spans="1:11" ht="42" customHeight="1">
      <c r="A922" s="2" t="s">
        <v>2498</v>
      </c>
      <c r="B922" s="2" t="s">
        <v>2499</v>
      </c>
      <c r="C922" s="2" t="s">
        <v>34</v>
      </c>
      <c r="D922" s="2" t="s">
        <v>35</v>
      </c>
      <c r="E922" s="5">
        <v>-30534</v>
      </c>
      <c r="F922" s="3" t="s">
        <v>274</v>
      </c>
      <c r="G922" s="3" t="s">
        <v>103</v>
      </c>
      <c r="H922" s="2" t="s">
        <v>21</v>
      </c>
      <c r="I922" s="2" t="s">
        <v>2500</v>
      </c>
      <c r="J922" s="3" t="str">
        <f>HYPERLINK("https://www.boe.es/gazeta/dias/1816/05/25/pdfs/GMD-1816-66.pdf#page=4","Abrir facsímil")</f>
        <v>Abrir facsímil</v>
      </c>
      <c r="K922" s="3" t="s">
        <v>23</v>
      </c>
    </row>
    <row r="923" spans="1:11" ht="42" customHeight="1">
      <c r="A923" s="2" t="s">
        <v>2501</v>
      </c>
      <c r="B923" s="2" t="s">
        <v>2502</v>
      </c>
      <c r="C923" s="2" t="s">
        <v>111</v>
      </c>
      <c r="D923" s="2" t="s">
        <v>112</v>
      </c>
      <c r="E923" s="5">
        <v>-30524</v>
      </c>
      <c r="F923" s="3" t="s">
        <v>98</v>
      </c>
      <c r="G923" s="3" t="s">
        <v>1209</v>
      </c>
      <c r="H923" s="2" t="s">
        <v>21</v>
      </c>
      <c r="I923" s="2" t="s">
        <v>2503</v>
      </c>
      <c r="J923" s="3" t="str">
        <f>HYPERLINK("https://www.boe.es/gazeta/dias/1816/06/04/pdfs/GMD-1816-70.pdf#page=8","Abrir facsímil")</f>
        <v>Abrir facsímil</v>
      </c>
      <c r="K923" s="3" t="s">
        <v>23</v>
      </c>
    </row>
    <row r="924" spans="1:11" ht="42" customHeight="1">
      <c r="A924" s="2" t="s">
        <v>2504</v>
      </c>
      <c r="B924" s="2" t="s">
        <v>2504</v>
      </c>
      <c r="C924" s="2" t="s">
        <v>111</v>
      </c>
      <c r="D924" s="2" t="s">
        <v>112</v>
      </c>
      <c r="E924" s="5">
        <v>-30499</v>
      </c>
      <c r="F924" s="3" t="s">
        <v>971</v>
      </c>
      <c r="G924" s="3" t="s">
        <v>2505</v>
      </c>
      <c r="H924" s="2" t="s">
        <v>21</v>
      </c>
      <c r="I924" s="2" t="s">
        <v>2506</v>
      </c>
      <c r="J924" s="3" t="str">
        <f>HYPERLINK("https://www.boe.es/gazeta/dias/1816/06/29/pdfs/GMD-1816-81.pdf#page=4","Abrir facsímil")</f>
        <v>Abrir facsímil</v>
      </c>
      <c r="K924" s="3" t="s">
        <v>23</v>
      </c>
    </row>
    <row r="925" spans="1:11" ht="42" customHeight="1">
      <c r="A925" s="2" t="s">
        <v>2507</v>
      </c>
      <c r="B925" s="2" t="s">
        <v>2507</v>
      </c>
      <c r="C925" s="2" t="s">
        <v>26</v>
      </c>
      <c r="D925" s="2" t="s">
        <v>18</v>
      </c>
      <c r="E925" s="5">
        <v>-30394</v>
      </c>
      <c r="F925" s="3" t="s">
        <v>589</v>
      </c>
      <c r="G925" s="3" t="s">
        <v>28</v>
      </c>
      <c r="H925" s="2" t="s">
        <v>21</v>
      </c>
      <c r="I925" s="2" t="s">
        <v>2508</v>
      </c>
      <c r="J925" s="3" t="str">
        <f>HYPERLINK("https://www.boe.es/gazeta/dias/1816/10/12/pdfs/GMD-1816-127.pdf#page=6","Abrir facsímil")</f>
        <v>Abrir facsímil</v>
      </c>
      <c r="K925" s="3" t="s">
        <v>23</v>
      </c>
    </row>
    <row r="926" spans="1:11" ht="42" customHeight="1">
      <c r="A926" s="2" t="s">
        <v>2507</v>
      </c>
      <c r="B926" s="2" t="s">
        <v>2507</v>
      </c>
      <c r="C926" s="2" t="s">
        <v>34</v>
      </c>
      <c r="D926" s="2" t="s">
        <v>35</v>
      </c>
      <c r="E926" s="5">
        <v>-30349</v>
      </c>
      <c r="F926" s="3" t="s">
        <v>360</v>
      </c>
      <c r="G926" s="3" t="s">
        <v>103</v>
      </c>
      <c r="H926" s="2" t="s">
        <v>21</v>
      </c>
      <c r="I926" s="2" t="s">
        <v>2509</v>
      </c>
      <c r="J926" s="3" t="str">
        <f>HYPERLINK("https://www.boe.es/gazeta/dias/1816/11/26/pdfs/GMD-1816-147.pdf#page=4","Abrir facsímil")</f>
        <v>Abrir facsímil</v>
      </c>
      <c r="K926" s="3" t="s">
        <v>23</v>
      </c>
    </row>
    <row r="927" spans="1:11" ht="42" customHeight="1">
      <c r="A927" s="2" t="s">
        <v>2510</v>
      </c>
      <c r="B927" s="2" t="s">
        <v>2510</v>
      </c>
      <c r="C927" s="2" t="s">
        <v>34</v>
      </c>
      <c r="D927" s="2" t="s">
        <v>56</v>
      </c>
      <c r="E927" s="5">
        <v>-30393</v>
      </c>
      <c r="F927" s="3" t="s">
        <v>202</v>
      </c>
      <c r="G927" s="3" t="s">
        <v>47</v>
      </c>
      <c r="H927" s="2" t="s">
        <v>21</v>
      </c>
      <c r="I927" s="2" t="s">
        <v>2511</v>
      </c>
      <c r="J927" s="3" t="str">
        <f>HYPERLINK("https://www.boe.es/gazeta/dias/1816/10/13/pdfs/GMD-1816-128E.pdf#page=5","Abrir facsímil")</f>
        <v>Abrir facsímil</v>
      </c>
      <c r="K927" s="3" t="s">
        <v>23</v>
      </c>
    </row>
    <row r="928" spans="1:11" ht="42" customHeight="1">
      <c r="A928" s="2" t="s">
        <v>2512</v>
      </c>
      <c r="B928" s="2" t="s">
        <v>2512</v>
      </c>
      <c r="C928" s="2" t="s">
        <v>67</v>
      </c>
      <c r="D928" s="2" t="s">
        <v>18</v>
      </c>
      <c r="E928" s="5">
        <v>-30660</v>
      </c>
      <c r="F928" s="3" t="s">
        <v>809</v>
      </c>
      <c r="G928" s="3" t="s">
        <v>810</v>
      </c>
      <c r="H928" s="2" t="s">
        <v>21</v>
      </c>
      <c r="I928" s="2" t="s">
        <v>2513</v>
      </c>
      <c r="J928" s="3" t="str">
        <f>HYPERLINK("https://www.boe.es/gazeta/dias/1816/01/20/pdfs/GMD-1816-9.pdf#page=8","Abrir facsímil")</f>
        <v>Abrir facsímil</v>
      </c>
      <c r="K928" s="3" t="s">
        <v>23</v>
      </c>
    </row>
    <row r="929" spans="1:11" ht="42" customHeight="1">
      <c r="A929" s="2" t="s">
        <v>2512</v>
      </c>
      <c r="B929" s="2" t="s">
        <v>2512</v>
      </c>
      <c r="C929" s="2" t="s">
        <v>81</v>
      </c>
      <c r="D929" s="2" t="s">
        <v>18</v>
      </c>
      <c r="E929" s="5">
        <v>-30632</v>
      </c>
      <c r="F929" s="3" t="s">
        <v>89</v>
      </c>
      <c r="G929" s="3" t="s">
        <v>103</v>
      </c>
      <c r="H929" s="2" t="s">
        <v>21</v>
      </c>
      <c r="I929" s="2" t="s">
        <v>2514</v>
      </c>
      <c r="J929" s="3" t="str">
        <f>HYPERLINK("https://www.boe.es/gazeta/dias/1816/02/17/pdfs/GMD-1816-22.pdf#page=4","Abrir facsímil")</f>
        <v>Abrir facsímil</v>
      </c>
      <c r="K929" s="3" t="s">
        <v>23</v>
      </c>
    </row>
    <row r="930" spans="1:11" ht="42" customHeight="1">
      <c r="A930" s="2" t="s">
        <v>2515</v>
      </c>
      <c r="B930" s="2" t="s">
        <v>2515</v>
      </c>
      <c r="C930" s="2" t="s">
        <v>34</v>
      </c>
      <c r="D930" s="2" t="s">
        <v>35</v>
      </c>
      <c r="E930" s="5">
        <v>-30627</v>
      </c>
      <c r="F930" s="3" t="s">
        <v>136</v>
      </c>
      <c r="G930" s="3" t="s">
        <v>270</v>
      </c>
      <c r="H930" s="2" t="s">
        <v>21</v>
      </c>
      <c r="I930" s="2" t="s">
        <v>2516</v>
      </c>
      <c r="J930" s="3" t="str">
        <f>HYPERLINK("https://www.boe.es/gazeta/dias/1816/02/22/pdfs/GMD-1816-24.pdf#page=2","Abrir facsímil")</f>
        <v>Abrir facsímil</v>
      </c>
      <c r="K930" s="3" t="s">
        <v>23</v>
      </c>
    </row>
    <row r="931" spans="1:11" ht="42" customHeight="1">
      <c r="A931" s="2" t="s">
        <v>2512</v>
      </c>
      <c r="B931" s="2" t="s">
        <v>2512</v>
      </c>
      <c r="C931" s="2" t="s">
        <v>67</v>
      </c>
      <c r="D931" s="2" t="s">
        <v>18</v>
      </c>
      <c r="E931" s="5">
        <v>-30627</v>
      </c>
      <c r="F931" s="3" t="s">
        <v>136</v>
      </c>
      <c r="G931" s="3" t="s">
        <v>47</v>
      </c>
      <c r="H931" s="2" t="s">
        <v>21</v>
      </c>
      <c r="I931" s="2" t="s">
        <v>2517</v>
      </c>
      <c r="J931" s="3" t="str">
        <f>HYPERLINK("https://www.boe.es/gazeta/dias/1816/02/22/pdfs/GMD-1816-24.pdf#page=5","Abrir facsímil")</f>
        <v>Abrir facsímil</v>
      </c>
      <c r="K931" s="3" t="s">
        <v>23</v>
      </c>
    </row>
    <row r="932" spans="1:11" ht="42" customHeight="1">
      <c r="A932" s="2" t="s">
        <v>2515</v>
      </c>
      <c r="B932" s="2" t="s">
        <v>2515</v>
      </c>
      <c r="C932" s="2" t="s">
        <v>111</v>
      </c>
      <c r="D932" s="2" t="s">
        <v>112</v>
      </c>
      <c r="E932" s="5">
        <v>-30618</v>
      </c>
      <c r="F932" s="3" t="s">
        <v>207</v>
      </c>
      <c r="G932" s="3" t="s">
        <v>28</v>
      </c>
      <c r="H932" s="2" t="s">
        <v>21</v>
      </c>
      <c r="I932" s="2" t="s">
        <v>2518</v>
      </c>
      <c r="J932" s="3" t="str">
        <f>HYPERLINK("https://www.boe.es/gazeta/dias/1816/03/02/pdfs/GMD-1816-29.pdf#page=6","Abrir facsímil")</f>
        <v>Abrir facsímil</v>
      </c>
      <c r="K932" s="3" t="s">
        <v>23</v>
      </c>
    </row>
    <row r="933" spans="1:11" ht="42" customHeight="1">
      <c r="A933" s="2" t="s">
        <v>2515</v>
      </c>
      <c r="B933" s="2" t="s">
        <v>2515</v>
      </c>
      <c r="C933" s="2" t="s">
        <v>67</v>
      </c>
      <c r="D933" s="2" t="s">
        <v>18</v>
      </c>
      <c r="E933" s="5">
        <v>-30606</v>
      </c>
      <c r="F933" s="3" t="s">
        <v>761</v>
      </c>
      <c r="G933" s="3" t="s">
        <v>42</v>
      </c>
      <c r="H933" s="2" t="s">
        <v>21</v>
      </c>
      <c r="I933" s="2" t="s">
        <v>2519</v>
      </c>
      <c r="J933" s="3" t="str">
        <f>HYPERLINK("https://www.boe.es/gazeta/dias/1816/03/14/pdfs/GMD-1816-34.pdf#page=8","Abrir facsímil")</f>
        <v>Abrir facsímil</v>
      </c>
      <c r="K933" s="3" t="s">
        <v>23</v>
      </c>
    </row>
    <row r="934" spans="1:11" ht="42" customHeight="1">
      <c r="A934" s="2" t="s">
        <v>2512</v>
      </c>
      <c r="B934" s="2" t="s">
        <v>2512</v>
      </c>
      <c r="C934" s="2" t="s">
        <v>34</v>
      </c>
      <c r="D934" s="2" t="s">
        <v>35</v>
      </c>
      <c r="E934" s="5">
        <v>-30585</v>
      </c>
      <c r="F934" s="3" t="s">
        <v>633</v>
      </c>
      <c r="G934" s="3" t="s">
        <v>634</v>
      </c>
      <c r="H934" s="2" t="s">
        <v>21</v>
      </c>
      <c r="I934" s="2" t="s">
        <v>2520</v>
      </c>
      <c r="J934" s="3" t="str">
        <f>HYPERLINK("https://www.boe.es/gazeta/dias/1816/04/04/pdfs/GMD-1816-44.pdf#page=6","Abrir facsímil")</f>
        <v>Abrir facsímil</v>
      </c>
      <c r="K934" s="3" t="s">
        <v>23</v>
      </c>
    </row>
    <row r="935" spans="1:11" ht="42" customHeight="1">
      <c r="A935" s="2" t="s">
        <v>2515</v>
      </c>
      <c r="B935" s="2" t="s">
        <v>2515</v>
      </c>
      <c r="C935" s="2" t="s">
        <v>26</v>
      </c>
      <c r="D935" s="2" t="s">
        <v>18</v>
      </c>
      <c r="E935" s="5">
        <v>-30583</v>
      </c>
      <c r="F935" s="3" t="s">
        <v>241</v>
      </c>
      <c r="G935" s="3" t="s">
        <v>47</v>
      </c>
      <c r="H935" s="2" t="s">
        <v>21</v>
      </c>
      <c r="I935" s="2" t="s">
        <v>2521</v>
      </c>
      <c r="J935" s="3" t="str">
        <f>HYPERLINK("https://www.boe.es/gazeta/dias/1816/04/06/pdfs/GMD-1816-45.pdf#page=5","Abrir facsímil")</f>
        <v>Abrir facsímil</v>
      </c>
      <c r="K935" s="3" t="s">
        <v>23</v>
      </c>
    </row>
    <row r="936" spans="1:11" ht="42" customHeight="1">
      <c r="A936" s="2" t="s">
        <v>2512</v>
      </c>
      <c r="B936" s="2" t="s">
        <v>2512</v>
      </c>
      <c r="C936" s="2" t="s">
        <v>67</v>
      </c>
      <c r="D936" s="2" t="s">
        <v>18</v>
      </c>
      <c r="E936" s="5">
        <v>-30580</v>
      </c>
      <c r="F936" s="3" t="s">
        <v>107</v>
      </c>
      <c r="G936" s="3" t="s">
        <v>47</v>
      </c>
      <c r="H936" s="2" t="s">
        <v>21</v>
      </c>
      <c r="I936" s="2" t="s">
        <v>2522</v>
      </c>
      <c r="J936" s="3" t="str">
        <f>HYPERLINK("https://www.boe.es/gazeta/dias/1816/04/09/pdfs/GMD-1816-46.pdf#page=5","Abrir facsímil")</f>
        <v>Abrir facsímil</v>
      </c>
      <c r="K936" s="3" t="s">
        <v>23</v>
      </c>
    </row>
    <row r="937" spans="1:11" ht="42" customHeight="1">
      <c r="A937" s="2" t="s">
        <v>2515</v>
      </c>
      <c r="B937" s="2" t="s">
        <v>2515</v>
      </c>
      <c r="C937" s="2" t="s">
        <v>81</v>
      </c>
      <c r="D937" s="2" t="s">
        <v>18</v>
      </c>
      <c r="E937" s="5">
        <v>-30571</v>
      </c>
      <c r="F937" s="3" t="s">
        <v>738</v>
      </c>
      <c r="G937" s="3" t="s">
        <v>58</v>
      </c>
      <c r="H937" s="2" t="s">
        <v>21</v>
      </c>
      <c r="I937" s="2" t="s">
        <v>2523</v>
      </c>
      <c r="J937" s="3" t="str">
        <f>HYPERLINK("https://www.boe.es/gazeta/dias/1816/04/18/pdfs/GMD-1816-50.pdf#page=1","Abrir facsímil")</f>
        <v>Abrir facsímil</v>
      </c>
      <c r="K937" s="3" t="s">
        <v>23</v>
      </c>
    </row>
    <row r="938" spans="1:11" ht="42" customHeight="1">
      <c r="A938" s="2" t="s">
        <v>2512</v>
      </c>
      <c r="B938" s="2" t="s">
        <v>2512</v>
      </c>
      <c r="C938" s="2" t="s">
        <v>387</v>
      </c>
      <c r="D938" s="2" t="s">
        <v>18</v>
      </c>
      <c r="E938" s="5">
        <v>-30566</v>
      </c>
      <c r="F938" s="3" t="s">
        <v>113</v>
      </c>
      <c r="G938" s="3" t="s">
        <v>28</v>
      </c>
      <c r="H938" s="2" t="s">
        <v>21</v>
      </c>
      <c r="I938" s="2" t="s">
        <v>2524</v>
      </c>
      <c r="J938" s="3" t="str">
        <f>HYPERLINK("https://www.boe.es/gazeta/dias/1816/04/23/pdfs/GMD-1816-52.pdf#page=6","Abrir facsímil")</f>
        <v>Abrir facsímil</v>
      </c>
      <c r="K938" s="3" t="s">
        <v>23</v>
      </c>
    </row>
    <row r="939" spans="1:11" ht="42" customHeight="1">
      <c r="A939" s="2" t="s">
        <v>2512</v>
      </c>
      <c r="B939" s="2" t="s">
        <v>2512</v>
      </c>
      <c r="C939" s="2" t="s">
        <v>67</v>
      </c>
      <c r="D939" s="2" t="s">
        <v>18</v>
      </c>
      <c r="E939" s="5">
        <v>-30566</v>
      </c>
      <c r="F939" s="3" t="s">
        <v>113</v>
      </c>
      <c r="G939" s="3" t="s">
        <v>42</v>
      </c>
      <c r="H939" s="2" t="s">
        <v>21</v>
      </c>
      <c r="I939" s="2" t="s">
        <v>2525</v>
      </c>
      <c r="J939" s="3" t="str">
        <f>HYPERLINK("https://www.boe.es/gazeta/dias/1816/04/23/pdfs/GMD-1816-52.pdf#page=8","Abrir facsímil")</f>
        <v>Abrir facsímil</v>
      </c>
      <c r="K939" s="3" t="s">
        <v>23</v>
      </c>
    </row>
    <row r="940" spans="1:11" ht="42" customHeight="1">
      <c r="A940" s="2" t="s">
        <v>2512</v>
      </c>
      <c r="B940" s="2" t="s">
        <v>2512</v>
      </c>
      <c r="C940" s="2" t="s">
        <v>111</v>
      </c>
      <c r="D940" s="2" t="s">
        <v>112</v>
      </c>
      <c r="E940" s="5">
        <v>-30562</v>
      </c>
      <c r="F940" s="3" t="s">
        <v>1664</v>
      </c>
      <c r="G940" s="3" t="s">
        <v>28</v>
      </c>
      <c r="H940" s="2" t="s">
        <v>21</v>
      </c>
      <c r="I940" s="2" t="s">
        <v>2526</v>
      </c>
      <c r="J940" s="3" t="str">
        <f>HYPERLINK("https://www.boe.es/gazeta/dias/1816/04/27/pdfs/GMD-1816-54.pdf#page=6","Abrir facsímil")</f>
        <v>Abrir facsímil</v>
      </c>
      <c r="K940" s="3" t="s">
        <v>23</v>
      </c>
    </row>
    <row r="941" spans="1:11" ht="42" customHeight="1">
      <c r="A941" s="2" t="s">
        <v>2512</v>
      </c>
      <c r="B941" s="2" t="s">
        <v>2512</v>
      </c>
      <c r="C941" s="2" t="s">
        <v>111</v>
      </c>
      <c r="D941" s="2" t="s">
        <v>112</v>
      </c>
      <c r="E941" s="5">
        <v>-30557</v>
      </c>
      <c r="F941" s="3" t="s">
        <v>508</v>
      </c>
      <c r="G941" s="3" t="s">
        <v>103</v>
      </c>
      <c r="H941" s="2" t="s">
        <v>21</v>
      </c>
      <c r="I941" s="2" t="s">
        <v>2527</v>
      </c>
      <c r="J941" s="3" t="str">
        <f>HYPERLINK("https://www.boe.es/gazeta/dias/1816/05/02/pdfs/GMD-1816-56.pdf#page=4","Abrir facsímil")</f>
        <v>Abrir facsímil</v>
      </c>
      <c r="K941" s="3" t="s">
        <v>23</v>
      </c>
    </row>
    <row r="942" spans="1:11" ht="42" customHeight="1">
      <c r="A942" s="2" t="s">
        <v>2512</v>
      </c>
      <c r="B942" s="2" t="s">
        <v>2512</v>
      </c>
      <c r="C942" s="2" t="s">
        <v>26</v>
      </c>
      <c r="D942" s="2" t="s">
        <v>18</v>
      </c>
      <c r="E942" s="5">
        <v>-30543</v>
      </c>
      <c r="F942" s="3" t="s">
        <v>94</v>
      </c>
      <c r="G942" s="3" t="s">
        <v>28</v>
      </c>
      <c r="H942" s="2" t="s">
        <v>21</v>
      </c>
      <c r="I942" s="2" t="s">
        <v>2528</v>
      </c>
      <c r="J942" s="3" t="str">
        <f>HYPERLINK("https://www.boe.es/gazeta/dias/1816/05/16/pdfs/GMD-1816-62.pdf#page=6","Abrir facsímil")</f>
        <v>Abrir facsímil</v>
      </c>
      <c r="K942" s="3" t="s">
        <v>23</v>
      </c>
    </row>
    <row r="943" spans="1:11" ht="42" customHeight="1">
      <c r="A943" s="2" t="s">
        <v>2512</v>
      </c>
      <c r="B943" s="2" t="s">
        <v>2512</v>
      </c>
      <c r="C943" s="2" t="s">
        <v>26</v>
      </c>
      <c r="D943" s="2" t="s">
        <v>18</v>
      </c>
      <c r="E943" s="5">
        <v>-30517</v>
      </c>
      <c r="F943" s="3" t="s">
        <v>557</v>
      </c>
      <c r="G943" s="3" t="s">
        <v>47</v>
      </c>
      <c r="H943" s="2" t="s">
        <v>21</v>
      </c>
      <c r="I943" s="2" t="s">
        <v>2529</v>
      </c>
      <c r="J943" s="3" t="str">
        <f>HYPERLINK("https://www.boe.es/gazeta/dias/1816/06/11/pdfs/GMD-1816-73.pdf#page=5","Abrir facsímil")</f>
        <v>Abrir facsímil</v>
      </c>
      <c r="K943" s="3" t="s">
        <v>23</v>
      </c>
    </row>
    <row r="944" spans="1:11" ht="42" customHeight="1">
      <c r="A944" s="2" t="s">
        <v>2512</v>
      </c>
      <c r="B944" s="2" t="s">
        <v>2512</v>
      </c>
      <c r="C944" s="2" t="s">
        <v>26</v>
      </c>
      <c r="D944" s="2" t="s">
        <v>18</v>
      </c>
      <c r="E944" s="5">
        <v>-30508</v>
      </c>
      <c r="F944" s="3" t="s">
        <v>36</v>
      </c>
      <c r="G944" s="3" t="s">
        <v>47</v>
      </c>
      <c r="H944" s="2" t="s">
        <v>21</v>
      </c>
      <c r="I944" s="2" t="s">
        <v>2530</v>
      </c>
      <c r="J944" s="3" t="str">
        <f>HYPERLINK("https://www.boe.es/gazeta/dias/1816/06/20/pdfs/GMD-1816-77.pdf#page=5","Abrir facsímil")</f>
        <v>Abrir facsímil</v>
      </c>
      <c r="K944" s="3" t="s">
        <v>23</v>
      </c>
    </row>
    <row r="945" spans="1:11" ht="42" customHeight="1">
      <c r="A945" s="2" t="s">
        <v>2512</v>
      </c>
      <c r="B945" s="2" t="s">
        <v>2512</v>
      </c>
      <c r="C945" s="2" t="s">
        <v>26</v>
      </c>
      <c r="D945" s="2" t="s">
        <v>18</v>
      </c>
      <c r="E945" s="5">
        <v>-30485</v>
      </c>
      <c r="F945" s="3" t="s">
        <v>156</v>
      </c>
      <c r="G945" s="3" t="s">
        <v>157</v>
      </c>
      <c r="H945" s="2" t="s">
        <v>21</v>
      </c>
      <c r="I945" s="2" t="s">
        <v>2531</v>
      </c>
      <c r="J945" s="3" t="str">
        <f>HYPERLINK("https://www.boe.es/gazeta/dias/1816/07/13/pdfs/GMD-1816-87.pdf#page=5","Abrir facsímil")</f>
        <v>Abrir facsímil</v>
      </c>
      <c r="K945" s="3" t="s">
        <v>23</v>
      </c>
    </row>
    <row r="946" spans="1:11" ht="42" customHeight="1">
      <c r="A946" s="2" t="s">
        <v>2512</v>
      </c>
      <c r="B946" s="2" t="s">
        <v>2512</v>
      </c>
      <c r="C946" s="2" t="s">
        <v>111</v>
      </c>
      <c r="D946" s="2" t="s">
        <v>112</v>
      </c>
      <c r="E946" s="5">
        <v>-30482</v>
      </c>
      <c r="F946" s="3" t="s">
        <v>370</v>
      </c>
      <c r="G946" s="3" t="s">
        <v>175</v>
      </c>
      <c r="H946" s="2" t="s">
        <v>21</v>
      </c>
      <c r="I946" s="2" t="s">
        <v>2532</v>
      </c>
      <c r="J946" s="3" t="str">
        <f>HYPERLINK("https://www.boe.es/gazeta/dias/1816/07/16/pdfs/GMD-1816-88.pdf#page=11","Abrir facsímil")</f>
        <v>Abrir facsímil</v>
      </c>
      <c r="K946" s="3" t="s">
        <v>23</v>
      </c>
    </row>
    <row r="947" spans="1:11" ht="42" customHeight="1">
      <c r="A947" s="2" t="s">
        <v>2512</v>
      </c>
      <c r="B947" s="2" t="s">
        <v>2512</v>
      </c>
      <c r="C947" s="2" t="s">
        <v>81</v>
      </c>
      <c r="D947" s="2" t="s">
        <v>18</v>
      </c>
      <c r="E947" s="5">
        <v>-30482</v>
      </c>
      <c r="F947" s="3" t="s">
        <v>370</v>
      </c>
      <c r="G947" s="3" t="s">
        <v>47</v>
      </c>
      <c r="H947" s="2" t="s">
        <v>21</v>
      </c>
      <c r="I947" s="2" t="s">
        <v>2533</v>
      </c>
      <c r="J947" s="3" t="str">
        <f>HYPERLINK("https://www.boe.es/gazeta/dias/1816/07/16/pdfs/GMD-1816-88.pdf#page=5","Abrir facsímil")</f>
        <v>Abrir facsímil</v>
      </c>
      <c r="K947" s="3" t="s">
        <v>23</v>
      </c>
    </row>
    <row r="948" spans="1:11" ht="42" customHeight="1">
      <c r="A948" s="2" t="s">
        <v>2512</v>
      </c>
      <c r="B948" s="2" t="s">
        <v>2512</v>
      </c>
      <c r="C948" s="2" t="s">
        <v>41</v>
      </c>
      <c r="D948" s="2" t="s">
        <v>18</v>
      </c>
      <c r="E948" s="5">
        <v>-30482</v>
      </c>
      <c r="F948" s="3" t="s">
        <v>370</v>
      </c>
      <c r="G948" s="3" t="s">
        <v>42</v>
      </c>
      <c r="H948" s="2" t="s">
        <v>21</v>
      </c>
      <c r="I948" s="2" t="s">
        <v>2534</v>
      </c>
      <c r="J948" s="3" t="str">
        <f>HYPERLINK("https://www.boe.es/gazeta/dias/1816/07/16/pdfs/GMD-1816-88.pdf#page=8","Abrir facsímil")</f>
        <v>Abrir facsímil</v>
      </c>
      <c r="K948" s="3" t="s">
        <v>23</v>
      </c>
    </row>
    <row r="949" spans="1:11" ht="42" customHeight="1">
      <c r="A949" s="2" t="s">
        <v>2512</v>
      </c>
      <c r="B949" s="2" t="s">
        <v>2512</v>
      </c>
      <c r="C949" s="2" t="s">
        <v>26</v>
      </c>
      <c r="D949" s="2" t="s">
        <v>18</v>
      </c>
      <c r="E949" s="5">
        <v>-30480</v>
      </c>
      <c r="F949" s="3" t="s">
        <v>147</v>
      </c>
      <c r="G949" s="3" t="s">
        <v>47</v>
      </c>
      <c r="H949" s="2" t="s">
        <v>21</v>
      </c>
      <c r="I949" s="2" t="s">
        <v>2535</v>
      </c>
      <c r="J949" s="3" t="str">
        <f>HYPERLINK("https://www.boe.es/gazeta/dias/1816/07/18/pdfs/GMD-1816-89.pdf#page=5","Abrir facsímil")</f>
        <v>Abrir facsímil</v>
      </c>
      <c r="K949" s="3" t="s">
        <v>23</v>
      </c>
    </row>
    <row r="950" spans="1:11" ht="42" customHeight="1">
      <c r="A950" s="2" t="s">
        <v>2512</v>
      </c>
      <c r="B950" s="2" t="s">
        <v>2512</v>
      </c>
      <c r="C950" s="2" t="s">
        <v>41</v>
      </c>
      <c r="D950" s="2" t="s">
        <v>18</v>
      </c>
      <c r="E950" s="5">
        <v>-30450</v>
      </c>
      <c r="F950" s="3" t="s">
        <v>349</v>
      </c>
      <c r="G950" s="3" t="s">
        <v>42</v>
      </c>
      <c r="H950" s="2" t="s">
        <v>21</v>
      </c>
      <c r="I950" s="2" t="s">
        <v>2536</v>
      </c>
      <c r="J950" s="3" t="str">
        <f>HYPERLINK("https://www.boe.es/gazeta/dias/1816/08/17/pdfs/GMD-1816-102.pdf#page=8","Abrir facsímil")</f>
        <v>Abrir facsímil</v>
      </c>
      <c r="K950" s="3" t="s">
        <v>23</v>
      </c>
    </row>
    <row r="951" spans="1:11" ht="42" customHeight="1">
      <c r="A951" s="2" t="s">
        <v>2515</v>
      </c>
      <c r="B951" s="2" t="s">
        <v>2515</v>
      </c>
      <c r="C951" s="2" t="s">
        <v>111</v>
      </c>
      <c r="D951" s="2" t="s">
        <v>112</v>
      </c>
      <c r="E951" s="5">
        <v>-30436</v>
      </c>
      <c r="F951" s="3" t="s">
        <v>102</v>
      </c>
      <c r="G951" s="3" t="s">
        <v>52</v>
      </c>
      <c r="H951" s="2" t="s">
        <v>21</v>
      </c>
      <c r="I951" s="2" t="s">
        <v>2537</v>
      </c>
      <c r="J951" s="3" t="str">
        <f>HYPERLINK("https://www.boe.es/gazeta/dias/1816/08/31/pdfs/GMD-1816-108.pdf#page=12","Abrir facsímil")</f>
        <v>Abrir facsímil</v>
      </c>
      <c r="K951" s="3" t="s">
        <v>23</v>
      </c>
    </row>
    <row r="952" spans="1:11" ht="42" customHeight="1">
      <c r="A952" s="2" t="s">
        <v>2512</v>
      </c>
      <c r="B952" s="2" t="s">
        <v>2512</v>
      </c>
      <c r="C952" s="2" t="s">
        <v>26</v>
      </c>
      <c r="D952" s="2" t="s">
        <v>18</v>
      </c>
      <c r="E952" s="5">
        <v>-30426</v>
      </c>
      <c r="F952" s="3" t="s">
        <v>779</v>
      </c>
      <c r="G952" s="3" t="s">
        <v>103</v>
      </c>
      <c r="H952" s="2" t="s">
        <v>21</v>
      </c>
      <c r="I952" s="2" t="s">
        <v>2538</v>
      </c>
      <c r="J952" s="3" t="str">
        <f>HYPERLINK("https://www.boe.es/gazeta/dias/1816/09/10/pdfs/GMD-1816-112.pdf#page=4","Abrir facsímil")</f>
        <v>Abrir facsímil</v>
      </c>
      <c r="K952" s="3" t="s">
        <v>23</v>
      </c>
    </row>
    <row r="953" spans="1:11" ht="42" customHeight="1">
      <c r="A953" s="2" t="s">
        <v>2512</v>
      </c>
      <c r="B953" s="2" t="s">
        <v>2512</v>
      </c>
      <c r="C953" s="2" t="s">
        <v>111</v>
      </c>
      <c r="D953" s="2" t="s">
        <v>112</v>
      </c>
      <c r="E953" s="5">
        <v>-30424</v>
      </c>
      <c r="F953" s="3" t="s">
        <v>142</v>
      </c>
      <c r="G953" s="3" t="s">
        <v>42</v>
      </c>
      <c r="H953" s="2" t="s">
        <v>21</v>
      </c>
      <c r="I953" s="2" t="s">
        <v>2539</v>
      </c>
      <c r="J953" s="3" t="str">
        <f>HYPERLINK("https://www.boe.es/gazeta/dias/1816/09/12/pdfs/GMD-1816-113.pdf#page=8","Abrir facsímil")</f>
        <v>Abrir facsímil</v>
      </c>
      <c r="K953" s="3" t="s">
        <v>23</v>
      </c>
    </row>
    <row r="954" spans="1:11" ht="42" customHeight="1">
      <c r="A954" s="2" t="s">
        <v>2512</v>
      </c>
      <c r="B954" s="2" t="s">
        <v>2512</v>
      </c>
      <c r="C954" s="2" t="s">
        <v>67</v>
      </c>
      <c r="D954" s="2" t="s">
        <v>18</v>
      </c>
      <c r="E954" s="5">
        <v>-30422</v>
      </c>
      <c r="F954" s="3" t="s">
        <v>803</v>
      </c>
      <c r="G954" s="3" t="s">
        <v>1405</v>
      </c>
      <c r="H954" s="2" t="s">
        <v>21</v>
      </c>
      <c r="I954" s="2" t="s">
        <v>2540</v>
      </c>
      <c r="J954" s="3" t="str">
        <f>HYPERLINK("https://www.boe.es/gazeta/dias/1816/09/14/pdfs/GMD-1816-114.pdf#page=8","Abrir facsímil")</f>
        <v>Abrir facsímil</v>
      </c>
      <c r="K954" s="3" t="s">
        <v>23</v>
      </c>
    </row>
    <row r="955" spans="1:11" ht="42" customHeight="1">
      <c r="A955" s="2" t="s">
        <v>2512</v>
      </c>
      <c r="B955" s="2" t="s">
        <v>2512</v>
      </c>
      <c r="C955" s="2" t="s">
        <v>34</v>
      </c>
      <c r="D955" s="2" t="s">
        <v>35</v>
      </c>
      <c r="E955" s="5">
        <v>-30412</v>
      </c>
      <c r="F955" s="3" t="s">
        <v>388</v>
      </c>
      <c r="G955" s="3" t="s">
        <v>389</v>
      </c>
      <c r="H955" s="2" t="s">
        <v>21</v>
      </c>
      <c r="I955" s="2" t="s">
        <v>2541</v>
      </c>
      <c r="J955" s="3" t="str">
        <f>HYPERLINK("https://www.boe.es/gazeta/dias/1816/09/24/pdfs/GMD-1816-118.pdf#page=4","Abrir facsímil")</f>
        <v>Abrir facsímil</v>
      </c>
      <c r="K955" s="3" t="s">
        <v>23</v>
      </c>
    </row>
    <row r="956" spans="1:11" ht="42" customHeight="1">
      <c r="A956" s="2" t="s">
        <v>2512</v>
      </c>
      <c r="B956" s="2" t="s">
        <v>2512</v>
      </c>
      <c r="C956" s="2" t="s">
        <v>26</v>
      </c>
      <c r="D956" s="2" t="s">
        <v>18</v>
      </c>
      <c r="E956" s="5">
        <v>-30412</v>
      </c>
      <c r="F956" s="3" t="s">
        <v>388</v>
      </c>
      <c r="G956" s="3" t="s">
        <v>2542</v>
      </c>
      <c r="H956" s="2" t="s">
        <v>21</v>
      </c>
      <c r="I956" s="2" t="s">
        <v>2543</v>
      </c>
      <c r="J956" s="3" t="str">
        <f>HYPERLINK("https://www.boe.es/gazeta/dias/1816/09/24/pdfs/GMD-1816-118.pdf#page=5","Abrir facsímil")</f>
        <v>Abrir facsímil</v>
      </c>
      <c r="K956" s="3" t="s">
        <v>23</v>
      </c>
    </row>
    <row r="957" spans="1:11" ht="42" customHeight="1">
      <c r="A957" s="2" t="s">
        <v>2512</v>
      </c>
      <c r="B957" s="2" t="s">
        <v>2512</v>
      </c>
      <c r="C957" s="2" t="s">
        <v>26</v>
      </c>
      <c r="D957" s="2" t="s">
        <v>18</v>
      </c>
      <c r="E957" s="5">
        <v>-30410</v>
      </c>
      <c r="F957" s="3" t="s">
        <v>1259</v>
      </c>
      <c r="G957" s="3" t="s">
        <v>1260</v>
      </c>
      <c r="H957" s="2" t="s">
        <v>21</v>
      </c>
      <c r="I957" s="2" t="s">
        <v>2544</v>
      </c>
      <c r="J957" s="3" t="str">
        <f>HYPERLINK("https://www.boe.es/gazeta/dias/1816/09/26/pdfs/GMD-1816-119.pdf#page=7","Abrir facsímil")</f>
        <v>Abrir facsímil</v>
      </c>
      <c r="K957" s="3" t="s">
        <v>23</v>
      </c>
    </row>
    <row r="958" spans="1:11" ht="42" customHeight="1">
      <c r="A958" s="2" t="s">
        <v>2515</v>
      </c>
      <c r="B958" s="2" t="s">
        <v>2515</v>
      </c>
      <c r="C958" s="2" t="s">
        <v>41</v>
      </c>
      <c r="D958" s="2" t="s">
        <v>18</v>
      </c>
      <c r="E958" s="5">
        <v>-30405</v>
      </c>
      <c r="F958" s="3" t="s">
        <v>587</v>
      </c>
      <c r="G958" s="3" t="s">
        <v>47</v>
      </c>
      <c r="H958" s="2" t="s">
        <v>21</v>
      </c>
      <c r="I958" s="2" t="s">
        <v>2545</v>
      </c>
      <c r="J958" s="3" t="str">
        <f>HYPERLINK("https://www.boe.es/gazeta/dias/1816/10/01/pdfs/GMD-1816-121.pdf#page=5","Abrir facsímil")</f>
        <v>Abrir facsímil</v>
      </c>
      <c r="K958" s="3" t="s">
        <v>23</v>
      </c>
    </row>
    <row r="959" spans="1:11" ht="42" customHeight="1">
      <c r="A959" s="2" t="s">
        <v>2512</v>
      </c>
      <c r="B959" s="2" t="s">
        <v>2512</v>
      </c>
      <c r="C959" s="2" t="s">
        <v>34</v>
      </c>
      <c r="D959" s="2" t="s">
        <v>35</v>
      </c>
      <c r="E959" s="5">
        <v>-30403</v>
      </c>
      <c r="F959" s="3" t="s">
        <v>1264</v>
      </c>
      <c r="G959" s="3" t="s">
        <v>72</v>
      </c>
      <c r="H959" s="2" t="s">
        <v>21</v>
      </c>
      <c r="I959" s="2" t="s">
        <v>2546</v>
      </c>
      <c r="J959" s="3" t="str">
        <f>HYPERLINK("https://www.boe.es/gazeta/dias/1816/10/03/pdfs/GMD-1816-122.pdf#page=7","Abrir facsímil")</f>
        <v>Abrir facsímil</v>
      </c>
      <c r="K959" s="3" t="s">
        <v>23</v>
      </c>
    </row>
    <row r="960" spans="1:11" ht="42" customHeight="1">
      <c r="A960" s="2" t="s">
        <v>2512</v>
      </c>
      <c r="B960" s="2" t="s">
        <v>2512</v>
      </c>
      <c r="C960" s="2" t="s">
        <v>111</v>
      </c>
      <c r="D960" s="2" t="s">
        <v>112</v>
      </c>
      <c r="E960" s="5">
        <v>-30398</v>
      </c>
      <c r="F960" s="3" t="s">
        <v>447</v>
      </c>
      <c r="G960" s="3" t="s">
        <v>47</v>
      </c>
      <c r="H960" s="2" t="s">
        <v>21</v>
      </c>
      <c r="I960" s="2" t="s">
        <v>2547</v>
      </c>
      <c r="J960" s="3" t="str">
        <f>HYPERLINK("https://www.boe.es/gazeta/dias/1816/10/08/pdfs/GMD-1816-125.pdf#page=5","Abrir facsímil")</f>
        <v>Abrir facsímil</v>
      </c>
      <c r="K960" s="3" t="s">
        <v>23</v>
      </c>
    </row>
    <row r="961" spans="1:11" ht="42" customHeight="1">
      <c r="A961" s="2" t="s">
        <v>2512</v>
      </c>
      <c r="B961" s="2" t="s">
        <v>2512</v>
      </c>
      <c r="C961" s="2" t="s">
        <v>26</v>
      </c>
      <c r="D961" s="2" t="s">
        <v>18</v>
      </c>
      <c r="E961" s="5">
        <v>-30391</v>
      </c>
      <c r="F961" s="3" t="s">
        <v>482</v>
      </c>
      <c r="G961" s="3" t="s">
        <v>47</v>
      </c>
      <c r="H961" s="2" t="s">
        <v>21</v>
      </c>
      <c r="I961" s="2" t="s">
        <v>2548</v>
      </c>
      <c r="J961" s="3" t="str">
        <f>HYPERLINK("https://www.boe.es/gazeta/dias/1816/10/15/pdfs/GMD-1816-129.pdf#page=5","Abrir facsímil")</f>
        <v>Abrir facsímil</v>
      </c>
      <c r="K961" s="3" t="s">
        <v>23</v>
      </c>
    </row>
    <row r="962" spans="1:11" ht="42" customHeight="1">
      <c r="A962" s="2" t="s">
        <v>2515</v>
      </c>
      <c r="B962" s="2" t="s">
        <v>2515</v>
      </c>
      <c r="C962" s="2" t="s">
        <v>26</v>
      </c>
      <c r="D962" s="2" t="s">
        <v>18</v>
      </c>
      <c r="E962" s="5">
        <v>-30389</v>
      </c>
      <c r="F962" s="3" t="s">
        <v>522</v>
      </c>
      <c r="G962" s="3" t="s">
        <v>1273</v>
      </c>
      <c r="H962" s="2" t="s">
        <v>21</v>
      </c>
      <c r="I962" s="2" t="s">
        <v>2549</v>
      </c>
      <c r="J962" s="3" t="str">
        <f>HYPERLINK("https://www.boe.es/gazeta/dias/1816/10/17/pdfs/GMD-1816-130.pdf#page=4","Abrir facsímil")</f>
        <v>Abrir facsímil</v>
      </c>
      <c r="K962" s="3" t="s">
        <v>23</v>
      </c>
    </row>
    <row r="963" spans="1:11" ht="42" customHeight="1">
      <c r="A963" s="2" t="s">
        <v>2512</v>
      </c>
      <c r="B963" s="2" t="s">
        <v>2512</v>
      </c>
      <c r="C963" s="2" t="s">
        <v>26</v>
      </c>
      <c r="D963" s="2" t="s">
        <v>18</v>
      </c>
      <c r="E963" s="5">
        <v>-30384</v>
      </c>
      <c r="F963" s="3" t="s">
        <v>460</v>
      </c>
      <c r="G963" s="3" t="s">
        <v>28</v>
      </c>
      <c r="H963" s="2" t="s">
        <v>21</v>
      </c>
      <c r="I963" s="2" t="s">
        <v>2550</v>
      </c>
      <c r="J963" s="3" t="str">
        <f>HYPERLINK("https://www.boe.es/gazeta/dias/1816/10/22/pdfs/GMD-1816-132.pdf#page=6","Abrir facsímil")</f>
        <v>Abrir facsímil</v>
      </c>
      <c r="K963" s="3" t="s">
        <v>23</v>
      </c>
    </row>
    <row r="964" spans="1:11" ht="42" customHeight="1">
      <c r="A964" s="2" t="s">
        <v>2512</v>
      </c>
      <c r="B964" s="2" t="s">
        <v>2512</v>
      </c>
      <c r="C964" s="2" t="s">
        <v>34</v>
      </c>
      <c r="D964" s="2" t="s">
        <v>35</v>
      </c>
      <c r="E964" s="5">
        <v>-30375</v>
      </c>
      <c r="F964" s="3" t="s">
        <v>404</v>
      </c>
      <c r="G964" s="3" t="s">
        <v>405</v>
      </c>
      <c r="H964" s="2" t="s">
        <v>21</v>
      </c>
      <c r="I964" s="2" t="s">
        <v>2551</v>
      </c>
      <c r="J964" s="3" t="str">
        <f>HYPERLINK("https://www.boe.es/gazeta/dias/1816/10/31/pdfs/GMD-1816-136.pdf#page=6","Abrir facsímil")</f>
        <v>Abrir facsímil</v>
      </c>
      <c r="K964" s="3" t="s">
        <v>23</v>
      </c>
    </row>
    <row r="965" spans="1:11" ht="42" customHeight="1">
      <c r="A965" s="2" t="s">
        <v>2515</v>
      </c>
      <c r="B965" s="2" t="s">
        <v>2515</v>
      </c>
      <c r="C965" s="2" t="s">
        <v>387</v>
      </c>
      <c r="D965" s="2" t="s">
        <v>18</v>
      </c>
      <c r="E965" s="5">
        <v>-30375</v>
      </c>
      <c r="F965" s="3" t="s">
        <v>404</v>
      </c>
      <c r="G965" s="3" t="s">
        <v>184</v>
      </c>
      <c r="H965" s="2" t="s">
        <v>21</v>
      </c>
      <c r="I965" s="2" t="s">
        <v>2552</v>
      </c>
      <c r="J965" s="3" t="str">
        <f>HYPERLINK("https://www.boe.es/gazeta/dias/1816/10/31/pdfs/GMD-1816-136.pdf#page=3","Abrir facsímil")</f>
        <v>Abrir facsímil</v>
      </c>
      <c r="K965" s="3" t="s">
        <v>23</v>
      </c>
    </row>
    <row r="966" spans="1:11" ht="42" customHeight="1">
      <c r="A966" s="2" t="s">
        <v>2512</v>
      </c>
      <c r="B966" s="2" t="s">
        <v>2512</v>
      </c>
      <c r="C966" s="2" t="s">
        <v>17</v>
      </c>
      <c r="D966" s="2" t="s">
        <v>18</v>
      </c>
      <c r="E966" s="5">
        <v>-30373</v>
      </c>
      <c r="F966" s="3" t="s">
        <v>1280</v>
      </c>
      <c r="G966" s="3" t="s">
        <v>72</v>
      </c>
      <c r="H966" s="2" t="s">
        <v>21</v>
      </c>
      <c r="I966" s="2" t="s">
        <v>2553</v>
      </c>
      <c r="J966" s="3" t="str">
        <f>HYPERLINK("https://www.boe.es/gazeta/dias/1816/11/02/pdfs/GMD-1816-137.pdf#page=7","Abrir facsímil")</f>
        <v>Abrir facsímil</v>
      </c>
      <c r="K966" s="3" t="s">
        <v>23</v>
      </c>
    </row>
    <row r="967" spans="1:11" ht="42" customHeight="1">
      <c r="A967" s="2" t="s">
        <v>2512</v>
      </c>
      <c r="B967" s="2" t="s">
        <v>2512</v>
      </c>
      <c r="C967" s="2" t="s">
        <v>111</v>
      </c>
      <c r="D967" s="2" t="s">
        <v>112</v>
      </c>
      <c r="E967" s="5">
        <v>-30363</v>
      </c>
      <c r="F967" s="3" t="s">
        <v>570</v>
      </c>
      <c r="G967" s="3" t="s">
        <v>47</v>
      </c>
      <c r="H967" s="2" t="s">
        <v>21</v>
      </c>
      <c r="I967" s="2" t="s">
        <v>2554</v>
      </c>
      <c r="J967" s="3" t="str">
        <f>HYPERLINK("https://www.boe.es/gazeta/dias/1816/11/12/pdfs/GMD-1816-141.pdf#page=5","Abrir facsímil")</f>
        <v>Abrir facsímil</v>
      </c>
      <c r="K967" s="3" t="s">
        <v>23</v>
      </c>
    </row>
    <row r="968" spans="1:11" ht="42" customHeight="1">
      <c r="A968" s="2" t="s">
        <v>2512</v>
      </c>
      <c r="B968" s="2" t="s">
        <v>2512</v>
      </c>
      <c r="C968" s="2" t="s">
        <v>26</v>
      </c>
      <c r="D968" s="2" t="s">
        <v>18</v>
      </c>
      <c r="E968" s="5">
        <v>-30359</v>
      </c>
      <c r="F968" s="3" t="s">
        <v>812</v>
      </c>
      <c r="G968" s="3" t="s">
        <v>47</v>
      </c>
      <c r="H968" s="2" t="s">
        <v>21</v>
      </c>
      <c r="I968" s="2" t="s">
        <v>2555</v>
      </c>
      <c r="J968" s="3" t="str">
        <f>HYPERLINK("https://www.boe.es/gazeta/dias/1816/11/16/pdfs/GMD-1816-143.pdf#page=5","Abrir facsímil")</f>
        <v>Abrir facsímil</v>
      </c>
      <c r="K968" s="3" t="s">
        <v>23</v>
      </c>
    </row>
    <row r="969" spans="1:11" ht="42" customHeight="1">
      <c r="A969" s="2" t="s">
        <v>2515</v>
      </c>
      <c r="B969" s="2" t="s">
        <v>2515</v>
      </c>
      <c r="C969" s="2" t="s">
        <v>34</v>
      </c>
      <c r="D969" s="2" t="s">
        <v>35</v>
      </c>
      <c r="E969" s="5">
        <v>-30349</v>
      </c>
      <c r="F969" s="3" t="s">
        <v>360</v>
      </c>
      <c r="G969" s="3" t="s">
        <v>47</v>
      </c>
      <c r="H969" s="2" t="s">
        <v>21</v>
      </c>
      <c r="I969" s="2" t="s">
        <v>2556</v>
      </c>
      <c r="J969" s="3" t="str">
        <f>HYPERLINK("https://www.boe.es/gazeta/dias/1816/11/26/pdfs/GMD-1816-147.pdf#page=5","Abrir facsímil")</f>
        <v>Abrir facsímil</v>
      </c>
      <c r="K969" s="3" t="s">
        <v>23</v>
      </c>
    </row>
    <row r="970" spans="1:11" ht="42" customHeight="1">
      <c r="A970" s="2" t="s">
        <v>2512</v>
      </c>
      <c r="B970" s="2" t="s">
        <v>2512</v>
      </c>
      <c r="C970" s="2" t="s">
        <v>34</v>
      </c>
      <c r="D970" s="2" t="s">
        <v>35</v>
      </c>
      <c r="E970" s="5">
        <v>-30342</v>
      </c>
      <c r="F970" s="3" t="s">
        <v>116</v>
      </c>
      <c r="G970" s="3" t="s">
        <v>28</v>
      </c>
      <c r="H970" s="2" t="s">
        <v>21</v>
      </c>
      <c r="I970" s="2" t="s">
        <v>2557</v>
      </c>
      <c r="J970" s="3" t="str">
        <f>HYPERLINK("https://www.boe.es/gazeta/dias/1816/12/03/pdfs/GMD-1816-150.pdf#page=6","Abrir facsímil")</f>
        <v>Abrir facsímil</v>
      </c>
      <c r="K970" s="3" t="s">
        <v>23</v>
      </c>
    </row>
    <row r="971" spans="1:11" ht="42" customHeight="1">
      <c r="A971" s="2" t="s">
        <v>2512</v>
      </c>
      <c r="B971" s="2" t="s">
        <v>2512</v>
      </c>
      <c r="C971" s="2" t="s">
        <v>26</v>
      </c>
      <c r="D971" s="2" t="s">
        <v>18</v>
      </c>
      <c r="E971" s="5">
        <v>-30335</v>
      </c>
      <c r="F971" s="3" t="s">
        <v>468</v>
      </c>
      <c r="G971" s="3" t="s">
        <v>1463</v>
      </c>
      <c r="H971" s="2" t="s">
        <v>21</v>
      </c>
      <c r="I971" s="2" t="s">
        <v>2558</v>
      </c>
      <c r="J971" s="3" t="str">
        <f>HYPERLINK("https://www.boe.es/gazeta/dias/1816/12/10/pdfs/GMD-1816-153.pdf#page=6","Abrir facsímil")</f>
        <v>Abrir facsímil</v>
      </c>
      <c r="K971" s="3" t="s">
        <v>23</v>
      </c>
    </row>
    <row r="972" spans="1:11" ht="42" customHeight="1">
      <c r="A972" s="2" t="s">
        <v>2512</v>
      </c>
      <c r="B972" s="2" t="s">
        <v>2512</v>
      </c>
      <c r="C972" s="2" t="s">
        <v>34</v>
      </c>
      <c r="D972" s="2" t="s">
        <v>35</v>
      </c>
      <c r="E972" s="5">
        <v>-30333</v>
      </c>
      <c r="F972" s="3" t="s">
        <v>1005</v>
      </c>
      <c r="G972" s="3" t="s">
        <v>1006</v>
      </c>
      <c r="H972" s="2" t="s">
        <v>21</v>
      </c>
      <c r="I972" s="2" t="s">
        <v>2559</v>
      </c>
      <c r="J972" s="3" t="str">
        <f>HYPERLINK("https://www.boe.es/gazeta/dias/1816/12/12/pdfs/GMD-1816-154.pdf#page=5","Abrir facsímil")</f>
        <v>Abrir facsímil</v>
      </c>
      <c r="K972" s="3" t="s">
        <v>23</v>
      </c>
    </row>
    <row r="973" spans="1:11" ht="42" customHeight="1">
      <c r="A973" s="2" t="s">
        <v>2515</v>
      </c>
      <c r="B973" s="2" t="s">
        <v>2515</v>
      </c>
      <c r="C973" s="2" t="s">
        <v>34</v>
      </c>
      <c r="D973" s="2" t="s">
        <v>35</v>
      </c>
      <c r="E973" s="5">
        <v>-30333</v>
      </c>
      <c r="F973" s="3" t="s">
        <v>1005</v>
      </c>
      <c r="G973" s="3" t="s">
        <v>28</v>
      </c>
      <c r="H973" s="2" t="s">
        <v>21</v>
      </c>
      <c r="I973" s="2" t="s">
        <v>2560</v>
      </c>
      <c r="J973" s="3" t="str">
        <f>HYPERLINK("https://www.boe.es/gazeta/dias/1816/12/12/pdfs/GMD-1816-154.pdf#page=6","Abrir facsímil")</f>
        <v>Abrir facsímil</v>
      </c>
      <c r="K973" s="3" t="s">
        <v>23</v>
      </c>
    </row>
    <row r="974" spans="1:11" ht="42" customHeight="1">
      <c r="A974" s="2" t="s">
        <v>2512</v>
      </c>
      <c r="B974" s="2" t="s">
        <v>2512</v>
      </c>
      <c r="C974" s="2" t="s">
        <v>26</v>
      </c>
      <c r="D974" s="2" t="s">
        <v>18</v>
      </c>
      <c r="E974" s="5">
        <v>-30331</v>
      </c>
      <c r="F974" s="3" t="s">
        <v>315</v>
      </c>
      <c r="G974" s="3" t="s">
        <v>47</v>
      </c>
      <c r="H974" s="2" t="s">
        <v>21</v>
      </c>
      <c r="I974" s="2" t="s">
        <v>2561</v>
      </c>
      <c r="J974" s="3" t="str">
        <f>HYPERLINK("https://www.boe.es/gazeta/dias/1816/12/14/pdfs/GMD-1816-155.pdf#page=5","Abrir facsímil")</f>
        <v>Abrir facsímil</v>
      </c>
      <c r="K974" s="3" t="s">
        <v>23</v>
      </c>
    </row>
    <row r="975" spans="1:11" ht="42" customHeight="1">
      <c r="A975" s="2" t="s">
        <v>2512</v>
      </c>
      <c r="B975" s="2" t="s">
        <v>2512</v>
      </c>
      <c r="C975" s="2" t="s">
        <v>67</v>
      </c>
      <c r="D975" s="2" t="s">
        <v>18</v>
      </c>
      <c r="E975" s="5">
        <v>-30326</v>
      </c>
      <c r="F975" s="3" t="s">
        <v>377</v>
      </c>
      <c r="G975" s="3" t="s">
        <v>42</v>
      </c>
      <c r="H975" s="2" t="s">
        <v>21</v>
      </c>
      <c r="I975" s="2" t="s">
        <v>2562</v>
      </c>
      <c r="J975" s="3" t="str">
        <f>HYPERLINK("https://www.boe.es/gazeta/dias/1816/12/19/pdfs/GMD-1816-157.pdf#page=8","Abrir facsímil")</f>
        <v>Abrir facsímil</v>
      </c>
      <c r="K975" s="3" t="s">
        <v>23</v>
      </c>
    </row>
    <row r="976" spans="1:11" ht="42" customHeight="1">
      <c r="A976" s="2" t="s">
        <v>2515</v>
      </c>
      <c r="B976" s="2" t="s">
        <v>2515</v>
      </c>
      <c r="C976" s="2" t="s">
        <v>26</v>
      </c>
      <c r="D976" s="2" t="s">
        <v>18</v>
      </c>
      <c r="E976" s="5">
        <v>-30321</v>
      </c>
      <c r="F976" s="3" t="s">
        <v>1086</v>
      </c>
      <c r="G976" s="3" t="s">
        <v>103</v>
      </c>
      <c r="H976" s="2" t="s">
        <v>21</v>
      </c>
      <c r="I976" s="2" t="s">
        <v>2563</v>
      </c>
      <c r="J976" s="3" t="str">
        <f>HYPERLINK("https://www.boe.es/gazeta/dias/1816/12/24/pdfs/GMD-1816-159.pdf#page=4","Abrir facsímil")</f>
        <v>Abrir facsímil</v>
      </c>
      <c r="K976" s="3" t="s">
        <v>23</v>
      </c>
    </row>
    <row r="977" spans="1:11" ht="42" customHeight="1">
      <c r="A977" s="2" t="s">
        <v>2515</v>
      </c>
      <c r="B977" s="2" t="s">
        <v>2515</v>
      </c>
      <c r="C977" s="2" t="s">
        <v>34</v>
      </c>
      <c r="D977" s="2" t="s">
        <v>35</v>
      </c>
      <c r="E977" s="5">
        <v>-30319</v>
      </c>
      <c r="F977" s="3" t="s">
        <v>131</v>
      </c>
      <c r="G977" s="3" t="s">
        <v>2122</v>
      </c>
      <c r="H977" s="2" t="s">
        <v>21</v>
      </c>
      <c r="I977" s="2" t="s">
        <v>2564</v>
      </c>
      <c r="J977" s="3" t="str">
        <f>HYPERLINK("https://www.boe.es/gazeta/dias/1816/12/26/pdfs/GMD-1816-160.pdf#page=7","Abrir facsímil")</f>
        <v>Abrir facsímil</v>
      </c>
      <c r="K977" s="3" t="s">
        <v>23</v>
      </c>
    </row>
    <row r="978" spans="1:11" ht="42" customHeight="1">
      <c r="A978" s="2" t="s">
        <v>2565</v>
      </c>
      <c r="B978" s="2" t="s">
        <v>2566</v>
      </c>
      <c r="C978" s="2" t="s">
        <v>17</v>
      </c>
      <c r="D978" s="2" t="s">
        <v>18</v>
      </c>
      <c r="E978" s="5">
        <v>-30317</v>
      </c>
      <c r="F978" s="3" t="s">
        <v>1030</v>
      </c>
      <c r="G978" s="3" t="s">
        <v>1031</v>
      </c>
      <c r="H978" s="2" t="s">
        <v>21</v>
      </c>
      <c r="I978" s="2" t="s">
        <v>2567</v>
      </c>
      <c r="J978" s="3" t="str">
        <f>HYPERLINK("https://www.boe.es/gazeta/dias/1816/12/28/pdfs/GMD-1816-161.pdf#page=6","Abrir facsímil")</f>
        <v>Abrir facsímil</v>
      </c>
      <c r="K978" s="3" t="s">
        <v>23</v>
      </c>
    </row>
    <row r="979" spans="1:11" ht="42" customHeight="1">
      <c r="A979" s="2" t="s">
        <v>2568</v>
      </c>
      <c r="B979" s="2" t="s">
        <v>2569</v>
      </c>
      <c r="C979" s="2" t="s">
        <v>26</v>
      </c>
      <c r="D979" s="2" t="s">
        <v>18</v>
      </c>
      <c r="E979" s="5">
        <v>-30622</v>
      </c>
      <c r="F979" s="3" t="s">
        <v>27</v>
      </c>
      <c r="G979" s="3" t="s">
        <v>47</v>
      </c>
      <c r="H979" s="2" t="s">
        <v>21</v>
      </c>
      <c r="I979" s="2" t="s">
        <v>2570</v>
      </c>
      <c r="J979" s="3" t="str">
        <f>HYPERLINK("https://www.boe.es/gazeta/dias/1816/02/27/pdfs/GMD-1816-26.pdf#page=5","Abrir facsímil")</f>
        <v>Abrir facsímil</v>
      </c>
      <c r="K979" s="3" t="s">
        <v>23</v>
      </c>
    </row>
    <row r="980" spans="1:11" ht="42" customHeight="1">
      <c r="A980" s="2" t="s">
        <v>2571</v>
      </c>
      <c r="B980" s="2" t="s">
        <v>2572</v>
      </c>
      <c r="C980" s="2" t="s">
        <v>26</v>
      </c>
      <c r="D980" s="2" t="s">
        <v>18</v>
      </c>
      <c r="E980" s="5">
        <v>-30356</v>
      </c>
      <c r="F980" s="3" t="s">
        <v>824</v>
      </c>
      <c r="G980" s="3" t="s">
        <v>28</v>
      </c>
      <c r="H980" s="2" t="s">
        <v>29</v>
      </c>
      <c r="I980" s="2" t="s">
        <v>2573</v>
      </c>
      <c r="J980" s="3" t="str">
        <f>HYPERLINK("https://www.boe.es/gazeta/dias/1816/11/19/pdfs/GMD-1816-144.pdf#page=6","Abrir facsímil")</f>
        <v>Abrir facsímil</v>
      </c>
      <c r="K980" s="3" t="s">
        <v>31</v>
      </c>
    </row>
    <row r="981" spans="1:11" ht="42" customHeight="1">
      <c r="A981" s="2" t="s">
        <v>2574</v>
      </c>
      <c r="B981" s="2" t="s">
        <v>2574</v>
      </c>
      <c r="C981" s="2" t="s">
        <v>34</v>
      </c>
      <c r="D981" s="2" t="s">
        <v>35</v>
      </c>
      <c r="E981" s="5">
        <v>-30324</v>
      </c>
      <c r="F981" s="3" t="s">
        <v>46</v>
      </c>
      <c r="G981" s="3" t="s">
        <v>47</v>
      </c>
      <c r="H981" s="2" t="s">
        <v>21</v>
      </c>
      <c r="I981" s="2" t="s">
        <v>2575</v>
      </c>
      <c r="J981" s="3" t="str">
        <f>HYPERLINK("https://www.boe.es/gazeta/dias/1816/12/21/pdfs/GMD-1816-158.pdf#page=5","Abrir facsímil")</f>
        <v>Abrir facsímil</v>
      </c>
      <c r="K981" s="3" t="s">
        <v>23</v>
      </c>
    </row>
    <row r="982" spans="1:11" ht="42" customHeight="1">
      <c r="A982" s="2" t="s">
        <v>2576</v>
      </c>
      <c r="B982" s="2" t="s">
        <v>2577</v>
      </c>
      <c r="C982" s="2" t="s">
        <v>67</v>
      </c>
      <c r="D982" s="2" t="s">
        <v>18</v>
      </c>
      <c r="E982" s="5">
        <v>-30431</v>
      </c>
      <c r="F982" s="3" t="s">
        <v>756</v>
      </c>
      <c r="G982" s="3" t="s">
        <v>2277</v>
      </c>
      <c r="H982" s="2" t="s">
        <v>21</v>
      </c>
      <c r="I982" s="2" t="s">
        <v>2578</v>
      </c>
      <c r="J982" s="3" t="str">
        <f>HYPERLINK("https://www.boe.es/gazeta/dias/1816/09/05/pdfs/GMD-1816-110.pdf#page=8","Abrir facsímil")</f>
        <v>Abrir facsímil</v>
      </c>
      <c r="K982" s="3" t="s">
        <v>23</v>
      </c>
    </row>
    <row r="983" spans="1:11" ht="42" customHeight="1">
      <c r="A983" s="2" t="s">
        <v>2576</v>
      </c>
      <c r="B983" s="2" t="s">
        <v>2577</v>
      </c>
      <c r="C983" s="2" t="s">
        <v>41</v>
      </c>
      <c r="D983" s="2" t="s">
        <v>18</v>
      </c>
      <c r="E983" s="5">
        <v>-30394</v>
      </c>
      <c r="F983" s="3" t="s">
        <v>589</v>
      </c>
      <c r="G983" s="3" t="s">
        <v>72</v>
      </c>
      <c r="H983" s="2" t="s">
        <v>21</v>
      </c>
      <c r="I983" s="2" t="s">
        <v>2579</v>
      </c>
      <c r="J983" s="3" t="str">
        <f>HYPERLINK("https://www.boe.es/gazeta/dias/1816/10/12/pdfs/GMD-1816-127.pdf#page=7","Abrir facsímil")</f>
        <v>Abrir facsímil</v>
      </c>
      <c r="K983" s="3" t="s">
        <v>23</v>
      </c>
    </row>
    <row r="984" spans="1:11" ht="42" customHeight="1">
      <c r="A984" s="2" t="s">
        <v>2580</v>
      </c>
      <c r="B984" s="2" t="s">
        <v>2581</v>
      </c>
      <c r="C984" s="2" t="s">
        <v>67</v>
      </c>
      <c r="D984" s="2" t="s">
        <v>18</v>
      </c>
      <c r="E984" s="5">
        <v>-30424</v>
      </c>
      <c r="F984" s="3" t="s">
        <v>142</v>
      </c>
      <c r="G984" s="3" t="s">
        <v>175</v>
      </c>
      <c r="H984" s="2" t="s">
        <v>21</v>
      </c>
      <c r="I984" s="2" t="s">
        <v>2582</v>
      </c>
      <c r="J984" s="3" t="str">
        <f>HYPERLINK("https://www.boe.es/gazeta/dias/1816/09/12/pdfs/GMD-1816-113.pdf#page=11","Abrir facsímil")</f>
        <v>Abrir facsímil</v>
      </c>
      <c r="K984" s="3" t="s">
        <v>23</v>
      </c>
    </row>
    <row r="985" spans="1:11" ht="42" customHeight="1">
      <c r="A985" s="2" t="s">
        <v>2580</v>
      </c>
      <c r="B985" s="2" t="s">
        <v>2581</v>
      </c>
      <c r="C985" s="2" t="s">
        <v>67</v>
      </c>
      <c r="D985" s="2" t="s">
        <v>18</v>
      </c>
      <c r="E985" s="5">
        <v>-30424</v>
      </c>
      <c r="F985" s="3" t="s">
        <v>142</v>
      </c>
      <c r="G985" s="3" t="s">
        <v>52</v>
      </c>
      <c r="H985" s="2" t="s">
        <v>21</v>
      </c>
      <c r="I985" s="2" t="s">
        <v>2583</v>
      </c>
      <c r="J985" s="3" t="str">
        <f>HYPERLINK("https://www.boe.es/gazeta/dias/1816/09/12/pdfs/GMD-1816-113.pdf#page=12","Abrir facsímil")</f>
        <v>Abrir facsímil</v>
      </c>
      <c r="K985" s="3" t="s">
        <v>23</v>
      </c>
    </row>
    <row r="986" spans="1:11" ht="42" customHeight="1">
      <c r="A986" s="2" t="s">
        <v>2580</v>
      </c>
      <c r="B986" s="2" t="s">
        <v>2581</v>
      </c>
      <c r="C986" s="2" t="s">
        <v>67</v>
      </c>
      <c r="D986" s="2" t="s">
        <v>18</v>
      </c>
      <c r="E986" s="5">
        <v>-30422</v>
      </c>
      <c r="F986" s="3" t="s">
        <v>803</v>
      </c>
      <c r="G986" s="3" t="s">
        <v>1405</v>
      </c>
      <c r="H986" s="2" t="s">
        <v>21</v>
      </c>
      <c r="I986" s="2" t="s">
        <v>2584</v>
      </c>
      <c r="J986" s="3" t="str">
        <f>HYPERLINK("https://www.boe.es/gazeta/dias/1816/09/14/pdfs/GMD-1816-114.pdf#page=8","Abrir facsímil")</f>
        <v>Abrir facsímil</v>
      </c>
      <c r="K986" s="3" t="s">
        <v>23</v>
      </c>
    </row>
    <row r="987" spans="1:11" ht="42" customHeight="1">
      <c r="A987" s="2" t="s">
        <v>2585</v>
      </c>
      <c r="B987" s="2" t="s">
        <v>2586</v>
      </c>
      <c r="C987" s="2" t="s">
        <v>41</v>
      </c>
      <c r="D987" s="2" t="s">
        <v>18</v>
      </c>
      <c r="E987" s="5">
        <v>-30419</v>
      </c>
      <c r="F987" s="3" t="s">
        <v>1256</v>
      </c>
      <c r="G987" s="3" t="s">
        <v>2162</v>
      </c>
      <c r="H987" s="2" t="s">
        <v>21</v>
      </c>
      <c r="I987" s="2" t="s">
        <v>2587</v>
      </c>
      <c r="J987" s="3" t="str">
        <f>HYPERLINK("https://www.boe.es/gazeta/dias/1816/09/17/pdfs/GMD-1816-115.pdf#page=8","Abrir facsímil")</f>
        <v>Abrir facsímil</v>
      </c>
      <c r="K987" s="3" t="s">
        <v>23</v>
      </c>
    </row>
    <row r="988" spans="1:11" ht="42" customHeight="1">
      <c r="A988" s="2" t="s">
        <v>2588</v>
      </c>
      <c r="B988" s="2" t="s">
        <v>2589</v>
      </c>
      <c r="C988" s="2" t="s">
        <v>41</v>
      </c>
      <c r="D988" s="2" t="s">
        <v>18</v>
      </c>
      <c r="E988" s="5">
        <v>-30443</v>
      </c>
      <c r="F988" s="3" t="s">
        <v>259</v>
      </c>
      <c r="G988" s="3" t="s">
        <v>260</v>
      </c>
      <c r="H988" s="2" t="s">
        <v>21</v>
      </c>
      <c r="I988" s="2" t="s">
        <v>2590</v>
      </c>
      <c r="J988" s="3" t="str">
        <f>HYPERLINK("https://www.boe.es/gazeta/dias/1816/08/24/pdfs/GMD-1816-105.pdf#page=8","Abrir facsímil")</f>
        <v>Abrir facsímil</v>
      </c>
      <c r="K988" s="3" t="s">
        <v>23</v>
      </c>
    </row>
    <row r="989" spans="1:11" ht="42" customHeight="1">
      <c r="A989" s="2" t="s">
        <v>2588</v>
      </c>
      <c r="B989" s="2" t="s">
        <v>2589</v>
      </c>
      <c r="C989" s="2" t="s">
        <v>67</v>
      </c>
      <c r="D989" s="2" t="s">
        <v>18</v>
      </c>
      <c r="E989" s="5">
        <v>-30422</v>
      </c>
      <c r="F989" s="3" t="s">
        <v>803</v>
      </c>
      <c r="G989" s="3" t="s">
        <v>1405</v>
      </c>
      <c r="H989" s="2" t="s">
        <v>21</v>
      </c>
      <c r="I989" s="2" t="s">
        <v>2591</v>
      </c>
      <c r="J989" s="3" t="str">
        <f>HYPERLINK("https://www.boe.es/gazeta/dias/1816/09/14/pdfs/GMD-1816-114.pdf#page=8","Abrir facsímil")</f>
        <v>Abrir facsímil</v>
      </c>
      <c r="K989" s="3" t="s">
        <v>23</v>
      </c>
    </row>
    <row r="990" spans="1:11" ht="42" customHeight="1">
      <c r="A990" s="2" t="s">
        <v>2588</v>
      </c>
      <c r="B990" s="2" t="s">
        <v>2589</v>
      </c>
      <c r="C990" s="2" t="s">
        <v>41</v>
      </c>
      <c r="D990" s="2" t="s">
        <v>18</v>
      </c>
      <c r="E990" s="5">
        <v>-30419</v>
      </c>
      <c r="F990" s="3" t="s">
        <v>1256</v>
      </c>
      <c r="G990" s="3" t="s">
        <v>2162</v>
      </c>
      <c r="H990" s="2" t="s">
        <v>21</v>
      </c>
      <c r="I990" s="2" t="s">
        <v>2592</v>
      </c>
      <c r="J990" s="3" t="str">
        <f>HYPERLINK("https://www.boe.es/gazeta/dias/1816/09/17/pdfs/GMD-1816-115.pdf#page=8","Abrir facsímil")</f>
        <v>Abrir facsímil</v>
      </c>
      <c r="K990" s="3" t="s">
        <v>23</v>
      </c>
    </row>
    <row r="991" spans="1:11" ht="42" customHeight="1">
      <c r="A991" s="2" t="s">
        <v>2588</v>
      </c>
      <c r="B991" s="2" t="s">
        <v>2589</v>
      </c>
      <c r="C991" s="2" t="s">
        <v>41</v>
      </c>
      <c r="D991" s="2" t="s">
        <v>18</v>
      </c>
      <c r="E991" s="5">
        <v>-30412</v>
      </c>
      <c r="F991" s="3" t="s">
        <v>388</v>
      </c>
      <c r="G991" s="3" t="s">
        <v>42</v>
      </c>
      <c r="H991" s="2" t="s">
        <v>21</v>
      </c>
      <c r="I991" s="2" t="s">
        <v>2593</v>
      </c>
      <c r="J991" s="3" t="str">
        <f>HYPERLINK("https://www.boe.es/gazeta/dias/1816/09/24/pdfs/GMD-1816-118.pdf#page=8","Abrir facsímil")</f>
        <v>Abrir facsímil</v>
      </c>
      <c r="K991" s="3" t="s">
        <v>23</v>
      </c>
    </row>
    <row r="992" spans="1:11" ht="42" customHeight="1">
      <c r="A992" s="2" t="s">
        <v>2594</v>
      </c>
      <c r="B992" s="2" t="s">
        <v>2595</v>
      </c>
      <c r="C992" s="2" t="s">
        <v>41</v>
      </c>
      <c r="D992" s="2" t="s">
        <v>18</v>
      </c>
      <c r="E992" s="5">
        <v>-30429</v>
      </c>
      <c r="F992" s="3" t="s">
        <v>598</v>
      </c>
      <c r="G992" s="3" t="s">
        <v>42</v>
      </c>
      <c r="H992" s="2" t="s">
        <v>21</v>
      </c>
      <c r="I992" s="2" t="s">
        <v>2596</v>
      </c>
      <c r="J992" s="3" t="str">
        <f>HYPERLINK("https://www.boe.es/gazeta/dias/1816/09/07/pdfs/GMD-1816-111.pdf#page=8","Abrir facsímil")</f>
        <v>Abrir facsímil</v>
      </c>
      <c r="K992" s="3" t="s">
        <v>23</v>
      </c>
    </row>
    <row r="993" spans="1:11" ht="42" customHeight="1">
      <c r="A993" s="2" t="s">
        <v>2597</v>
      </c>
      <c r="B993" s="2" t="s">
        <v>2598</v>
      </c>
      <c r="C993" s="2" t="s">
        <v>26</v>
      </c>
      <c r="D993" s="2" t="s">
        <v>18</v>
      </c>
      <c r="E993" s="5">
        <v>-30571</v>
      </c>
      <c r="F993" s="3" t="s">
        <v>738</v>
      </c>
      <c r="G993" s="3" t="s">
        <v>42</v>
      </c>
      <c r="H993" s="2" t="s">
        <v>29</v>
      </c>
      <c r="I993" s="2" t="s">
        <v>2599</v>
      </c>
      <c r="J993" s="3" t="str">
        <f>HYPERLINK("https://www.boe.es/gazeta/dias/1816/04/18/pdfs/GMD-1816-50.pdf#page=8","Abrir facsímil")</f>
        <v>Abrir facsímil</v>
      </c>
      <c r="K993" s="3" t="s">
        <v>31</v>
      </c>
    </row>
    <row r="994" spans="1:11" ht="42" customHeight="1">
      <c r="A994" s="2" t="s">
        <v>2600</v>
      </c>
      <c r="B994" s="2" t="s">
        <v>2600</v>
      </c>
      <c r="C994" s="2" t="s">
        <v>34</v>
      </c>
      <c r="D994" s="2" t="s">
        <v>35</v>
      </c>
      <c r="E994" s="5">
        <v>-30342</v>
      </c>
      <c r="F994" s="3" t="s">
        <v>116</v>
      </c>
      <c r="G994" s="3" t="s">
        <v>58</v>
      </c>
      <c r="H994" s="2" t="s">
        <v>21</v>
      </c>
      <c r="I994" s="2" t="s">
        <v>2601</v>
      </c>
      <c r="J994" s="3" t="str">
        <f>HYPERLINK("https://www.boe.es/gazeta/dias/1816/12/03/pdfs/GMD-1816-150.pdf#page=1","Abrir facsímil")</f>
        <v>Abrir facsímil</v>
      </c>
      <c r="K994" s="3" t="s">
        <v>23</v>
      </c>
    </row>
    <row r="995" spans="1:11" ht="42" customHeight="1">
      <c r="A995" s="2" t="s">
        <v>2602</v>
      </c>
      <c r="B995" s="2" t="s">
        <v>2603</v>
      </c>
      <c r="C995" s="2" t="s">
        <v>111</v>
      </c>
      <c r="D995" s="2" t="s">
        <v>112</v>
      </c>
      <c r="E995" s="5">
        <v>-30384</v>
      </c>
      <c r="F995" s="3" t="s">
        <v>460</v>
      </c>
      <c r="G995" s="3" t="s">
        <v>42</v>
      </c>
      <c r="H995" s="2" t="s">
        <v>29</v>
      </c>
      <c r="I995" s="2" t="s">
        <v>2604</v>
      </c>
      <c r="J995" s="3" t="str">
        <f>HYPERLINK("https://www.boe.es/gazeta/dias/1816/10/22/pdfs/GMD-1816-132.pdf#page=8","Abrir facsímil")</f>
        <v>Abrir facsímil</v>
      </c>
      <c r="K995" s="3" t="s">
        <v>31</v>
      </c>
    </row>
    <row r="996" spans="1:11" ht="42" customHeight="1">
      <c r="A996" s="2" t="s">
        <v>2605</v>
      </c>
      <c r="B996" s="2" t="s">
        <v>2606</v>
      </c>
      <c r="C996" s="2" t="s">
        <v>26</v>
      </c>
      <c r="D996" s="2" t="s">
        <v>18</v>
      </c>
      <c r="E996" s="5">
        <v>-30317</v>
      </c>
      <c r="F996" s="3" t="s">
        <v>1030</v>
      </c>
      <c r="G996" s="3" t="s">
        <v>184</v>
      </c>
      <c r="H996" s="2" t="s">
        <v>21</v>
      </c>
      <c r="I996" s="2" t="s">
        <v>2607</v>
      </c>
      <c r="J996" s="3" t="str">
        <f>HYPERLINK("https://www.boe.es/gazeta/dias/1816/12/28/pdfs/GMD-1816-161.pdf#page=3","Abrir facsímil")</f>
        <v>Abrir facsímil</v>
      </c>
      <c r="K996" s="3" t="s">
        <v>23</v>
      </c>
    </row>
    <row r="997" spans="1:11" ht="42" customHeight="1">
      <c r="A997" s="2" t="s">
        <v>2608</v>
      </c>
      <c r="B997" s="2" t="s">
        <v>2609</v>
      </c>
      <c r="C997" s="2" t="s">
        <v>34</v>
      </c>
      <c r="D997" s="2" t="s">
        <v>35</v>
      </c>
      <c r="E997" s="5">
        <v>-30375</v>
      </c>
      <c r="F997" s="3" t="s">
        <v>404</v>
      </c>
      <c r="G997" s="3" t="s">
        <v>405</v>
      </c>
      <c r="H997" s="2" t="s">
        <v>21</v>
      </c>
      <c r="I997" s="2" t="s">
        <v>2610</v>
      </c>
      <c r="J997" s="3" t="str">
        <f>HYPERLINK("https://www.boe.es/gazeta/dias/1816/10/31/pdfs/GMD-1816-136.pdf#page=6","Abrir facsímil")</f>
        <v>Abrir facsímil</v>
      </c>
      <c r="K997" s="3" t="s">
        <v>23</v>
      </c>
    </row>
    <row r="998" spans="1:11" ht="42" customHeight="1">
      <c r="A998" s="2" t="s">
        <v>2611</v>
      </c>
      <c r="B998" s="2" t="s">
        <v>2612</v>
      </c>
      <c r="C998" s="2" t="s">
        <v>26</v>
      </c>
      <c r="D998" s="2" t="s">
        <v>18</v>
      </c>
      <c r="E998" s="5">
        <v>-30585</v>
      </c>
      <c r="F998" s="3" t="s">
        <v>633</v>
      </c>
      <c r="G998" s="3" t="s">
        <v>634</v>
      </c>
      <c r="H998" s="2" t="s">
        <v>21</v>
      </c>
      <c r="I998" s="2" t="s">
        <v>2613</v>
      </c>
      <c r="J998" s="3" t="str">
        <f>HYPERLINK("https://www.boe.es/gazeta/dias/1816/04/04/pdfs/GMD-1816-44.pdf#page=6","Abrir facsímil")</f>
        <v>Abrir facsímil</v>
      </c>
      <c r="K998" s="3" t="s">
        <v>23</v>
      </c>
    </row>
    <row r="999" spans="1:11" ht="42" customHeight="1">
      <c r="A999" s="2" t="s">
        <v>2611</v>
      </c>
      <c r="B999" s="2" t="s">
        <v>2612</v>
      </c>
      <c r="C999" s="2" t="s">
        <v>67</v>
      </c>
      <c r="D999" s="2" t="s">
        <v>18</v>
      </c>
      <c r="E999" s="5">
        <v>-30585</v>
      </c>
      <c r="F999" s="3" t="s">
        <v>633</v>
      </c>
      <c r="G999" s="3" t="s">
        <v>47</v>
      </c>
      <c r="H999" s="2" t="s">
        <v>21</v>
      </c>
      <c r="I999" s="2" t="s">
        <v>2614</v>
      </c>
      <c r="J999" s="3" t="str">
        <f>HYPERLINK("https://www.boe.es/gazeta/dias/1816/04/04/pdfs/GMD-1816-44.pdf#page=5","Abrir facsímil")</f>
        <v>Abrir facsímil</v>
      </c>
      <c r="K999" s="3" t="s">
        <v>23</v>
      </c>
    </row>
    <row r="1000" spans="1:11" ht="42" customHeight="1">
      <c r="A1000" s="2" t="s">
        <v>2615</v>
      </c>
      <c r="B1000" s="2" t="s">
        <v>2616</v>
      </c>
      <c r="C1000" s="2" t="s">
        <v>26</v>
      </c>
      <c r="D1000" s="2" t="s">
        <v>18</v>
      </c>
      <c r="E1000" s="5">
        <v>-30585</v>
      </c>
      <c r="F1000" s="3" t="s">
        <v>633</v>
      </c>
      <c r="G1000" s="3" t="s">
        <v>47</v>
      </c>
      <c r="H1000" s="2" t="s">
        <v>21</v>
      </c>
      <c r="I1000" s="2" t="s">
        <v>2617</v>
      </c>
      <c r="J1000" s="3" t="str">
        <f>HYPERLINK("https://www.boe.es/gazeta/dias/1816/04/04/pdfs/GMD-1816-44.pdf#page=5","Abrir facsímil")</f>
        <v>Abrir facsímil</v>
      </c>
      <c r="K1000" s="3" t="s">
        <v>23</v>
      </c>
    </row>
    <row r="1001" spans="1:11" ht="42" customHeight="1">
      <c r="A1001" s="2" t="s">
        <v>2618</v>
      </c>
      <c r="B1001" s="2" t="s">
        <v>2619</v>
      </c>
      <c r="C1001" s="2" t="s">
        <v>26</v>
      </c>
      <c r="D1001" s="2" t="s">
        <v>56</v>
      </c>
      <c r="E1001" s="5">
        <v>-30393</v>
      </c>
      <c r="F1001" s="3" t="s">
        <v>202</v>
      </c>
      <c r="G1001" s="3" t="s">
        <v>203</v>
      </c>
      <c r="H1001" s="2" t="s">
        <v>21</v>
      </c>
      <c r="I1001" s="2" t="s">
        <v>2620</v>
      </c>
      <c r="J1001" s="3" t="str">
        <f>HYPERLINK("https://www.boe.es/gazeta/dias/1816/10/13/pdfs/GMD-1816-128E.pdf#page=7","Abrir facsímil")</f>
        <v>Abrir facsímil</v>
      </c>
      <c r="K1001" s="3" t="s">
        <v>23</v>
      </c>
    </row>
    <row r="1002" spans="1:11" ht="42" customHeight="1">
      <c r="A1002" s="2" t="s">
        <v>2621</v>
      </c>
      <c r="B1002" s="2" t="s">
        <v>2622</v>
      </c>
      <c r="C1002" s="2" t="s">
        <v>34</v>
      </c>
      <c r="D1002" s="2" t="s">
        <v>35</v>
      </c>
      <c r="E1002" s="5">
        <v>-30445</v>
      </c>
      <c r="F1002" s="3" t="s">
        <v>51</v>
      </c>
      <c r="G1002" s="3" t="s">
        <v>180</v>
      </c>
      <c r="H1002" s="2" t="s">
        <v>21</v>
      </c>
      <c r="I1002" s="2" t="s">
        <v>2623</v>
      </c>
      <c r="J1002" s="3" t="str">
        <f>HYPERLINK("https://www.boe.es/gazeta/dias/1816/08/22/pdfs/GMD-1816-104.pdf#page=10","Abrir facsímil")</f>
        <v>Abrir facsímil</v>
      </c>
      <c r="K1002" s="3" t="s">
        <v>23</v>
      </c>
    </row>
    <row r="1003" spans="1:11" ht="42" customHeight="1">
      <c r="A1003" s="2" t="s">
        <v>2624</v>
      </c>
      <c r="B1003" s="2" t="s">
        <v>2625</v>
      </c>
      <c r="C1003" s="2" t="s">
        <v>17</v>
      </c>
      <c r="D1003" s="2" t="s">
        <v>18</v>
      </c>
      <c r="E1003" s="5">
        <v>-30531</v>
      </c>
      <c r="F1003" s="3" t="s">
        <v>535</v>
      </c>
      <c r="G1003" s="3" t="s">
        <v>28</v>
      </c>
      <c r="H1003" s="2" t="s">
        <v>21</v>
      </c>
      <c r="I1003" s="2" t="s">
        <v>2626</v>
      </c>
      <c r="J1003" s="3" t="str">
        <f>HYPERLINK("https://www.boe.es/gazeta/dias/1816/05/28/pdfs/GMD-1816-67.pdf#page=6","Abrir facsímil")</f>
        <v>Abrir facsímil</v>
      </c>
      <c r="K1003" s="3" t="s">
        <v>23</v>
      </c>
    </row>
    <row r="1004" spans="1:11" ht="42" customHeight="1">
      <c r="A1004" s="2" t="s">
        <v>2627</v>
      </c>
      <c r="B1004" s="2" t="s">
        <v>2628</v>
      </c>
      <c r="C1004" s="2" t="s">
        <v>41</v>
      </c>
      <c r="D1004" s="2" t="s">
        <v>18</v>
      </c>
      <c r="E1004" s="5">
        <v>-30391</v>
      </c>
      <c r="F1004" s="3" t="s">
        <v>482</v>
      </c>
      <c r="G1004" s="3" t="s">
        <v>72</v>
      </c>
      <c r="H1004" s="2" t="s">
        <v>21</v>
      </c>
      <c r="I1004" s="2" t="s">
        <v>2629</v>
      </c>
      <c r="J1004" s="3" t="str">
        <f>HYPERLINK("https://www.boe.es/gazeta/dias/1816/10/15/pdfs/GMD-1816-129.pdf#page=7","Abrir facsímil")</f>
        <v>Abrir facsímil</v>
      </c>
      <c r="K1004" s="3" t="s">
        <v>23</v>
      </c>
    </row>
    <row r="1005" spans="1:11" ht="42" customHeight="1">
      <c r="A1005" s="2" t="s">
        <v>2630</v>
      </c>
      <c r="B1005" s="2" t="s">
        <v>2631</v>
      </c>
      <c r="C1005" s="2" t="s">
        <v>111</v>
      </c>
      <c r="D1005" s="2" t="s">
        <v>112</v>
      </c>
      <c r="E1005" s="5">
        <v>-30480</v>
      </c>
      <c r="F1005" s="3" t="s">
        <v>147</v>
      </c>
      <c r="G1005" s="3" t="s">
        <v>47</v>
      </c>
      <c r="H1005" s="2" t="s">
        <v>21</v>
      </c>
      <c r="I1005" s="2" t="s">
        <v>2632</v>
      </c>
      <c r="J1005" s="3" t="str">
        <f>HYPERLINK("https://www.boe.es/gazeta/dias/1816/07/18/pdfs/GMD-1816-89.pdf#page=5","Abrir facsímil")</f>
        <v>Abrir facsímil</v>
      </c>
      <c r="K1005" s="3" t="s">
        <v>23</v>
      </c>
    </row>
    <row r="1006" spans="1:11" ht="42" customHeight="1">
      <c r="A1006" s="2" t="s">
        <v>2633</v>
      </c>
      <c r="B1006" s="2" t="s">
        <v>2634</v>
      </c>
      <c r="C1006" s="2" t="s">
        <v>111</v>
      </c>
      <c r="D1006" s="2" t="s">
        <v>112</v>
      </c>
      <c r="E1006" s="5">
        <v>-30480</v>
      </c>
      <c r="F1006" s="3" t="s">
        <v>147</v>
      </c>
      <c r="G1006" s="3" t="s">
        <v>47</v>
      </c>
      <c r="H1006" s="2" t="s">
        <v>21</v>
      </c>
      <c r="I1006" s="2" t="s">
        <v>2635</v>
      </c>
      <c r="J1006" s="3" t="str">
        <f>HYPERLINK("https://www.boe.es/gazeta/dias/1816/07/18/pdfs/GMD-1816-89.pdf#page=5","Abrir facsímil")</f>
        <v>Abrir facsímil</v>
      </c>
      <c r="K1006" s="3" t="s">
        <v>23</v>
      </c>
    </row>
    <row r="1007" spans="1:11" ht="42" customHeight="1">
      <c r="A1007" s="2" t="s">
        <v>2636</v>
      </c>
      <c r="B1007" s="2" t="s">
        <v>2637</v>
      </c>
      <c r="C1007" s="2" t="s">
        <v>111</v>
      </c>
      <c r="D1007" s="2" t="s">
        <v>112</v>
      </c>
      <c r="E1007" s="5">
        <v>-30489</v>
      </c>
      <c r="F1007" s="3" t="s">
        <v>1120</v>
      </c>
      <c r="G1007" s="3" t="s">
        <v>28</v>
      </c>
      <c r="H1007" s="2" t="s">
        <v>21</v>
      </c>
      <c r="I1007" s="2" t="s">
        <v>2638</v>
      </c>
      <c r="J1007" s="3" t="str">
        <f>HYPERLINK("https://www.boe.es/gazeta/dias/1816/07/09/pdfs/GMD-1816-85.pdf#page=6","Abrir facsímil")</f>
        <v>Abrir facsímil</v>
      </c>
      <c r="K1007" s="3" t="s">
        <v>23</v>
      </c>
    </row>
    <row r="1008" spans="1:11" ht="42" customHeight="1">
      <c r="A1008" s="2" t="s">
        <v>2639</v>
      </c>
      <c r="B1008" s="2" t="s">
        <v>2640</v>
      </c>
      <c r="C1008" s="2" t="s">
        <v>34</v>
      </c>
      <c r="D1008" s="2" t="s">
        <v>35</v>
      </c>
      <c r="E1008" s="5">
        <v>-30592</v>
      </c>
      <c r="F1008" s="3" t="s">
        <v>236</v>
      </c>
      <c r="G1008" s="3" t="s">
        <v>606</v>
      </c>
      <c r="H1008" s="2" t="s">
        <v>21</v>
      </c>
      <c r="I1008" s="2" t="s">
        <v>2641</v>
      </c>
      <c r="J1008" s="3" t="str">
        <f>HYPERLINK("https://www.boe.es/gazeta/dias/1816/03/28/pdfs/GMD-1816-41.pdf#page=12","Abrir facsímil")</f>
        <v>Abrir facsímil</v>
      </c>
      <c r="K1008" s="3" t="s">
        <v>23</v>
      </c>
    </row>
    <row r="1009" spans="1:11" ht="42" customHeight="1">
      <c r="A1009" s="2" t="s">
        <v>2642</v>
      </c>
      <c r="B1009" s="2" t="s">
        <v>2643</v>
      </c>
      <c r="C1009" s="2" t="s">
        <v>26</v>
      </c>
      <c r="D1009" s="2" t="s">
        <v>18</v>
      </c>
      <c r="E1009" s="5">
        <v>-30457</v>
      </c>
      <c r="F1009" s="3" t="s">
        <v>539</v>
      </c>
      <c r="G1009" s="3" t="s">
        <v>47</v>
      </c>
      <c r="H1009" s="2" t="s">
        <v>21</v>
      </c>
      <c r="I1009" s="2" t="s">
        <v>2644</v>
      </c>
      <c r="J1009" s="3" t="str">
        <f>HYPERLINK("https://www.boe.es/gazeta/dias/1816/08/10/pdfs/GMD-1816-99.pdf#page=5","Abrir facsímil")</f>
        <v>Abrir facsímil</v>
      </c>
      <c r="K1009" s="3" t="s">
        <v>23</v>
      </c>
    </row>
    <row r="1010" spans="1:11" ht="42" customHeight="1">
      <c r="A1010" s="2" t="s">
        <v>2645</v>
      </c>
      <c r="B1010" s="2" t="s">
        <v>2646</v>
      </c>
      <c r="C1010" s="2" t="s">
        <v>26</v>
      </c>
      <c r="D1010" s="2" t="s">
        <v>56</v>
      </c>
      <c r="E1010" s="5">
        <v>-30393</v>
      </c>
      <c r="F1010" s="3" t="s">
        <v>202</v>
      </c>
      <c r="G1010" s="3" t="s">
        <v>42</v>
      </c>
      <c r="H1010" s="2" t="s">
        <v>21</v>
      </c>
      <c r="I1010" s="2" t="s">
        <v>2647</v>
      </c>
      <c r="J1010" s="3" t="str">
        <f>HYPERLINK("https://www.boe.es/gazeta/dias/1816/10/13/pdfs/GMD-1816-128E.pdf#page=8","Abrir facsímil")</f>
        <v>Abrir facsímil</v>
      </c>
      <c r="K1010" s="3" t="s">
        <v>23</v>
      </c>
    </row>
    <row r="1011" spans="1:11" ht="42" customHeight="1">
      <c r="A1011" s="2" t="s">
        <v>2648</v>
      </c>
      <c r="B1011" s="2" t="s">
        <v>2649</v>
      </c>
      <c r="C1011" s="2" t="s">
        <v>26</v>
      </c>
      <c r="D1011" s="2" t="s">
        <v>18</v>
      </c>
      <c r="E1011" s="5">
        <v>-30622</v>
      </c>
      <c r="F1011" s="3" t="s">
        <v>27</v>
      </c>
      <c r="G1011" s="3" t="s">
        <v>28</v>
      </c>
      <c r="H1011" s="2" t="s">
        <v>21</v>
      </c>
      <c r="I1011" s="2" t="s">
        <v>2650</v>
      </c>
      <c r="J1011" s="3" t="str">
        <f>HYPERLINK("https://www.boe.es/gazeta/dias/1816/02/27/pdfs/GMD-1816-26.pdf#page=6","Abrir facsímil")</f>
        <v>Abrir facsímil</v>
      </c>
      <c r="K1011" s="3" t="s">
        <v>23</v>
      </c>
    </row>
    <row r="1012" spans="1:11" ht="42" customHeight="1">
      <c r="A1012" s="2" t="s">
        <v>2651</v>
      </c>
      <c r="B1012" s="2" t="s">
        <v>2652</v>
      </c>
      <c r="C1012" s="2" t="s">
        <v>111</v>
      </c>
      <c r="D1012" s="2" t="s">
        <v>112</v>
      </c>
      <c r="E1012" s="5">
        <v>-30559</v>
      </c>
      <c r="F1012" s="3" t="s">
        <v>165</v>
      </c>
      <c r="G1012" s="3" t="s">
        <v>166</v>
      </c>
      <c r="H1012" s="2" t="s">
        <v>21</v>
      </c>
      <c r="I1012" s="2" t="s">
        <v>2653</v>
      </c>
      <c r="J1012" s="3" t="str">
        <f>HYPERLINK("https://www.boe.es/gazeta/dias/1816/04/30/pdfs/GMD-1816-55.pdf#page=7","Abrir facsímil")</f>
        <v>Abrir facsímil</v>
      </c>
      <c r="K1012" s="3" t="s">
        <v>23</v>
      </c>
    </row>
    <row r="1013" spans="1:11" ht="42" customHeight="1">
      <c r="A1013" s="2" t="s">
        <v>2654</v>
      </c>
      <c r="B1013" s="2" t="s">
        <v>2655</v>
      </c>
      <c r="C1013" s="2" t="s">
        <v>34</v>
      </c>
      <c r="D1013" s="2" t="s">
        <v>56</v>
      </c>
      <c r="E1013" s="5">
        <v>-30393</v>
      </c>
      <c r="F1013" s="3" t="s">
        <v>202</v>
      </c>
      <c r="G1013" s="3" t="s">
        <v>645</v>
      </c>
      <c r="H1013" s="2" t="s">
        <v>21</v>
      </c>
      <c r="I1013" s="2" t="s">
        <v>2656</v>
      </c>
      <c r="J1013" s="3" t="str">
        <f>HYPERLINK("https://www.boe.es/gazeta/dias/1816/10/13/pdfs/GMD-1816-128E.pdf#page=4","Abrir facsímil")</f>
        <v>Abrir facsímil</v>
      </c>
      <c r="K1013" s="3" t="s">
        <v>23</v>
      </c>
    </row>
    <row r="1014" spans="1:11" ht="42" customHeight="1">
      <c r="A1014" s="2" t="s">
        <v>2657</v>
      </c>
      <c r="B1014" s="2" t="s">
        <v>2658</v>
      </c>
      <c r="C1014" s="2" t="s">
        <v>111</v>
      </c>
      <c r="D1014" s="2" t="s">
        <v>112</v>
      </c>
      <c r="E1014" s="5">
        <v>-30431</v>
      </c>
      <c r="F1014" s="3" t="s">
        <v>756</v>
      </c>
      <c r="G1014" s="3" t="s">
        <v>184</v>
      </c>
      <c r="H1014" s="2" t="s">
        <v>21</v>
      </c>
      <c r="I1014" s="2" t="s">
        <v>2659</v>
      </c>
      <c r="J1014" s="3" t="str">
        <f>HYPERLINK("https://www.boe.es/gazeta/dias/1816/09/05/pdfs/GMD-1816-110.pdf#page=3","Abrir facsímil")</f>
        <v>Abrir facsímil</v>
      </c>
      <c r="K1014" s="3" t="s">
        <v>23</v>
      </c>
    </row>
    <row r="1015" spans="1:11" ht="42" customHeight="1">
      <c r="A1015" s="2" t="s">
        <v>2660</v>
      </c>
      <c r="B1015" s="2" t="s">
        <v>2661</v>
      </c>
      <c r="C1015" s="2" t="s">
        <v>111</v>
      </c>
      <c r="D1015" s="2" t="s">
        <v>112</v>
      </c>
      <c r="E1015" s="5">
        <v>-30557</v>
      </c>
      <c r="F1015" s="3" t="s">
        <v>508</v>
      </c>
      <c r="G1015" s="3" t="s">
        <v>72</v>
      </c>
      <c r="H1015" s="2" t="s">
        <v>21</v>
      </c>
      <c r="I1015" s="2" t="s">
        <v>2662</v>
      </c>
      <c r="J1015" s="3" t="str">
        <f>HYPERLINK("https://www.boe.es/gazeta/dias/1816/05/02/pdfs/GMD-1816-56.pdf#page=7","Abrir facsímil")</f>
        <v>Abrir facsímil</v>
      </c>
      <c r="K1015" s="3" t="s">
        <v>23</v>
      </c>
    </row>
    <row r="1016" spans="1:11" ht="42" customHeight="1">
      <c r="A1016" s="2" t="s">
        <v>2663</v>
      </c>
      <c r="B1016" s="2" t="s">
        <v>2664</v>
      </c>
      <c r="C1016" s="2" t="s">
        <v>34</v>
      </c>
      <c r="D1016" s="2" t="s">
        <v>35</v>
      </c>
      <c r="E1016" s="5">
        <v>-30352</v>
      </c>
      <c r="F1016" s="3" t="s">
        <v>407</v>
      </c>
      <c r="G1016" s="3" t="s">
        <v>72</v>
      </c>
      <c r="H1016" s="2" t="s">
        <v>21</v>
      </c>
      <c r="I1016" s="2" t="s">
        <v>2665</v>
      </c>
      <c r="J1016" s="3" t="str">
        <f>HYPERLINK("https://www.boe.es/gazeta/dias/1816/11/23/pdfs/GMD-1816-146.pdf#page=7","Abrir facsímil")</f>
        <v>Abrir facsímil</v>
      </c>
      <c r="K1016" s="3" t="s">
        <v>23</v>
      </c>
    </row>
    <row r="1017" spans="1:11" ht="42" customHeight="1">
      <c r="A1017" s="2" t="s">
        <v>2666</v>
      </c>
      <c r="B1017" s="2" t="s">
        <v>2667</v>
      </c>
      <c r="C1017" s="2" t="s">
        <v>34</v>
      </c>
      <c r="D1017" s="2" t="s">
        <v>35</v>
      </c>
      <c r="E1017" s="5">
        <v>-30384</v>
      </c>
      <c r="F1017" s="3" t="s">
        <v>460</v>
      </c>
      <c r="G1017" s="3" t="s">
        <v>103</v>
      </c>
      <c r="H1017" s="2" t="s">
        <v>29</v>
      </c>
      <c r="I1017" s="2" t="s">
        <v>2668</v>
      </c>
      <c r="J1017" s="3" t="str">
        <f>HYPERLINK("https://www.boe.es/gazeta/dias/1816/10/22/pdfs/GMD-1816-132.pdf#page=4","Abrir facsímil")</f>
        <v>Abrir facsímil</v>
      </c>
      <c r="K1017" s="3" t="s">
        <v>31</v>
      </c>
    </row>
    <row r="1018" spans="1:11" ht="42" customHeight="1">
      <c r="A1018" s="2" t="s">
        <v>2669</v>
      </c>
      <c r="B1018" s="2" t="s">
        <v>2670</v>
      </c>
      <c r="C1018" s="2" t="s">
        <v>26</v>
      </c>
      <c r="D1018" s="2" t="s">
        <v>18</v>
      </c>
      <c r="E1018" s="5">
        <v>-30494</v>
      </c>
      <c r="F1018" s="3" t="s">
        <v>174</v>
      </c>
      <c r="G1018" s="3" t="s">
        <v>175</v>
      </c>
      <c r="H1018" s="2" t="s">
        <v>21</v>
      </c>
      <c r="I1018" s="2" t="s">
        <v>2671</v>
      </c>
      <c r="J1018" s="3" t="str">
        <f>HYPERLINK("https://www.boe.es/gazeta/dias/1816/07/04/pdfs/GMD-1816-83.pdf#page=11","Abrir facsímil")</f>
        <v>Abrir facsímil</v>
      </c>
      <c r="K1018" s="3" t="s">
        <v>23</v>
      </c>
    </row>
    <row r="1019" spans="1:11" ht="42" customHeight="1">
      <c r="A1019" s="2" t="s">
        <v>2672</v>
      </c>
      <c r="B1019" s="2" t="s">
        <v>2673</v>
      </c>
      <c r="C1019" s="2" t="s">
        <v>26</v>
      </c>
      <c r="D1019" s="2" t="s">
        <v>18</v>
      </c>
      <c r="E1019" s="5">
        <v>-30622</v>
      </c>
      <c r="F1019" s="3" t="s">
        <v>27</v>
      </c>
      <c r="G1019" s="3" t="s">
        <v>2083</v>
      </c>
      <c r="H1019" s="2" t="s">
        <v>21</v>
      </c>
      <c r="I1019" s="2" t="s">
        <v>2674</v>
      </c>
      <c r="J1019" s="3" t="str">
        <f>HYPERLINK("https://www.boe.es/gazeta/dias/1816/02/27/pdfs/GMD-1816-26.pdf#page=4","Abrir facsímil")</f>
        <v>Abrir facsímil</v>
      </c>
      <c r="K1019" s="3" t="s">
        <v>23</v>
      </c>
    </row>
    <row r="1020" spans="1:11" ht="42" customHeight="1">
      <c r="A1020" s="2" t="s">
        <v>2675</v>
      </c>
      <c r="B1020" s="2" t="s">
        <v>2676</v>
      </c>
      <c r="C1020" s="2" t="s">
        <v>387</v>
      </c>
      <c r="D1020" s="2" t="s">
        <v>18</v>
      </c>
      <c r="E1020" s="5">
        <v>-30433</v>
      </c>
      <c r="F1020" s="3" t="s">
        <v>954</v>
      </c>
      <c r="G1020" s="3" t="s">
        <v>1124</v>
      </c>
      <c r="H1020" s="2" t="s">
        <v>21</v>
      </c>
      <c r="I1020" s="2" t="s">
        <v>2677</v>
      </c>
      <c r="J1020" s="3" t="str">
        <f>HYPERLINK("https://www.boe.es/gazeta/dias/1816/09/03/pdfs/GMD-1816-109.pdf#page=8","Abrir facsímil")</f>
        <v>Abrir facsímil</v>
      </c>
      <c r="K1020" s="3" t="s">
        <v>23</v>
      </c>
    </row>
    <row r="1021" spans="1:11" ht="42" customHeight="1">
      <c r="A1021" s="2" t="s">
        <v>2678</v>
      </c>
      <c r="B1021" s="2" t="s">
        <v>2679</v>
      </c>
      <c r="C1021" s="2" t="s">
        <v>111</v>
      </c>
      <c r="D1021" s="2" t="s">
        <v>112</v>
      </c>
      <c r="E1021" s="5">
        <v>-30597</v>
      </c>
      <c r="F1021" s="3" t="s">
        <v>696</v>
      </c>
      <c r="G1021" s="3" t="s">
        <v>28</v>
      </c>
      <c r="H1021" s="2" t="s">
        <v>21</v>
      </c>
      <c r="I1021" s="2" t="s">
        <v>2680</v>
      </c>
      <c r="J1021" s="3" t="str">
        <f>HYPERLINK("https://www.boe.es/gazeta/dias/1816/03/23/pdfs/GMD-1816-39.pdf#page=6","Abrir facsímil")</f>
        <v>Abrir facsímil</v>
      </c>
      <c r="K1021" s="3" t="s">
        <v>23</v>
      </c>
    </row>
    <row r="1022" spans="1:11" ht="42" customHeight="1">
      <c r="A1022" s="2" t="s">
        <v>2681</v>
      </c>
      <c r="B1022" s="2" t="s">
        <v>2682</v>
      </c>
      <c r="C1022" s="2" t="s">
        <v>34</v>
      </c>
      <c r="D1022" s="2" t="s">
        <v>35</v>
      </c>
      <c r="E1022" s="5">
        <v>-30662</v>
      </c>
      <c r="F1022" s="3" t="s">
        <v>485</v>
      </c>
      <c r="G1022" s="3" t="s">
        <v>72</v>
      </c>
      <c r="H1022" s="2" t="s">
        <v>21</v>
      </c>
      <c r="I1022" s="2" t="s">
        <v>2683</v>
      </c>
      <c r="J1022" s="3" t="str">
        <f>HYPERLINK("https://www.boe.es/gazeta/dias/1816/01/18/pdfs/GMD-1816-8.pdf#page=7","Abrir facsímil")</f>
        <v>Abrir facsímil</v>
      </c>
      <c r="K1022" s="3" t="s">
        <v>23</v>
      </c>
    </row>
    <row r="1023" spans="1:11" ht="42" customHeight="1">
      <c r="A1023" s="2" t="s">
        <v>2684</v>
      </c>
      <c r="B1023" s="2" t="s">
        <v>2685</v>
      </c>
      <c r="C1023" s="2" t="s">
        <v>41</v>
      </c>
      <c r="D1023" s="2" t="s">
        <v>18</v>
      </c>
      <c r="E1023" s="5">
        <v>-30403</v>
      </c>
      <c r="F1023" s="3" t="s">
        <v>1264</v>
      </c>
      <c r="G1023" s="3" t="s">
        <v>28</v>
      </c>
      <c r="H1023" s="2" t="s">
        <v>21</v>
      </c>
      <c r="I1023" s="2" t="s">
        <v>2686</v>
      </c>
      <c r="J1023" s="3" t="str">
        <f>HYPERLINK("https://www.boe.es/gazeta/dias/1816/10/03/pdfs/GMD-1816-122.pdf#page=6","Abrir facsímil")</f>
        <v>Abrir facsímil</v>
      </c>
      <c r="K1023" s="3" t="s">
        <v>23</v>
      </c>
    </row>
    <row r="1024" spans="1:11" ht="42" customHeight="1">
      <c r="A1024" s="2" t="s">
        <v>2687</v>
      </c>
      <c r="B1024" s="2" t="s">
        <v>2688</v>
      </c>
      <c r="C1024" s="2" t="s">
        <v>111</v>
      </c>
      <c r="D1024" s="2" t="s">
        <v>112</v>
      </c>
      <c r="E1024" s="5">
        <v>-30517</v>
      </c>
      <c r="F1024" s="3" t="s">
        <v>557</v>
      </c>
      <c r="G1024" s="3" t="s">
        <v>103</v>
      </c>
      <c r="H1024" s="2" t="s">
        <v>21</v>
      </c>
      <c r="I1024" s="2" t="s">
        <v>2689</v>
      </c>
      <c r="J1024" s="3" t="str">
        <f>HYPERLINK("https://www.boe.es/gazeta/dias/1816/06/11/pdfs/GMD-1816-73.pdf#page=4","Abrir facsímil")</f>
        <v>Abrir facsímil</v>
      </c>
      <c r="K1024" s="3" t="s">
        <v>23</v>
      </c>
    </row>
    <row r="1025" spans="1:11" ht="42" customHeight="1">
      <c r="A1025" s="2" t="s">
        <v>2690</v>
      </c>
      <c r="B1025" s="2" t="s">
        <v>2691</v>
      </c>
      <c r="C1025" s="2" t="s">
        <v>111</v>
      </c>
      <c r="D1025" s="2" t="s">
        <v>112</v>
      </c>
      <c r="E1025" s="5">
        <v>-30333</v>
      </c>
      <c r="F1025" s="3" t="s">
        <v>1005</v>
      </c>
      <c r="G1025" s="3" t="s">
        <v>42</v>
      </c>
      <c r="H1025" s="2" t="s">
        <v>21</v>
      </c>
      <c r="I1025" s="2" t="s">
        <v>2692</v>
      </c>
      <c r="J1025" s="3" t="str">
        <f>HYPERLINK("https://www.boe.es/gazeta/dias/1816/12/12/pdfs/GMD-1816-154.pdf#page=8","Abrir facsímil")</f>
        <v>Abrir facsímil</v>
      </c>
      <c r="K1025" s="3" t="s">
        <v>23</v>
      </c>
    </row>
    <row r="1026" spans="1:11" ht="42" customHeight="1">
      <c r="A1026" s="2" t="s">
        <v>2693</v>
      </c>
      <c r="B1026" s="2" t="s">
        <v>2694</v>
      </c>
      <c r="C1026" s="2" t="s">
        <v>34</v>
      </c>
      <c r="D1026" s="2" t="s">
        <v>35</v>
      </c>
      <c r="E1026" s="5">
        <v>-30440</v>
      </c>
      <c r="F1026" s="3" t="s">
        <v>564</v>
      </c>
      <c r="G1026" s="3" t="s">
        <v>565</v>
      </c>
      <c r="H1026" s="2" t="s">
        <v>21</v>
      </c>
      <c r="I1026" s="2" t="s">
        <v>2695</v>
      </c>
      <c r="J1026" s="3" t="str">
        <f>HYPERLINK("https://www.boe.es/gazeta/dias/1816/08/27/pdfs/GMD-1816-106.pdf#page=7","Abrir facsímil")</f>
        <v>Abrir facsímil</v>
      </c>
      <c r="K1026" s="3" t="s">
        <v>23</v>
      </c>
    </row>
    <row r="1027" spans="1:11" ht="42" customHeight="1">
      <c r="A1027" s="2" t="s">
        <v>2696</v>
      </c>
      <c r="B1027" s="2" t="s">
        <v>2697</v>
      </c>
      <c r="C1027" s="2" t="s">
        <v>387</v>
      </c>
      <c r="D1027" s="2" t="s">
        <v>18</v>
      </c>
      <c r="E1027" s="5">
        <v>-30412</v>
      </c>
      <c r="F1027" s="3" t="s">
        <v>388</v>
      </c>
      <c r="G1027" s="3" t="s">
        <v>389</v>
      </c>
      <c r="H1027" s="2" t="s">
        <v>21</v>
      </c>
      <c r="I1027" s="2" t="s">
        <v>2698</v>
      </c>
      <c r="J1027" s="3" t="str">
        <f>HYPERLINK("https://www.boe.es/gazeta/dias/1816/09/24/pdfs/GMD-1816-118.pdf#page=4","Abrir facsímil")</f>
        <v>Abrir facsímil</v>
      </c>
      <c r="K1027" s="3" t="s">
        <v>23</v>
      </c>
    </row>
    <row r="1028" spans="1:11" ht="42" customHeight="1">
      <c r="A1028" s="2" t="s">
        <v>2699</v>
      </c>
      <c r="B1028" s="2" t="s">
        <v>2700</v>
      </c>
      <c r="C1028" s="2" t="s">
        <v>34</v>
      </c>
      <c r="D1028" s="2" t="s">
        <v>35</v>
      </c>
      <c r="E1028" s="5">
        <v>-30646</v>
      </c>
      <c r="F1028" s="3" t="s">
        <v>615</v>
      </c>
      <c r="G1028" s="3" t="s">
        <v>42</v>
      </c>
      <c r="H1028" s="2" t="s">
        <v>21</v>
      </c>
      <c r="I1028" s="2" t="s">
        <v>2701</v>
      </c>
      <c r="J1028" s="3" t="str">
        <f>HYPERLINK("https://www.boe.es/gazeta/dias/1816/02/03/pdfs/GMD-1816-16.pdf#page=8","Abrir facsímil")</f>
        <v>Abrir facsímil</v>
      </c>
      <c r="K1028" s="3" t="s">
        <v>23</v>
      </c>
    </row>
    <row r="1029" spans="1:11" ht="42" customHeight="1">
      <c r="A1029" s="2" t="s">
        <v>2702</v>
      </c>
      <c r="B1029" s="2" t="s">
        <v>2703</v>
      </c>
      <c r="C1029" s="2" t="s">
        <v>26</v>
      </c>
      <c r="D1029" s="2" t="s">
        <v>18</v>
      </c>
      <c r="E1029" s="5">
        <v>-30366</v>
      </c>
      <c r="F1029" s="3" t="s">
        <v>179</v>
      </c>
      <c r="G1029" s="3" t="s">
        <v>103</v>
      </c>
      <c r="H1029" s="2" t="s">
        <v>21</v>
      </c>
      <c r="I1029" s="2" t="s">
        <v>2704</v>
      </c>
      <c r="J1029" s="3" t="str">
        <f>HYPERLINK("https://www.boe.es/gazeta/dias/1816/11/09/pdfs/GMD-1816-140.pdf#page=4","Abrir facsímil")</f>
        <v>Abrir facsímil</v>
      </c>
      <c r="K1029" s="3" t="s">
        <v>23</v>
      </c>
    </row>
    <row r="1030" spans="1:11" ht="42" customHeight="1">
      <c r="A1030" s="2" t="s">
        <v>2705</v>
      </c>
      <c r="B1030" s="2" t="s">
        <v>2706</v>
      </c>
      <c r="C1030" s="2" t="s">
        <v>26</v>
      </c>
      <c r="D1030" s="2" t="s">
        <v>18</v>
      </c>
      <c r="E1030" s="5">
        <v>-30503</v>
      </c>
      <c r="F1030" s="3" t="s">
        <v>1600</v>
      </c>
      <c r="G1030" s="3" t="s">
        <v>42</v>
      </c>
      <c r="H1030" s="2" t="s">
        <v>21</v>
      </c>
      <c r="I1030" s="2" t="s">
        <v>2707</v>
      </c>
      <c r="J1030" s="3" t="str">
        <f>HYPERLINK("https://www.boe.es/gazeta/dias/1816/06/25/pdfs/GMD-1816-79.pdf#page=8","Abrir facsímil")</f>
        <v>Abrir facsímil</v>
      </c>
      <c r="K1030" s="3" t="s">
        <v>23</v>
      </c>
    </row>
    <row r="1031" spans="1:11" ht="42" customHeight="1">
      <c r="A1031" s="2" t="s">
        <v>2708</v>
      </c>
      <c r="B1031" s="2" t="s">
        <v>2709</v>
      </c>
      <c r="C1031" s="2" t="s">
        <v>34</v>
      </c>
      <c r="D1031" s="2" t="s">
        <v>35</v>
      </c>
      <c r="E1031" s="5">
        <v>-30594</v>
      </c>
      <c r="F1031" s="3" t="s">
        <v>234</v>
      </c>
      <c r="G1031" s="3" t="s">
        <v>42</v>
      </c>
      <c r="H1031" s="2" t="s">
        <v>21</v>
      </c>
      <c r="I1031" s="2" t="s">
        <v>2710</v>
      </c>
      <c r="J1031" s="3" t="str">
        <f>HYPERLINK("https://www.boe.es/gazeta/dias/1816/03/26/pdfs/GMD-1816-40.pdf#page=8","Abrir facsímil")</f>
        <v>Abrir facsímil</v>
      </c>
      <c r="K1031" s="3" t="s">
        <v>23</v>
      </c>
    </row>
    <row r="1032" spans="1:11" ht="42" customHeight="1">
      <c r="A1032" s="2" t="s">
        <v>2708</v>
      </c>
      <c r="B1032" s="2" t="s">
        <v>2709</v>
      </c>
      <c r="C1032" s="2" t="s">
        <v>34</v>
      </c>
      <c r="D1032" s="2" t="s">
        <v>35</v>
      </c>
      <c r="E1032" s="5">
        <v>-30580</v>
      </c>
      <c r="F1032" s="3" t="s">
        <v>107</v>
      </c>
      <c r="G1032" s="3" t="s">
        <v>28</v>
      </c>
      <c r="H1032" s="2" t="s">
        <v>21</v>
      </c>
      <c r="I1032" s="2" t="s">
        <v>2711</v>
      </c>
      <c r="J1032" s="3" t="str">
        <f>HYPERLINK("https://www.boe.es/gazeta/dias/1816/04/09/pdfs/GMD-1816-46.pdf#page=6","Abrir facsímil")</f>
        <v>Abrir facsímil</v>
      </c>
      <c r="K1032" s="3" t="s">
        <v>23</v>
      </c>
    </row>
    <row r="1033" spans="1:11" ht="42" customHeight="1">
      <c r="A1033" s="2" t="s">
        <v>2712</v>
      </c>
      <c r="B1033" s="2" t="s">
        <v>2713</v>
      </c>
      <c r="C1033" s="2" t="s">
        <v>67</v>
      </c>
      <c r="D1033" s="2" t="s">
        <v>18</v>
      </c>
      <c r="E1033" s="5">
        <v>-30335</v>
      </c>
      <c r="F1033" s="3" t="s">
        <v>468</v>
      </c>
      <c r="G1033" s="3" t="s">
        <v>103</v>
      </c>
      <c r="H1033" s="2" t="s">
        <v>21</v>
      </c>
      <c r="I1033" s="2" t="s">
        <v>2714</v>
      </c>
      <c r="J1033" s="3" t="str">
        <f>HYPERLINK("https://www.boe.es/gazeta/dias/1816/12/10/pdfs/GMD-1816-153.pdf#page=4","Abrir facsímil")</f>
        <v>Abrir facsímil</v>
      </c>
      <c r="K1033" s="3" t="s">
        <v>23</v>
      </c>
    </row>
    <row r="1034" spans="1:11" ht="42" customHeight="1">
      <c r="A1034" s="2" t="s">
        <v>2715</v>
      </c>
      <c r="B1034" s="2" t="s">
        <v>2716</v>
      </c>
      <c r="C1034" s="2" t="s">
        <v>34</v>
      </c>
      <c r="D1034" s="2" t="s">
        <v>35</v>
      </c>
      <c r="E1034" s="5">
        <v>-30620</v>
      </c>
      <c r="F1034" s="3" t="s">
        <v>622</v>
      </c>
      <c r="G1034" s="3" t="s">
        <v>72</v>
      </c>
      <c r="H1034" s="2" t="s">
        <v>21</v>
      </c>
      <c r="I1034" s="2" t="s">
        <v>2717</v>
      </c>
      <c r="J1034" s="3" t="str">
        <f>HYPERLINK("https://www.boe.es/gazeta/dias/1816/02/29/pdfs/GMD-1816-28.pdf#page=7","Abrir facsímil")</f>
        <v>Abrir facsímil</v>
      </c>
      <c r="K1034" s="3" t="s">
        <v>23</v>
      </c>
    </row>
    <row r="1035" spans="1:11" ht="42" customHeight="1">
      <c r="A1035" s="2" t="s">
        <v>2718</v>
      </c>
      <c r="B1035" s="2" t="s">
        <v>2719</v>
      </c>
      <c r="C1035" s="2" t="s">
        <v>26</v>
      </c>
      <c r="D1035" s="2" t="s">
        <v>18</v>
      </c>
      <c r="E1035" s="5">
        <v>-30424</v>
      </c>
      <c r="F1035" s="3" t="s">
        <v>142</v>
      </c>
      <c r="G1035" s="3" t="s">
        <v>52</v>
      </c>
      <c r="H1035" s="2" t="s">
        <v>21</v>
      </c>
      <c r="I1035" s="2" t="s">
        <v>2720</v>
      </c>
      <c r="J1035" s="3" t="str">
        <f>HYPERLINK("https://www.boe.es/gazeta/dias/1816/09/12/pdfs/GMD-1816-113.pdf#page=12","Abrir facsímil")</f>
        <v>Abrir facsímil</v>
      </c>
      <c r="K1035" s="3" t="s">
        <v>23</v>
      </c>
    </row>
    <row r="1036" spans="1:11" ht="42" customHeight="1">
      <c r="A1036" s="2" t="s">
        <v>2718</v>
      </c>
      <c r="B1036" s="2" t="s">
        <v>2719</v>
      </c>
      <c r="C1036" s="2" t="s">
        <v>67</v>
      </c>
      <c r="D1036" s="2" t="s">
        <v>18</v>
      </c>
      <c r="E1036" s="5">
        <v>-30398</v>
      </c>
      <c r="F1036" s="3" t="s">
        <v>447</v>
      </c>
      <c r="G1036" s="3" t="s">
        <v>42</v>
      </c>
      <c r="H1036" s="2" t="s">
        <v>21</v>
      </c>
      <c r="I1036" s="2" t="s">
        <v>2721</v>
      </c>
      <c r="J1036" s="3" t="str">
        <f>HYPERLINK("https://www.boe.es/gazeta/dias/1816/10/08/pdfs/GMD-1816-125.pdf#page=8","Abrir facsímil")</f>
        <v>Abrir facsímil</v>
      </c>
      <c r="K1036" s="3" t="s">
        <v>23</v>
      </c>
    </row>
    <row r="1037" spans="1:11" ht="42" customHeight="1">
      <c r="A1037" s="2" t="s">
        <v>2722</v>
      </c>
      <c r="B1037" s="2" t="s">
        <v>2723</v>
      </c>
      <c r="C1037" s="2" t="s">
        <v>111</v>
      </c>
      <c r="D1037" s="2" t="s">
        <v>112</v>
      </c>
      <c r="E1037" s="5">
        <v>-30676</v>
      </c>
      <c r="F1037" s="3" t="s">
        <v>1932</v>
      </c>
      <c r="G1037" s="3" t="s">
        <v>2724</v>
      </c>
      <c r="H1037" s="2" t="s">
        <v>21</v>
      </c>
      <c r="I1037" s="2" t="s">
        <v>2725</v>
      </c>
      <c r="J1037" s="3" t="str">
        <f>HYPERLINK("https://www.boe.es/gazeta/dias/1816/01/04/pdfs/GMD-1816-2.pdf#page=8","Abrir facsímil")</f>
        <v>Abrir facsímil</v>
      </c>
      <c r="K1037" s="3" t="s">
        <v>23</v>
      </c>
    </row>
    <row r="1038" spans="1:11" ht="42" customHeight="1">
      <c r="A1038" s="2" t="s">
        <v>2726</v>
      </c>
      <c r="B1038" s="2" t="s">
        <v>2727</v>
      </c>
      <c r="C1038" s="2" t="s">
        <v>34</v>
      </c>
      <c r="D1038" s="2" t="s">
        <v>35</v>
      </c>
      <c r="E1038" s="5">
        <v>-30471</v>
      </c>
      <c r="F1038" s="3" t="s">
        <v>639</v>
      </c>
      <c r="G1038" s="3" t="s">
        <v>103</v>
      </c>
      <c r="H1038" s="2" t="s">
        <v>21</v>
      </c>
      <c r="I1038" s="2" t="s">
        <v>2728</v>
      </c>
      <c r="J1038" s="3" t="str">
        <f>HYPERLINK("https://www.boe.es/gazeta/dias/1816/07/27/pdfs/GMD-1816-93.pdf#page=4","Abrir facsímil")</f>
        <v>Abrir facsímil</v>
      </c>
      <c r="K1038" s="3" t="s">
        <v>23</v>
      </c>
    </row>
    <row r="1039" spans="1:11" ht="42" customHeight="1">
      <c r="A1039" s="2" t="s">
        <v>2729</v>
      </c>
      <c r="B1039" s="2" t="s">
        <v>2730</v>
      </c>
      <c r="C1039" s="2" t="s">
        <v>34</v>
      </c>
      <c r="D1039" s="2" t="s">
        <v>35</v>
      </c>
      <c r="E1039" s="5">
        <v>-30475</v>
      </c>
      <c r="F1039" s="3" t="s">
        <v>319</v>
      </c>
      <c r="G1039" s="3" t="s">
        <v>2731</v>
      </c>
      <c r="H1039" s="2" t="s">
        <v>21</v>
      </c>
      <c r="I1039" s="2" t="s">
        <v>2732</v>
      </c>
      <c r="J1039" s="3" t="str">
        <f>HYPERLINK("https://www.boe.es/gazeta/dias/1816/07/23/pdfs/GMD-1816-91.pdf#page=6","Abrir facsímil")</f>
        <v>Abrir facsímil</v>
      </c>
      <c r="K1039" s="3" t="s">
        <v>23</v>
      </c>
    </row>
    <row r="1040" spans="1:11" ht="42" customHeight="1">
      <c r="A1040" s="2" t="s">
        <v>2733</v>
      </c>
      <c r="B1040" s="2" t="s">
        <v>2734</v>
      </c>
      <c r="C1040" s="2" t="s">
        <v>34</v>
      </c>
      <c r="D1040" s="2" t="s">
        <v>35</v>
      </c>
      <c r="E1040" s="5">
        <v>-30559</v>
      </c>
      <c r="F1040" s="3" t="s">
        <v>165</v>
      </c>
      <c r="G1040" s="3" t="s">
        <v>103</v>
      </c>
      <c r="H1040" s="2" t="s">
        <v>21</v>
      </c>
      <c r="I1040" s="2" t="s">
        <v>2735</v>
      </c>
      <c r="J1040" s="3" t="str">
        <f>HYPERLINK("https://www.boe.es/gazeta/dias/1816/04/30/pdfs/GMD-1816-55.pdf#page=4","Abrir facsímil")</f>
        <v>Abrir facsímil</v>
      </c>
      <c r="K1040" s="3" t="s">
        <v>23</v>
      </c>
    </row>
    <row r="1041" spans="1:11" ht="42" customHeight="1">
      <c r="A1041" s="2" t="s">
        <v>2736</v>
      </c>
      <c r="B1041" s="2" t="s">
        <v>2737</v>
      </c>
      <c r="C1041" s="2" t="s">
        <v>111</v>
      </c>
      <c r="D1041" s="2" t="s">
        <v>112</v>
      </c>
      <c r="E1041" s="5">
        <v>-30382</v>
      </c>
      <c r="F1041" s="3" t="s">
        <v>326</v>
      </c>
      <c r="G1041" s="3" t="s">
        <v>47</v>
      </c>
      <c r="H1041" s="2" t="s">
        <v>21</v>
      </c>
      <c r="I1041" s="2" t="s">
        <v>2738</v>
      </c>
      <c r="J1041" s="3" t="str">
        <f>HYPERLINK("https://www.boe.es/gazeta/dias/1816/10/24/pdfs/GMD-1816-133.pdf#page=5","Abrir facsímil")</f>
        <v>Abrir facsímil</v>
      </c>
      <c r="K1041" s="3" t="s">
        <v>23</v>
      </c>
    </row>
    <row r="1042" spans="1:11" ht="42" customHeight="1">
      <c r="A1042" s="2" t="s">
        <v>2739</v>
      </c>
      <c r="B1042" s="2" t="s">
        <v>2740</v>
      </c>
      <c r="C1042" s="2" t="s">
        <v>111</v>
      </c>
      <c r="D1042" s="2" t="s">
        <v>112</v>
      </c>
      <c r="E1042" s="5">
        <v>-30359</v>
      </c>
      <c r="F1042" s="3" t="s">
        <v>812</v>
      </c>
      <c r="G1042" s="3" t="s">
        <v>72</v>
      </c>
      <c r="H1042" s="2" t="s">
        <v>29</v>
      </c>
      <c r="I1042" s="2" t="s">
        <v>2741</v>
      </c>
      <c r="J1042" s="3" t="str">
        <f>HYPERLINK("https://www.boe.es/gazeta/dias/1816/11/16/pdfs/GMD-1816-143.pdf#page=7","Abrir facsímil")</f>
        <v>Abrir facsímil</v>
      </c>
      <c r="K1042" s="3" t="s">
        <v>31</v>
      </c>
    </row>
    <row r="1043" spans="1:11" ht="42" customHeight="1">
      <c r="A1043" s="2" t="s">
        <v>2739</v>
      </c>
      <c r="B1043" s="2" t="s">
        <v>2740</v>
      </c>
      <c r="C1043" s="2" t="s">
        <v>111</v>
      </c>
      <c r="D1043" s="2" t="s">
        <v>112</v>
      </c>
      <c r="E1043" s="5">
        <v>-30321</v>
      </c>
      <c r="F1043" s="3" t="s">
        <v>1086</v>
      </c>
      <c r="G1043" s="3" t="s">
        <v>184</v>
      </c>
      <c r="H1043" s="2" t="s">
        <v>29</v>
      </c>
      <c r="I1043" s="2" t="s">
        <v>2742</v>
      </c>
      <c r="J1043" s="3" t="str">
        <f>HYPERLINK("https://www.boe.es/gazeta/dias/1816/12/24/pdfs/GMD-1816-159.pdf#page=3","Abrir facsímil")</f>
        <v>Abrir facsímil</v>
      </c>
      <c r="K1043" s="3" t="s">
        <v>31</v>
      </c>
    </row>
    <row r="1044" spans="1:11" ht="42" customHeight="1">
      <c r="A1044" s="2" t="s">
        <v>2743</v>
      </c>
      <c r="B1044" s="2" t="s">
        <v>2743</v>
      </c>
      <c r="C1044" s="2" t="s">
        <v>111</v>
      </c>
      <c r="D1044" s="2" t="s">
        <v>112</v>
      </c>
      <c r="E1044" s="5">
        <v>-30548</v>
      </c>
      <c r="F1044" s="3" t="s">
        <v>472</v>
      </c>
      <c r="G1044" s="3" t="s">
        <v>42</v>
      </c>
      <c r="H1044" s="2" t="s">
        <v>21</v>
      </c>
      <c r="I1044" s="2" t="s">
        <v>2744</v>
      </c>
      <c r="J1044" s="3" t="str">
        <f>HYPERLINK("https://www.boe.es/gazeta/dias/1816/05/11/pdfs/GMD-1816-60.pdf#page=8","Abrir facsímil")</f>
        <v>Abrir facsímil</v>
      </c>
      <c r="K1044" s="3" t="s">
        <v>23</v>
      </c>
    </row>
    <row r="1045" spans="1:11" ht="42" customHeight="1">
      <c r="A1045" s="2" t="s">
        <v>2745</v>
      </c>
      <c r="B1045" s="2" t="s">
        <v>2745</v>
      </c>
      <c r="C1045" s="2" t="s">
        <v>111</v>
      </c>
      <c r="D1045" s="2" t="s">
        <v>112</v>
      </c>
      <c r="E1045" s="5">
        <v>-30557</v>
      </c>
      <c r="F1045" s="3" t="s">
        <v>508</v>
      </c>
      <c r="G1045" s="3" t="s">
        <v>42</v>
      </c>
      <c r="H1045" s="2" t="s">
        <v>21</v>
      </c>
      <c r="I1045" s="2" t="s">
        <v>2746</v>
      </c>
      <c r="J1045" s="3" t="str">
        <f>HYPERLINK("https://www.boe.es/gazeta/dias/1816/05/02/pdfs/GMD-1816-56.pdf#page=8","Abrir facsímil")</f>
        <v>Abrir facsímil</v>
      </c>
      <c r="K1045" s="3" t="s">
        <v>23</v>
      </c>
    </row>
    <row r="1046" spans="1:11" ht="42" customHeight="1">
      <c r="A1046" s="2" t="s">
        <v>2745</v>
      </c>
      <c r="B1046" s="2" t="s">
        <v>2745</v>
      </c>
      <c r="C1046" s="2" t="s">
        <v>111</v>
      </c>
      <c r="D1046" s="2" t="s">
        <v>112</v>
      </c>
      <c r="E1046" s="5">
        <v>-30410</v>
      </c>
      <c r="F1046" s="3" t="s">
        <v>1259</v>
      </c>
      <c r="G1046" s="3" t="s">
        <v>1769</v>
      </c>
      <c r="H1046" s="2" t="s">
        <v>21</v>
      </c>
      <c r="I1046" s="2" t="s">
        <v>2747</v>
      </c>
      <c r="J1046" s="3" t="str">
        <f>HYPERLINK("https://www.boe.es/gazeta/dias/1816/09/26/pdfs/GMD-1816-119.pdf#page=12","Abrir facsímil")</f>
        <v>Abrir facsímil</v>
      </c>
      <c r="K1046" s="3" t="s">
        <v>23</v>
      </c>
    </row>
    <row r="1047" spans="1:11" ht="42" customHeight="1">
      <c r="A1047" s="2" t="s">
        <v>2748</v>
      </c>
      <c r="B1047" s="2" t="s">
        <v>2749</v>
      </c>
      <c r="C1047" s="2" t="s">
        <v>34</v>
      </c>
      <c r="D1047" s="2" t="s">
        <v>35</v>
      </c>
      <c r="E1047" s="5">
        <v>-30639</v>
      </c>
      <c r="F1047" s="3" t="s">
        <v>87</v>
      </c>
      <c r="G1047" s="3" t="s">
        <v>42</v>
      </c>
      <c r="H1047" s="2" t="s">
        <v>21</v>
      </c>
      <c r="I1047" s="2" t="s">
        <v>2750</v>
      </c>
      <c r="J1047" s="3" t="str">
        <f>HYPERLINK("https://www.boe.es/gazeta/dias/1816/02/10/pdfs/GMD-1816-19.pdf#page=8","Abrir facsímil")</f>
        <v>Abrir facsímil</v>
      </c>
      <c r="K1047" s="3" t="s">
        <v>23</v>
      </c>
    </row>
    <row r="1048" spans="1:11" ht="42" customHeight="1">
      <c r="A1048" s="2" t="s">
        <v>2751</v>
      </c>
      <c r="B1048" s="2" t="s">
        <v>2752</v>
      </c>
      <c r="C1048" s="2" t="s">
        <v>34</v>
      </c>
      <c r="D1048" s="2" t="s">
        <v>35</v>
      </c>
      <c r="E1048" s="5">
        <v>-30412</v>
      </c>
      <c r="F1048" s="3" t="s">
        <v>388</v>
      </c>
      <c r="G1048" s="3" t="s">
        <v>184</v>
      </c>
      <c r="H1048" s="2" t="s">
        <v>21</v>
      </c>
      <c r="I1048" s="2" t="s">
        <v>2753</v>
      </c>
      <c r="J1048" s="3" t="str">
        <f>HYPERLINK("https://www.boe.es/gazeta/dias/1816/09/24/pdfs/GMD-1816-118.pdf#page=3","Abrir facsímil")</f>
        <v>Abrir facsímil</v>
      </c>
      <c r="K1048" s="3" t="s">
        <v>23</v>
      </c>
    </row>
    <row r="1049" spans="1:11" ht="42" customHeight="1">
      <c r="A1049" s="2" t="s">
        <v>2754</v>
      </c>
      <c r="B1049" s="2" t="s">
        <v>2755</v>
      </c>
      <c r="C1049" s="2" t="s">
        <v>34</v>
      </c>
      <c r="D1049" s="2" t="s">
        <v>35</v>
      </c>
      <c r="E1049" s="5">
        <v>-30657</v>
      </c>
      <c r="F1049" s="3" t="s">
        <v>899</v>
      </c>
      <c r="G1049" s="3" t="s">
        <v>72</v>
      </c>
      <c r="H1049" s="2" t="s">
        <v>21</v>
      </c>
      <c r="I1049" s="2" t="s">
        <v>2756</v>
      </c>
      <c r="J1049" s="3" t="str">
        <f>HYPERLINK("https://www.boe.es/gazeta/dias/1816/01/23/pdfs/GMD-1816-10.pdf#page=7","Abrir facsímil")</f>
        <v>Abrir facsímil</v>
      </c>
      <c r="K1049" s="3" t="s">
        <v>23</v>
      </c>
    </row>
    <row r="1050" spans="1:11" ht="42" customHeight="1">
      <c r="A1050" s="2" t="s">
        <v>2754</v>
      </c>
      <c r="B1050" s="2" t="s">
        <v>2755</v>
      </c>
      <c r="C1050" s="2" t="s">
        <v>34</v>
      </c>
      <c r="D1050" s="2" t="s">
        <v>35</v>
      </c>
      <c r="E1050" s="5">
        <v>-30618</v>
      </c>
      <c r="F1050" s="3" t="s">
        <v>207</v>
      </c>
      <c r="G1050" s="3" t="s">
        <v>28</v>
      </c>
      <c r="H1050" s="2" t="s">
        <v>21</v>
      </c>
      <c r="I1050" s="2" t="s">
        <v>2757</v>
      </c>
      <c r="J1050" s="3" t="str">
        <f>HYPERLINK("https://www.boe.es/gazeta/dias/1816/03/02/pdfs/GMD-1816-29.pdf#page=6","Abrir facsímil")</f>
        <v>Abrir facsímil</v>
      </c>
      <c r="K1050" s="3" t="s">
        <v>23</v>
      </c>
    </row>
    <row r="1051" spans="1:11" ht="42" customHeight="1">
      <c r="A1051" s="2" t="s">
        <v>2754</v>
      </c>
      <c r="B1051" s="2" t="s">
        <v>2755</v>
      </c>
      <c r="C1051" s="2" t="s">
        <v>34</v>
      </c>
      <c r="D1051" s="2" t="s">
        <v>35</v>
      </c>
      <c r="E1051" s="5">
        <v>-30604</v>
      </c>
      <c r="F1051" s="3" t="s">
        <v>488</v>
      </c>
      <c r="G1051" s="3" t="s">
        <v>489</v>
      </c>
      <c r="H1051" s="2" t="s">
        <v>21</v>
      </c>
      <c r="I1051" s="2" t="s">
        <v>2758</v>
      </c>
      <c r="J1051" s="3" t="str">
        <f>HYPERLINK("https://www.boe.es/gazeta/dias/1816/03/16/pdfs/GMD-1816-35.pdf#page=4","Abrir facsímil")</f>
        <v>Abrir facsímil</v>
      </c>
      <c r="K1051" s="3" t="s">
        <v>23</v>
      </c>
    </row>
    <row r="1052" spans="1:11" ht="42" customHeight="1">
      <c r="A1052" s="2" t="s">
        <v>2754</v>
      </c>
      <c r="B1052" s="2" t="s">
        <v>2755</v>
      </c>
      <c r="C1052" s="2" t="s">
        <v>34</v>
      </c>
      <c r="D1052" s="2" t="s">
        <v>35</v>
      </c>
      <c r="E1052" s="5">
        <v>-30335</v>
      </c>
      <c r="F1052" s="3" t="s">
        <v>468</v>
      </c>
      <c r="G1052" s="3" t="s">
        <v>1463</v>
      </c>
      <c r="H1052" s="2" t="s">
        <v>21</v>
      </c>
      <c r="I1052" s="2" t="s">
        <v>2759</v>
      </c>
      <c r="J1052" s="3" t="str">
        <f>HYPERLINK("https://www.boe.es/gazeta/dias/1816/12/10/pdfs/GMD-1816-153.pdf#page=6","Abrir facsímil")</f>
        <v>Abrir facsímil</v>
      </c>
      <c r="K1052" s="3" t="s">
        <v>23</v>
      </c>
    </row>
    <row r="1053" spans="1:11" ht="42" customHeight="1">
      <c r="A1053" s="2" t="s">
        <v>2760</v>
      </c>
      <c r="B1053" s="2" t="s">
        <v>2761</v>
      </c>
      <c r="C1053" s="2" t="s">
        <v>34</v>
      </c>
      <c r="D1053" s="2" t="s">
        <v>35</v>
      </c>
      <c r="E1053" s="5">
        <v>-30594</v>
      </c>
      <c r="F1053" s="3" t="s">
        <v>234</v>
      </c>
      <c r="G1053" s="3" t="s">
        <v>47</v>
      </c>
      <c r="H1053" s="2" t="s">
        <v>21</v>
      </c>
      <c r="I1053" s="2" t="s">
        <v>2762</v>
      </c>
      <c r="J1053" s="3" t="str">
        <f>HYPERLINK("https://www.boe.es/gazeta/dias/1816/03/26/pdfs/GMD-1816-40.pdf#page=5","Abrir facsímil")</f>
        <v>Abrir facsímil</v>
      </c>
      <c r="K1053" s="3" t="s">
        <v>23</v>
      </c>
    </row>
    <row r="1054" spans="1:11" ht="42" customHeight="1">
      <c r="A1054" s="2" t="s">
        <v>2760</v>
      </c>
      <c r="B1054" s="2" t="s">
        <v>2761</v>
      </c>
      <c r="C1054" s="2" t="s">
        <v>34</v>
      </c>
      <c r="D1054" s="2" t="s">
        <v>35</v>
      </c>
      <c r="E1054" s="5">
        <v>-30594</v>
      </c>
      <c r="F1054" s="3" t="s">
        <v>234</v>
      </c>
      <c r="G1054" s="3" t="s">
        <v>42</v>
      </c>
      <c r="H1054" s="2" t="s">
        <v>21</v>
      </c>
      <c r="I1054" s="2" t="s">
        <v>2763</v>
      </c>
      <c r="J1054" s="3" t="str">
        <f>HYPERLINK("https://www.boe.es/gazeta/dias/1816/03/26/pdfs/GMD-1816-40.pdf#page=8","Abrir facsímil")</f>
        <v>Abrir facsímil</v>
      </c>
      <c r="K1054" s="3" t="s">
        <v>23</v>
      </c>
    </row>
    <row r="1055" spans="1:11" ht="42" customHeight="1">
      <c r="A1055" s="2" t="s">
        <v>2760</v>
      </c>
      <c r="B1055" s="2" t="s">
        <v>2761</v>
      </c>
      <c r="C1055" s="2" t="s">
        <v>34</v>
      </c>
      <c r="D1055" s="2" t="s">
        <v>35</v>
      </c>
      <c r="E1055" s="5">
        <v>-30580</v>
      </c>
      <c r="F1055" s="3" t="s">
        <v>107</v>
      </c>
      <c r="G1055" s="3" t="s">
        <v>28</v>
      </c>
      <c r="H1055" s="2" t="s">
        <v>21</v>
      </c>
      <c r="I1055" s="2" t="s">
        <v>2764</v>
      </c>
      <c r="J1055" s="3" t="str">
        <f>HYPERLINK("https://www.boe.es/gazeta/dias/1816/04/09/pdfs/GMD-1816-46.pdf#page=6","Abrir facsímil")</f>
        <v>Abrir facsímil</v>
      </c>
      <c r="K1055" s="3" t="s">
        <v>23</v>
      </c>
    </row>
    <row r="1056" spans="1:11" ht="42" customHeight="1">
      <c r="A1056" s="2" t="s">
        <v>2765</v>
      </c>
      <c r="B1056" s="2" t="s">
        <v>2766</v>
      </c>
      <c r="C1056" s="2" t="s">
        <v>111</v>
      </c>
      <c r="D1056" s="2" t="s">
        <v>112</v>
      </c>
      <c r="E1056" s="5">
        <v>-30517</v>
      </c>
      <c r="F1056" s="3" t="s">
        <v>557</v>
      </c>
      <c r="G1056" s="3" t="s">
        <v>103</v>
      </c>
      <c r="H1056" s="2" t="s">
        <v>21</v>
      </c>
      <c r="I1056" s="2" t="s">
        <v>2767</v>
      </c>
      <c r="J1056" s="3" t="str">
        <f>HYPERLINK("https://www.boe.es/gazeta/dias/1816/06/11/pdfs/GMD-1816-73.pdf#page=4","Abrir facsímil")</f>
        <v>Abrir facsímil</v>
      </c>
      <c r="K1056" s="3" t="s">
        <v>23</v>
      </c>
    </row>
    <row r="1057" spans="1:11" ht="42" customHeight="1">
      <c r="A1057" s="2" t="s">
        <v>2768</v>
      </c>
      <c r="B1057" s="2" t="s">
        <v>2769</v>
      </c>
      <c r="C1057" s="2" t="s">
        <v>34</v>
      </c>
      <c r="D1057" s="2" t="s">
        <v>35</v>
      </c>
      <c r="E1057" s="5">
        <v>-30391</v>
      </c>
      <c r="F1057" s="3" t="s">
        <v>482</v>
      </c>
      <c r="G1057" s="3" t="s">
        <v>72</v>
      </c>
      <c r="H1057" s="2" t="s">
        <v>21</v>
      </c>
      <c r="I1057" s="2" t="s">
        <v>2770</v>
      </c>
      <c r="J1057" s="3" t="str">
        <f>HYPERLINK("https://www.boe.es/gazeta/dias/1816/10/15/pdfs/GMD-1816-129.pdf#page=7","Abrir facsímil")</f>
        <v>Abrir facsímil</v>
      </c>
      <c r="K1057" s="3" t="s">
        <v>23</v>
      </c>
    </row>
    <row r="1058" spans="1:11" ht="42" customHeight="1">
      <c r="A1058" s="2" t="s">
        <v>2771</v>
      </c>
      <c r="B1058" s="2" t="s">
        <v>2772</v>
      </c>
      <c r="C1058" s="2" t="s">
        <v>41</v>
      </c>
      <c r="D1058" s="2" t="s">
        <v>18</v>
      </c>
      <c r="E1058" s="5">
        <v>-30391</v>
      </c>
      <c r="F1058" s="3" t="s">
        <v>482</v>
      </c>
      <c r="G1058" s="3" t="s">
        <v>72</v>
      </c>
      <c r="H1058" s="2" t="s">
        <v>21</v>
      </c>
      <c r="I1058" s="2" t="s">
        <v>2773</v>
      </c>
      <c r="J1058" s="3" t="str">
        <f>HYPERLINK("https://www.boe.es/gazeta/dias/1816/10/15/pdfs/GMD-1816-129.pdf#page=7","Abrir facsímil")</f>
        <v>Abrir facsímil</v>
      </c>
      <c r="K1058" s="3" t="s">
        <v>23</v>
      </c>
    </row>
    <row r="1059" spans="1:11" ht="42" customHeight="1">
      <c r="A1059" s="2" t="s">
        <v>2774</v>
      </c>
      <c r="B1059" s="2" t="s">
        <v>2775</v>
      </c>
      <c r="C1059" s="2" t="s">
        <v>111</v>
      </c>
      <c r="D1059" s="2" t="s">
        <v>112</v>
      </c>
      <c r="E1059" s="5">
        <v>-30576</v>
      </c>
      <c r="F1059" s="3" t="s">
        <v>353</v>
      </c>
      <c r="G1059" s="3" t="s">
        <v>28</v>
      </c>
      <c r="H1059" s="2" t="s">
        <v>21</v>
      </c>
      <c r="I1059" s="2" t="s">
        <v>2776</v>
      </c>
      <c r="J1059" s="3" t="str">
        <f>HYPERLINK("https://www.boe.es/gazeta/dias/1816/04/13/pdfs/GMD-1816-48.pdf#page=6","Abrir facsímil")</f>
        <v>Abrir facsímil</v>
      </c>
      <c r="K1059" s="3" t="s">
        <v>23</v>
      </c>
    </row>
    <row r="1060" spans="1:11" ht="42" customHeight="1">
      <c r="A1060" s="2" t="s">
        <v>2777</v>
      </c>
      <c r="B1060" s="2" t="s">
        <v>2778</v>
      </c>
      <c r="C1060" s="2" t="s">
        <v>34</v>
      </c>
      <c r="D1060" s="2" t="s">
        <v>35</v>
      </c>
      <c r="E1060" s="5">
        <v>-30492</v>
      </c>
      <c r="F1060" s="3" t="s">
        <v>248</v>
      </c>
      <c r="G1060" s="3" t="s">
        <v>92</v>
      </c>
      <c r="H1060" s="2" t="s">
        <v>21</v>
      </c>
      <c r="I1060" s="2" t="s">
        <v>2779</v>
      </c>
      <c r="J1060" s="3" t="str">
        <f>HYPERLINK("https://www.boe.es/gazeta/dias/1816/07/06/pdfs/GMD-1816-84.pdf#page=9","Abrir facsímil")</f>
        <v>Abrir facsímil</v>
      </c>
      <c r="K1060" s="3" t="s">
        <v>23</v>
      </c>
    </row>
    <row r="1061" spans="1:11" ht="42" customHeight="1">
      <c r="A1061" s="2" t="s">
        <v>2780</v>
      </c>
      <c r="B1061" s="2" t="s">
        <v>2781</v>
      </c>
      <c r="C1061" s="2" t="s">
        <v>111</v>
      </c>
      <c r="D1061" s="2" t="s">
        <v>112</v>
      </c>
      <c r="E1061" s="5">
        <v>-30576</v>
      </c>
      <c r="F1061" s="3" t="s">
        <v>353</v>
      </c>
      <c r="G1061" s="3" t="s">
        <v>72</v>
      </c>
      <c r="H1061" s="2" t="s">
        <v>29</v>
      </c>
      <c r="I1061" s="2" t="s">
        <v>2782</v>
      </c>
      <c r="J1061" s="3" t="str">
        <f>HYPERLINK("https://www.boe.es/gazeta/dias/1816/04/13/pdfs/GMD-1816-48.pdf#page=7","Abrir facsímil")</f>
        <v>Abrir facsímil</v>
      </c>
      <c r="K1061" s="3" t="s">
        <v>31</v>
      </c>
    </row>
    <row r="1062" spans="1:11" ht="42" customHeight="1">
      <c r="A1062" s="2" t="s">
        <v>2783</v>
      </c>
      <c r="B1062" s="2" t="s">
        <v>2784</v>
      </c>
      <c r="C1062" s="2" t="s">
        <v>34</v>
      </c>
      <c r="D1062" s="2" t="s">
        <v>35</v>
      </c>
      <c r="E1062" s="5">
        <v>-30478</v>
      </c>
      <c r="F1062" s="3" t="s">
        <v>123</v>
      </c>
      <c r="G1062" s="3" t="s">
        <v>28</v>
      </c>
      <c r="H1062" s="2" t="s">
        <v>21</v>
      </c>
      <c r="I1062" s="2" t="s">
        <v>2785</v>
      </c>
      <c r="J1062" s="3" t="str">
        <f>HYPERLINK("https://www.boe.es/gazeta/dias/1816/07/20/pdfs/GMD-1816-90.pdf#page=6","Abrir facsímil")</f>
        <v>Abrir facsímil</v>
      </c>
      <c r="K1062" s="3" t="s">
        <v>23</v>
      </c>
    </row>
    <row r="1063" spans="1:11" ht="42" customHeight="1">
      <c r="A1063" s="2" t="s">
        <v>2786</v>
      </c>
      <c r="B1063" s="2" t="s">
        <v>2787</v>
      </c>
      <c r="C1063" s="2" t="s">
        <v>34</v>
      </c>
      <c r="D1063" s="2" t="s">
        <v>35</v>
      </c>
      <c r="E1063" s="5">
        <v>-30394</v>
      </c>
      <c r="F1063" s="3" t="s">
        <v>589</v>
      </c>
      <c r="G1063" s="3" t="s">
        <v>72</v>
      </c>
      <c r="H1063" s="2" t="s">
        <v>21</v>
      </c>
      <c r="I1063" s="2" t="s">
        <v>2788</v>
      </c>
      <c r="J1063" s="3" t="str">
        <f>HYPERLINK("https://www.boe.es/gazeta/dias/1816/10/12/pdfs/GMD-1816-127.pdf#page=7","Abrir facsímil")</f>
        <v>Abrir facsímil</v>
      </c>
      <c r="K1063" s="3" t="s">
        <v>23</v>
      </c>
    </row>
    <row r="1064" spans="1:11" ht="42" customHeight="1">
      <c r="A1064" s="2" t="s">
        <v>2789</v>
      </c>
      <c r="B1064" s="2" t="s">
        <v>2790</v>
      </c>
      <c r="C1064" s="2" t="s">
        <v>34</v>
      </c>
      <c r="D1064" s="2" t="s">
        <v>35</v>
      </c>
      <c r="E1064" s="5">
        <v>-30636</v>
      </c>
      <c r="F1064" s="3" t="s">
        <v>82</v>
      </c>
      <c r="G1064" s="3" t="s">
        <v>47</v>
      </c>
      <c r="H1064" s="2" t="s">
        <v>21</v>
      </c>
      <c r="I1064" s="2" t="s">
        <v>2791</v>
      </c>
      <c r="J1064" s="3" t="str">
        <f>HYPERLINK("https://www.boe.es/gazeta/dias/1816/02/13/pdfs/GMD-1816-20.pdf#page=5","Abrir facsímil")</f>
        <v>Abrir facsímil</v>
      </c>
      <c r="K1064" s="3" t="s">
        <v>23</v>
      </c>
    </row>
    <row r="1065" spans="1:11" ht="42" customHeight="1">
      <c r="A1065" s="2" t="s">
        <v>2792</v>
      </c>
      <c r="B1065" s="2" t="s">
        <v>2793</v>
      </c>
      <c r="C1065" s="2" t="s">
        <v>26</v>
      </c>
      <c r="D1065" s="2" t="s">
        <v>18</v>
      </c>
      <c r="E1065" s="5">
        <v>-30648</v>
      </c>
      <c r="F1065" s="3" t="s">
        <v>872</v>
      </c>
      <c r="G1065" s="3" t="s">
        <v>42</v>
      </c>
      <c r="H1065" s="2" t="s">
        <v>21</v>
      </c>
      <c r="I1065" s="2" t="s">
        <v>2794</v>
      </c>
      <c r="J1065" s="3" t="str">
        <f>HYPERLINK("https://www.boe.es/gazeta/dias/1816/02/01/pdfs/GMD-1816-15.pdf#page=8","Abrir facsímil")</f>
        <v>Abrir facsímil</v>
      </c>
      <c r="K1065" s="3" t="s">
        <v>23</v>
      </c>
    </row>
    <row r="1066" spans="1:11" ht="42" customHeight="1">
      <c r="A1066" s="2" t="s">
        <v>2795</v>
      </c>
      <c r="B1066" s="2" t="s">
        <v>2795</v>
      </c>
      <c r="C1066" s="2" t="s">
        <v>34</v>
      </c>
      <c r="D1066" s="2" t="s">
        <v>35</v>
      </c>
      <c r="E1066" s="5">
        <v>-30625</v>
      </c>
      <c r="F1066" s="3" t="s">
        <v>631</v>
      </c>
      <c r="G1066" s="3" t="s">
        <v>184</v>
      </c>
      <c r="H1066" s="2" t="s">
        <v>21</v>
      </c>
      <c r="I1066" s="2" t="s">
        <v>2796</v>
      </c>
      <c r="J1066" s="3" t="str">
        <f>HYPERLINK("https://www.boe.es/gazeta/dias/1816/02/24/pdfs/GMD-1816-25.pdf#page=3","Abrir facsímil")</f>
        <v>Abrir facsímil</v>
      </c>
      <c r="K1066" s="3" t="s">
        <v>23</v>
      </c>
    </row>
    <row r="1067" spans="1:11" ht="42" customHeight="1">
      <c r="A1067" s="2" t="s">
        <v>2797</v>
      </c>
      <c r="B1067" s="2" t="s">
        <v>2797</v>
      </c>
      <c r="C1067" s="2" t="s">
        <v>34</v>
      </c>
      <c r="D1067" s="2" t="s">
        <v>35</v>
      </c>
      <c r="E1067" s="5">
        <v>-30641</v>
      </c>
      <c r="F1067" s="3" t="s">
        <v>192</v>
      </c>
      <c r="G1067" s="3" t="s">
        <v>103</v>
      </c>
      <c r="H1067" s="2" t="s">
        <v>21</v>
      </c>
      <c r="I1067" s="2" t="s">
        <v>2798</v>
      </c>
      <c r="J1067" s="3" t="str">
        <f>HYPERLINK("https://www.boe.es/gazeta/dias/1816/02/08/pdfs/GMD-1816-18.pdf#page=4","Abrir facsímil")</f>
        <v>Abrir facsímil</v>
      </c>
      <c r="K1067" s="3" t="s">
        <v>23</v>
      </c>
    </row>
    <row r="1068" spans="1:11" ht="42" customHeight="1">
      <c r="A1068" s="2" t="s">
        <v>2797</v>
      </c>
      <c r="B1068" s="2" t="s">
        <v>2797</v>
      </c>
      <c r="C1068" s="2" t="s">
        <v>111</v>
      </c>
      <c r="D1068" s="2" t="s">
        <v>112</v>
      </c>
      <c r="E1068" s="5">
        <v>-30636</v>
      </c>
      <c r="F1068" s="3" t="s">
        <v>82</v>
      </c>
      <c r="G1068" s="3" t="s">
        <v>58</v>
      </c>
      <c r="H1068" s="2" t="s">
        <v>21</v>
      </c>
      <c r="I1068" s="2" t="s">
        <v>2799</v>
      </c>
      <c r="J1068" s="3" t="str">
        <f>HYPERLINK("https://www.boe.es/gazeta/dias/1816/02/13/pdfs/GMD-1816-20.pdf#page=1","Abrir facsímil")</f>
        <v>Abrir facsímil</v>
      </c>
      <c r="K1068" s="3" t="s">
        <v>23</v>
      </c>
    </row>
    <row r="1069" spans="1:11" ht="42" customHeight="1">
      <c r="A1069" s="2" t="s">
        <v>2797</v>
      </c>
      <c r="B1069" s="2" t="s">
        <v>2797</v>
      </c>
      <c r="C1069" s="2" t="s">
        <v>111</v>
      </c>
      <c r="D1069" s="2" t="s">
        <v>112</v>
      </c>
      <c r="E1069" s="5">
        <v>-30632</v>
      </c>
      <c r="F1069" s="3" t="s">
        <v>89</v>
      </c>
      <c r="G1069" s="3" t="s">
        <v>270</v>
      </c>
      <c r="H1069" s="2" t="s">
        <v>21</v>
      </c>
      <c r="I1069" s="2" t="s">
        <v>2800</v>
      </c>
      <c r="J1069" s="3" t="str">
        <f>HYPERLINK("https://www.boe.es/gazeta/dias/1816/02/17/pdfs/GMD-1816-22.pdf#page=2","Abrir facsímil")</f>
        <v>Abrir facsímil</v>
      </c>
      <c r="K1069" s="3" t="s">
        <v>23</v>
      </c>
    </row>
    <row r="1070" spans="1:11" ht="42" customHeight="1">
      <c r="A1070" s="2" t="s">
        <v>2797</v>
      </c>
      <c r="B1070" s="2" t="s">
        <v>2797</v>
      </c>
      <c r="C1070" s="2" t="s">
        <v>26</v>
      </c>
      <c r="D1070" s="2" t="s">
        <v>18</v>
      </c>
      <c r="E1070" s="5">
        <v>-30608</v>
      </c>
      <c r="F1070" s="3" t="s">
        <v>550</v>
      </c>
      <c r="G1070" s="3" t="s">
        <v>1872</v>
      </c>
      <c r="H1070" s="2" t="s">
        <v>21</v>
      </c>
      <c r="I1070" s="2" t="s">
        <v>2801</v>
      </c>
      <c r="J1070" s="3" t="str">
        <f>HYPERLINK("https://www.boe.es/gazeta/dias/1816/03/12/pdfs/GMD-1816-33.pdf#page=3","Abrir facsímil")</f>
        <v>Abrir facsímil</v>
      </c>
      <c r="K1070" s="3" t="s">
        <v>23</v>
      </c>
    </row>
    <row r="1071" spans="1:11" ht="42" customHeight="1">
      <c r="A1071" s="2" t="s">
        <v>2797</v>
      </c>
      <c r="B1071" s="2" t="s">
        <v>2797</v>
      </c>
      <c r="C1071" s="2" t="s">
        <v>34</v>
      </c>
      <c r="D1071" s="2" t="s">
        <v>35</v>
      </c>
      <c r="E1071" s="5">
        <v>-30608</v>
      </c>
      <c r="F1071" s="3" t="s">
        <v>550</v>
      </c>
      <c r="G1071" s="3" t="s">
        <v>270</v>
      </c>
      <c r="H1071" s="2" t="s">
        <v>21</v>
      </c>
      <c r="I1071" s="2" t="s">
        <v>2802</v>
      </c>
      <c r="J1071" s="3" t="str">
        <f>HYPERLINK("https://www.boe.es/gazeta/dias/1816/03/12/pdfs/GMD-1816-33.pdf#page=2","Abrir facsímil")</f>
        <v>Abrir facsímil</v>
      </c>
      <c r="K1071" s="3" t="s">
        <v>23</v>
      </c>
    </row>
    <row r="1072" spans="1:11" ht="42" customHeight="1">
      <c r="A1072" s="2" t="s">
        <v>2797</v>
      </c>
      <c r="B1072" s="2" t="s">
        <v>2797</v>
      </c>
      <c r="C1072" s="2" t="s">
        <v>2803</v>
      </c>
      <c r="D1072" s="2" t="s">
        <v>112</v>
      </c>
      <c r="E1072" s="5">
        <v>-30606</v>
      </c>
      <c r="F1072" s="3" t="s">
        <v>761</v>
      </c>
      <c r="G1072" s="3" t="s">
        <v>270</v>
      </c>
      <c r="H1072" s="2" t="s">
        <v>21</v>
      </c>
      <c r="I1072" s="2" t="s">
        <v>2804</v>
      </c>
      <c r="J1072" s="3" t="str">
        <f>HYPERLINK("https://www.boe.es/gazeta/dias/1816/03/14/pdfs/GMD-1816-34.pdf#page=2","Abrir facsímil")</f>
        <v>Abrir facsímil</v>
      </c>
      <c r="K1072" s="3" t="s">
        <v>23</v>
      </c>
    </row>
    <row r="1073" spans="1:11" ht="42" customHeight="1">
      <c r="A1073" s="2" t="s">
        <v>2797</v>
      </c>
      <c r="B1073" s="2" t="s">
        <v>2797</v>
      </c>
      <c r="C1073" s="2" t="s">
        <v>26</v>
      </c>
      <c r="D1073" s="2" t="s">
        <v>18</v>
      </c>
      <c r="E1073" s="5">
        <v>-30604</v>
      </c>
      <c r="F1073" s="3" t="s">
        <v>488</v>
      </c>
      <c r="G1073" s="3" t="s">
        <v>270</v>
      </c>
      <c r="H1073" s="2" t="s">
        <v>21</v>
      </c>
      <c r="I1073" s="2" t="s">
        <v>2805</v>
      </c>
      <c r="J1073" s="3" t="str">
        <f>HYPERLINK("https://www.boe.es/gazeta/dias/1816/03/16/pdfs/GMD-1816-35.pdf#page=2","Abrir facsímil")</f>
        <v>Abrir facsímil</v>
      </c>
      <c r="K1073" s="3" t="s">
        <v>23</v>
      </c>
    </row>
    <row r="1074" spans="1:11" ht="42" customHeight="1">
      <c r="A1074" s="2" t="s">
        <v>2797</v>
      </c>
      <c r="B1074" s="2" t="s">
        <v>2797</v>
      </c>
      <c r="C1074" s="2" t="s">
        <v>111</v>
      </c>
      <c r="D1074" s="2" t="s">
        <v>112</v>
      </c>
      <c r="E1074" s="5">
        <v>-30599</v>
      </c>
      <c r="F1074" s="3" t="s">
        <v>552</v>
      </c>
      <c r="G1074" s="3" t="s">
        <v>58</v>
      </c>
      <c r="H1074" s="2" t="s">
        <v>21</v>
      </c>
      <c r="I1074" s="2" t="s">
        <v>2806</v>
      </c>
      <c r="J1074" s="3" t="str">
        <f>HYPERLINK("https://www.boe.es/gazeta/dias/1816/03/21/pdfs/GMD-1816-38.pdf#page=1","Abrir facsímil")</f>
        <v>Abrir facsímil</v>
      </c>
      <c r="K1074" s="3" t="s">
        <v>23</v>
      </c>
    </row>
    <row r="1075" spans="1:11" ht="42" customHeight="1">
      <c r="A1075" s="2" t="s">
        <v>2797</v>
      </c>
      <c r="B1075" s="2" t="s">
        <v>2797</v>
      </c>
      <c r="C1075" s="2" t="s">
        <v>41</v>
      </c>
      <c r="D1075" s="2" t="s">
        <v>18</v>
      </c>
      <c r="E1075" s="5">
        <v>-30594</v>
      </c>
      <c r="F1075" s="3" t="s">
        <v>234</v>
      </c>
      <c r="G1075" s="3" t="s">
        <v>270</v>
      </c>
      <c r="H1075" s="2" t="s">
        <v>21</v>
      </c>
      <c r="I1075" s="2" t="s">
        <v>2807</v>
      </c>
      <c r="J1075" s="3" t="str">
        <f>HYPERLINK("https://www.boe.es/gazeta/dias/1816/03/26/pdfs/GMD-1816-40.pdf#page=2","Abrir facsímil")</f>
        <v>Abrir facsímil</v>
      </c>
      <c r="K1075" s="3" t="s">
        <v>23</v>
      </c>
    </row>
    <row r="1076" spans="1:11" ht="42" customHeight="1">
      <c r="A1076" s="2" t="s">
        <v>2797</v>
      </c>
      <c r="B1076" s="2" t="s">
        <v>2797</v>
      </c>
      <c r="C1076" s="2" t="s">
        <v>387</v>
      </c>
      <c r="D1076" s="2" t="s">
        <v>18</v>
      </c>
      <c r="E1076" s="5">
        <v>-30592</v>
      </c>
      <c r="F1076" s="3" t="s">
        <v>236</v>
      </c>
      <c r="G1076" s="3" t="s">
        <v>58</v>
      </c>
      <c r="H1076" s="2" t="s">
        <v>21</v>
      </c>
      <c r="I1076" s="2" t="s">
        <v>2808</v>
      </c>
      <c r="J1076" s="3" t="str">
        <f>HYPERLINK("https://www.boe.es/gazeta/dias/1816/03/28/pdfs/GMD-1816-41.pdf#page=1","Abrir facsímil")</f>
        <v>Abrir facsímil</v>
      </c>
      <c r="K1076" s="3" t="s">
        <v>23</v>
      </c>
    </row>
    <row r="1077" spans="1:11" ht="42" customHeight="1">
      <c r="A1077" s="2" t="s">
        <v>2797</v>
      </c>
      <c r="B1077" s="2" t="s">
        <v>2797</v>
      </c>
      <c r="C1077" s="2" t="s">
        <v>17</v>
      </c>
      <c r="D1077" s="2" t="s">
        <v>18</v>
      </c>
      <c r="E1077" s="5">
        <v>-30571</v>
      </c>
      <c r="F1077" s="3" t="s">
        <v>738</v>
      </c>
      <c r="G1077" s="3" t="s">
        <v>184</v>
      </c>
      <c r="H1077" s="2" t="s">
        <v>21</v>
      </c>
      <c r="I1077" s="2" t="s">
        <v>2809</v>
      </c>
      <c r="J1077" s="3" t="str">
        <f>HYPERLINK("https://www.boe.es/gazeta/dias/1816/04/18/pdfs/GMD-1816-50.pdf#page=3","Abrir facsímil")</f>
        <v>Abrir facsímil</v>
      </c>
      <c r="K1077" s="3" t="s">
        <v>23</v>
      </c>
    </row>
    <row r="1078" spans="1:11" ht="42" customHeight="1">
      <c r="A1078" s="2" t="s">
        <v>2797</v>
      </c>
      <c r="B1078" s="2" t="s">
        <v>2797</v>
      </c>
      <c r="C1078" s="2" t="s">
        <v>111</v>
      </c>
      <c r="D1078" s="2" t="s">
        <v>112</v>
      </c>
      <c r="E1078" s="5">
        <v>-30550</v>
      </c>
      <c r="F1078" s="3" t="s">
        <v>435</v>
      </c>
      <c r="G1078" s="3" t="s">
        <v>58</v>
      </c>
      <c r="H1078" s="2" t="s">
        <v>21</v>
      </c>
      <c r="I1078" s="2" t="s">
        <v>2810</v>
      </c>
      <c r="J1078" s="3" t="str">
        <f>HYPERLINK("https://www.boe.es/gazeta/dias/1816/05/09/pdfs/GMD-1816-59.pdf#page=1","Abrir facsímil")</f>
        <v>Abrir facsímil</v>
      </c>
      <c r="K1078" s="3" t="s">
        <v>23</v>
      </c>
    </row>
    <row r="1079" spans="1:11" ht="42" customHeight="1">
      <c r="A1079" s="2" t="s">
        <v>2797</v>
      </c>
      <c r="B1079" s="2" t="s">
        <v>2797</v>
      </c>
      <c r="C1079" s="2" t="s">
        <v>26</v>
      </c>
      <c r="D1079" s="2" t="s">
        <v>18</v>
      </c>
      <c r="E1079" s="5">
        <v>-30550</v>
      </c>
      <c r="F1079" s="3" t="s">
        <v>435</v>
      </c>
      <c r="G1079" s="3" t="s">
        <v>270</v>
      </c>
      <c r="H1079" s="2" t="s">
        <v>21</v>
      </c>
      <c r="I1079" s="2" t="s">
        <v>2811</v>
      </c>
      <c r="J1079" s="3" t="str">
        <f>HYPERLINK("https://www.boe.es/gazeta/dias/1816/05/09/pdfs/GMD-1816-59.pdf#page=2","Abrir facsímil")</f>
        <v>Abrir facsímil</v>
      </c>
      <c r="K1079" s="3" t="s">
        <v>23</v>
      </c>
    </row>
    <row r="1080" spans="1:11" ht="42" customHeight="1">
      <c r="A1080" s="2" t="s">
        <v>2797</v>
      </c>
      <c r="B1080" s="2" t="s">
        <v>2797</v>
      </c>
      <c r="C1080" s="2" t="s">
        <v>387</v>
      </c>
      <c r="D1080" s="2" t="s">
        <v>18</v>
      </c>
      <c r="E1080" s="5">
        <v>-30485</v>
      </c>
      <c r="F1080" s="3" t="s">
        <v>156</v>
      </c>
      <c r="G1080" s="3" t="s">
        <v>270</v>
      </c>
      <c r="H1080" s="2" t="s">
        <v>21</v>
      </c>
      <c r="I1080" s="2" t="s">
        <v>2812</v>
      </c>
      <c r="J1080" s="3" t="str">
        <f>HYPERLINK("https://www.boe.es/gazeta/dias/1816/07/13/pdfs/GMD-1816-87.pdf#page=2","Abrir facsímil")</f>
        <v>Abrir facsímil</v>
      </c>
      <c r="K1080" s="3" t="s">
        <v>23</v>
      </c>
    </row>
    <row r="1081" spans="1:11" ht="42" customHeight="1">
      <c r="A1081" s="2" t="s">
        <v>2797</v>
      </c>
      <c r="B1081" s="2" t="s">
        <v>2797</v>
      </c>
      <c r="C1081" s="2" t="s">
        <v>387</v>
      </c>
      <c r="D1081" s="2" t="s">
        <v>18</v>
      </c>
      <c r="E1081" s="5">
        <v>-30480</v>
      </c>
      <c r="F1081" s="3" t="s">
        <v>147</v>
      </c>
      <c r="G1081" s="3" t="s">
        <v>270</v>
      </c>
      <c r="H1081" s="2" t="s">
        <v>21</v>
      </c>
      <c r="I1081" s="2" t="s">
        <v>2813</v>
      </c>
      <c r="J1081" s="3" t="str">
        <f>HYPERLINK("https://www.boe.es/gazeta/dias/1816/07/18/pdfs/GMD-1816-89.pdf#page=2","Abrir facsímil")</f>
        <v>Abrir facsímil</v>
      </c>
      <c r="K1081" s="3" t="s">
        <v>23</v>
      </c>
    </row>
    <row r="1082" spans="1:11" ht="42" customHeight="1">
      <c r="A1082" s="2" t="s">
        <v>2797</v>
      </c>
      <c r="B1082" s="2" t="s">
        <v>2797</v>
      </c>
      <c r="C1082" s="2" t="s">
        <v>387</v>
      </c>
      <c r="D1082" s="2" t="s">
        <v>18</v>
      </c>
      <c r="E1082" s="5">
        <v>-30445</v>
      </c>
      <c r="F1082" s="3" t="s">
        <v>51</v>
      </c>
      <c r="G1082" s="3" t="s">
        <v>103</v>
      </c>
      <c r="H1082" s="2" t="s">
        <v>21</v>
      </c>
      <c r="I1082" s="2" t="s">
        <v>2814</v>
      </c>
      <c r="J1082" s="3" t="str">
        <f>HYPERLINK("https://www.boe.es/gazeta/dias/1816/08/22/pdfs/GMD-1816-104.pdf#page=4","Abrir facsímil")</f>
        <v>Abrir facsímil</v>
      </c>
      <c r="K1082" s="3" t="s">
        <v>23</v>
      </c>
    </row>
    <row r="1083" spans="1:11" ht="42" customHeight="1">
      <c r="A1083" s="2" t="s">
        <v>2797</v>
      </c>
      <c r="B1083" s="2" t="s">
        <v>2797</v>
      </c>
      <c r="C1083" s="2" t="s">
        <v>26</v>
      </c>
      <c r="D1083" s="2" t="s">
        <v>18</v>
      </c>
      <c r="E1083" s="5">
        <v>-30438</v>
      </c>
      <c r="F1083" s="3" t="s">
        <v>299</v>
      </c>
      <c r="G1083" s="3" t="s">
        <v>103</v>
      </c>
      <c r="H1083" s="2" t="s">
        <v>21</v>
      </c>
      <c r="I1083" s="2" t="s">
        <v>2815</v>
      </c>
      <c r="J1083" s="3" t="str">
        <f>HYPERLINK("https://www.boe.es/gazeta/dias/1816/08/29/pdfs/GMD-1816-107.pdf#page=4","Abrir facsímil")</f>
        <v>Abrir facsímil</v>
      </c>
      <c r="K1083" s="3" t="s">
        <v>23</v>
      </c>
    </row>
    <row r="1084" spans="1:11" ht="42" customHeight="1">
      <c r="A1084" s="2" t="s">
        <v>2797</v>
      </c>
      <c r="B1084" s="2" t="s">
        <v>2797</v>
      </c>
      <c r="C1084" s="2" t="s">
        <v>111</v>
      </c>
      <c r="D1084" s="2" t="s">
        <v>112</v>
      </c>
      <c r="E1084" s="5">
        <v>-30426</v>
      </c>
      <c r="F1084" s="3" t="s">
        <v>779</v>
      </c>
      <c r="G1084" s="3" t="s">
        <v>103</v>
      </c>
      <c r="H1084" s="2" t="s">
        <v>21</v>
      </c>
      <c r="I1084" s="2" t="s">
        <v>2816</v>
      </c>
      <c r="J1084" s="3" t="str">
        <f>HYPERLINK("https://www.boe.es/gazeta/dias/1816/09/10/pdfs/GMD-1816-112.pdf#page=4","Abrir facsímil")</f>
        <v>Abrir facsímil</v>
      </c>
      <c r="K1084" s="3" t="s">
        <v>23</v>
      </c>
    </row>
    <row r="1085" spans="1:11" ht="42" customHeight="1">
      <c r="A1085" s="2" t="s">
        <v>2797</v>
      </c>
      <c r="B1085" s="2" t="s">
        <v>2797</v>
      </c>
      <c r="C1085" s="2" t="s">
        <v>34</v>
      </c>
      <c r="D1085" s="2" t="s">
        <v>35</v>
      </c>
      <c r="E1085" s="5">
        <v>-30370</v>
      </c>
      <c r="F1085" s="3" t="s">
        <v>669</v>
      </c>
      <c r="G1085" s="3" t="s">
        <v>184</v>
      </c>
      <c r="H1085" s="2" t="s">
        <v>21</v>
      </c>
      <c r="I1085" s="2" t="s">
        <v>2817</v>
      </c>
      <c r="J1085" s="3" t="str">
        <f>HYPERLINK("https://www.boe.es/gazeta/dias/1816/11/05/pdfs/GMD-1816-138.pdf#page=3","Abrir facsímil")</f>
        <v>Abrir facsímil</v>
      </c>
      <c r="K1085" s="3" t="s">
        <v>23</v>
      </c>
    </row>
    <row r="1086" spans="1:11" ht="42" customHeight="1">
      <c r="A1086" s="2" t="s">
        <v>2797</v>
      </c>
      <c r="B1086" s="2" t="s">
        <v>2797</v>
      </c>
      <c r="C1086" s="2" t="s">
        <v>26</v>
      </c>
      <c r="D1086" s="2" t="s">
        <v>18</v>
      </c>
      <c r="E1086" s="5">
        <v>-30340</v>
      </c>
      <c r="F1086" s="3" t="s">
        <v>1618</v>
      </c>
      <c r="G1086" s="3" t="s">
        <v>184</v>
      </c>
      <c r="H1086" s="2" t="s">
        <v>21</v>
      </c>
      <c r="I1086" s="2" t="s">
        <v>2818</v>
      </c>
      <c r="J1086" s="3" t="str">
        <f>HYPERLINK("https://www.boe.es/gazeta/dias/1816/12/05/pdfs/GMD-1816-151.pdf#page=3","Abrir facsímil")</f>
        <v>Abrir facsímil</v>
      </c>
      <c r="K1086" s="3" t="s">
        <v>23</v>
      </c>
    </row>
    <row r="1087" spans="1:11" ht="42" customHeight="1">
      <c r="A1087" s="2" t="s">
        <v>2819</v>
      </c>
      <c r="B1087" s="2" t="s">
        <v>2819</v>
      </c>
      <c r="C1087" s="2" t="s">
        <v>387</v>
      </c>
      <c r="D1087" s="2" t="s">
        <v>18</v>
      </c>
      <c r="E1087" s="5">
        <v>-30485</v>
      </c>
      <c r="F1087" s="3" t="s">
        <v>156</v>
      </c>
      <c r="G1087" s="3" t="s">
        <v>270</v>
      </c>
      <c r="H1087" s="2" t="s">
        <v>21</v>
      </c>
      <c r="I1087" s="2" t="s">
        <v>2820</v>
      </c>
      <c r="J1087" s="3" t="str">
        <f>HYPERLINK("https://www.boe.es/gazeta/dias/1816/07/13/pdfs/GMD-1816-87.pdf#page=2","Abrir facsímil")</f>
        <v>Abrir facsímil</v>
      </c>
      <c r="K1087" s="3" t="s">
        <v>23</v>
      </c>
    </row>
    <row r="1088" spans="1:11" ht="42" customHeight="1">
      <c r="A1088" s="2" t="s">
        <v>2821</v>
      </c>
      <c r="B1088" s="2" t="s">
        <v>2822</v>
      </c>
      <c r="C1088" s="2" t="s">
        <v>34</v>
      </c>
      <c r="D1088" s="2" t="s">
        <v>35</v>
      </c>
      <c r="E1088" s="5">
        <v>-30410</v>
      </c>
      <c r="F1088" s="3" t="s">
        <v>1259</v>
      </c>
      <c r="G1088" s="3" t="s">
        <v>175</v>
      </c>
      <c r="H1088" s="2" t="s">
        <v>21</v>
      </c>
      <c r="I1088" s="2" t="s">
        <v>2823</v>
      </c>
      <c r="J1088" s="3" t="str">
        <f>HYPERLINK("https://www.boe.es/gazeta/dias/1816/09/26/pdfs/GMD-1816-119.pdf#page=11","Abrir facsímil")</f>
        <v>Abrir facsímil</v>
      </c>
      <c r="K1088" s="3" t="s">
        <v>23</v>
      </c>
    </row>
    <row r="1089" spans="1:11" ht="42" customHeight="1">
      <c r="A1089" s="2" t="s">
        <v>2824</v>
      </c>
      <c r="B1089" s="2" t="s">
        <v>2825</v>
      </c>
      <c r="C1089" s="2" t="s">
        <v>111</v>
      </c>
      <c r="D1089" s="2" t="s">
        <v>112</v>
      </c>
      <c r="E1089" s="5">
        <v>-30368</v>
      </c>
      <c r="F1089" s="3" t="s">
        <v>531</v>
      </c>
      <c r="G1089" s="3" t="s">
        <v>42</v>
      </c>
      <c r="H1089" s="2" t="s">
        <v>21</v>
      </c>
      <c r="I1089" s="2" t="s">
        <v>2826</v>
      </c>
      <c r="J1089" s="3" t="str">
        <f>HYPERLINK("https://www.boe.es/gazeta/dias/1816/11/07/pdfs/GMD-1816-139.pdf#page=8","Abrir facsímil")</f>
        <v>Abrir facsímil</v>
      </c>
      <c r="K1089" s="3" t="s">
        <v>23</v>
      </c>
    </row>
    <row r="1090" spans="1:11" ht="42" customHeight="1">
      <c r="A1090" s="2" t="s">
        <v>2827</v>
      </c>
      <c r="B1090" s="2" t="s">
        <v>2828</v>
      </c>
      <c r="C1090" s="2" t="s">
        <v>26</v>
      </c>
      <c r="D1090" s="2" t="s">
        <v>18</v>
      </c>
      <c r="E1090" s="5">
        <v>-30445</v>
      </c>
      <c r="F1090" s="3" t="s">
        <v>51</v>
      </c>
      <c r="G1090" s="3" t="s">
        <v>175</v>
      </c>
      <c r="H1090" s="2" t="s">
        <v>21</v>
      </c>
      <c r="I1090" s="2" t="s">
        <v>2829</v>
      </c>
      <c r="J1090" s="3" t="str">
        <f>HYPERLINK("https://www.boe.es/gazeta/dias/1816/08/22/pdfs/GMD-1816-104.pdf#page=11","Abrir facsímil")</f>
        <v>Abrir facsímil</v>
      </c>
      <c r="K1090" s="3" t="s">
        <v>23</v>
      </c>
    </row>
    <row r="1091" spans="1:11" ht="42" customHeight="1">
      <c r="A1091" s="2" t="s">
        <v>2830</v>
      </c>
      <c r="B1091" s="2" t="s">
        <v>2831</v>
      </c>
      <c r="C1091" s="2" t="s">
        <v>41</v>
      </c>
      <c r="D1091" s="2" t="s">
        <v>18</v>
      </c>
      <c r="E1091" s="5">
        <v>-30667</v>
      </c>
      <c r="F1091" s="3" t="s">
        <v>659</v>
      </c>
      <c r="G1091" s="3" t="s">
        <v>42</v>
      </c>
      <c r="H1091" s="2" t="s">
        <v>21</v>
      </c>
      <c r="I1091" s="2" t="s">
        <v>2832</v>
      </c>
      <c r="J1091" s="3" t="str">
        <f>HYPERLINK("https://www.boe.es/gazeta/dias/1816/01/13/pdfs/GMD-1816-6.pdf#page=8","Abrir facsímil")</f>
        <v>Abrir facsímil</v>
      </c>
      <c r="K1091" s="3" t="s">
        <v>23</v>
      </c>
    </row>
    <row r="1092" spans="1:11" ht="42" customHeight="1">
      <c r="A1092" s="2" t="s">
        <v>2833</v>
      </c>
      <c r="B1092" s="2" t="s">
        <v>2833</v>
      </c>
      <c r="C1092" s="2" t="s">
        <v>67</v>
      </c>
      <c r="D1092" s="2" t="s">
        <v>18</v>
      </c>
      <c r="E1092" s="5">
        <v>-30482</v>
      </c>
      <c r="F1092" s="3" t="s">
        <v>370</v>
      </c>
      <c r="G1092" s="3" t="s">
        <v>180</v>
      </c>
      <c r="H1092" s="2" t="s">
        <v>21</v>
      </c>
      <c r="I1092" s="2" t="s">
        <v>2834</v>
      </c>
      <c r="J1092" s="3" t="str">
        <f>HYPERLINK("https://www.boe.es/gazeta/dias/1816/07/16/pdfs/GMD-1816-88.pdf#page=10","Abrir facsímil")</f>
        <v>Abrir facsímil</v>
      </c>
      <c r="K1092" s="3" t="s">
        <v>23</v>
      </c>
    </row>
    <row r="1093" spans="1:11" ht="42" customHeight="1">
      <c r="A1093" s="2" t="s">
        <v>2835</v>
      </c>
      <c r="B1093" s="2" t="s">
        <v>2836</v>
      </c>
      <c r="C1093" s="2" t="s">
        <v>81</v>
      </c>
      <c r="D1093" s="2" t="s">
        <v>18</v>
      </c>
      <c r="E1093" s="5">
        <v>-30384</v>
      </c>
      <c r="F1093" s="3" t="s">
        <v>460</v>
      </c>
      <c r="G1093" s="3" t="s">
        <v>932</v>
      </c>
      <c r="H1093" s="2" t="s">
        <v>21</v>
      </c>
      <c r="I1093" s="2" t="s">
        <v>2837</v>
      </c>
      <c r="J1093" s="3" t="str">
        <f>HYPERLINK("https://www.boe.es/gazeta/dias/1816/10/22/pdfs/GMD-1816-132.pdf#page=7","Abrir facsímil")</f>
        <v>Abrir facsímil</v>
      </c>
      <c r="K1093" s="3" t="s">
        <v>23</v>
      </c>
    </row>
    <row r="1094" spans="1:11" ht="42" customHeight="1">
      <c r="A1094" s="2" t="s">
        <v>2838</v>
      </c>
      <c r="B1094" s="2" t="s">
        <v>2839</v>
      </c>
      <c r="C1094" s="2" t="s">
        <v>34</v>
      </c>
      <c r="D1094" s="2" t="s">
        <v>35</v>
      </c>
      <c r="E1094" s="5">
        <v>-30387</v>
      </c>
      <c r="F1094" s="3" t="s">
        <v>224</v>
      </c>
      <c r="G1094" s="3" t="s">
        <v>28</v>
      </c>
      <c r="H1094" s="2" t="s">
        <v>21</v>
      </c>
      <c r="I1094" s="2" t="s">
        <v>2840</v>
      </c>
      <c r="J1094" s="3" t="str">
        <f>HYPERLINK("https://www.boe.es/gazeta/dias/1816/10/19/pdfs/GMD-1816-131.pdf#page=6","Abrir facsímil")</f>
        <v>Abrir facsímil</v>
      </c>
      <c r="K1094" s="3" t="s">
        <v>23</v>
      </c>
    </row>
    <row r="1095" spans="1:11" ht="42" customHeight="1">
      <c r="A1095" s="2" t="s">
        <v>2841</v>
      </c>
      <c r="B1095" s="2" t="s">
        <v>2842</v>
      </c>
      <c r="C1095" s="2" t="s">
        <v>111</v>
      </c>
      <c r="D1095" s="2" t="s">
        <v>56</v>
      </c>
      <c r="E1095" s="5">
        <v>-30393</v>
      </c>
      <c r="F1095" s="3" t="s">
        <v>202</v>
      </c>
      <c r="G1095" s="3" t="s">
        <v>645</v>
      </c>
      <c r="H1095" s="2" t="s">
        <v>21</v>
      </c>
      <c r="I1095" s="2" t="s">
        <v>2843</v>
      </c>
      <c r="J1095" s="3" t="str">
        <f>HYPERLINK("https://www.boe.es/gazeta/dias/1816/10/13/pdfs/GMD-1816-128E.pdf#page=4","Abrir facsímil")</f>
        <v>Abrir facsímil</v>
      </c>
      <c r="K1095" s="3" t="s">
        <v>23</v>
      </c>
    </row>
    <row r="1096" spans="1:11" ht="42" customHeight="1">
      <c r="A1096" s="2" t="s">
        <v>2844</v>
      </c>
      <c r="B1096" s="2" t="s">
        <v>2845</v>
      </c>
      <c r="C1096" s="2" t="s">
        <v>26</v>
      </c>
      <c r="D1096" s="2" t="s">
        <v>18</v>
      </c>
      <c r="E1096" s="5">
        <v>-30485</v>
      </c>
      <c r="F1096" s="3" t="s">
        <v>156</v>
      </c>
      <c r="G1096" s="3" t="s">
        <v>2846</v>
      </c>
      <c r="H1096" s="2" t="s">
        <v>21</v>
      </c>
      <c r="I1096" s="2" t="s">
        <v>2847</v>
      </c>
      <c r="J1096" s="3" t="str">
        <f>HYPERLINK("https://www.boe.es/gazeta/dias/1816/07/13/pdfs/GMD-1816-87.pdf#page=7","Abrir facsímil")</f>
        <v>Abrir facsímil</v>
      </c>
      <c r="K1096" s="3" t="s">
        <v>23</v>
      </c>
    </row>
    <row r="1097" spans="1:11" ht="42" customHeight="1">
      <c r="A1097" s="2" t="s">
        <v>2848</v>
      </c>
      <c r="B1097" s="2" t="s">
        <v>2849</v>
      </c>
      <c r="C1097" s="2" t="s">
        <v>26</v>
      </c>
      <c r="D1097" s="2" t="s">
        <v>18</v>
      </c>
      <c r="E1097" s="5">
        <v>-30408</v>
      </c>
      <c r="F1097" s="3" t="s">
        <v>295</v>
      </c>
      <c r="G1097" s="3" t="s">
        <v>42</v>
      </c>
      <c r="H1097" s="2" t="s">
        <v>21</v>
      </c>
      <c r="I1097" s="2" t="s">
        <v>2850</v>
      </c>
      <c r="J1097" s="3" t="str">
        <f>HYPERLINK("https://www.boe.es/gazeta/dias/1816/09/28/pdfs/GMD-1816-120.pdf#page=8","Abrir facsímil")</f>
        <v>Abrir facsímil</v>
      </c>
      <c r="K1097" s="3" t="s">
        <v>23</v>
      </c>
    </row>
    <row r="1098" spans="1:11" ht="42" customHeight="1">
      <c r="A1098" s="2" t="s">
        <v>2851</v>
      </c>
      <c r="B1098" s="2" t="s">
        <v>2852</v>
      </c>
      <c r="C1098" s="2" t="s">
        <v>67</v>
      </c>
      <c r="D1098" s="2" t="s">
        <v>18</v>
      </c>
      <c r="E1098" s="5">
        <v>-30482</v>
      </c>
      <c r="F1098" s="3" t="s">
        <v>370</v>
      </c>
      <c r="G1098" s="3" t="s">
        <v>180</v>
      </c>
      <c r="H1098" s="2" t="s">
        <v>21</v>
      </c>
      <c r="I1098" s="2" t="s">
        <v>2853</v>
      </c>
      <c r="J1098" s="3" t="str">
        <f>HYPERLINK("https://www.boe.es/gazeta/dias/1816/07/16/pdfs/GMD-1816-88.pdf#page=10","Abrir facsímil")</f>
        <v>Abrir facsímil</v>
      </c>
      <c r="K1098" s="3" t="s">
        <v>23</v>
      </c>
    </row>
    <row r="1099" spans="1:11" ht="42" customHeight="1">
      <c r="A1099" s="2" t="s">
        <v>2854</v>
      </c>
      <c r="B1099" s="2" t="s">
        <v>2855</v>
      </c>
      <c r="C1099" s="2" t="s">
        <v>111</v>
      </c>
      <c r="D1099" s="2" t="s">
        <v>112</v>
      </c>
      <c r="E1099" s="5">
        <v>-30377</v>
      </c>
      <c r="F1099" s="3" t="s">
        <v>138</v>
      </c>
      <c r="G1099" s="3" t="s">
        <v>47</v>
      </c>
      <c r="H1099" s="2" t="s">
        <v>21</v>
      </c>
      <c r="I1099" s="2" t="s">
        <v>2856</v>
      </c>
      <c r="J1099" s="3" t="str">
        <f>HYPERLINK("https://www.boe.es/gazeta/dias/1816/10/29/pdfs/GMD-1816-135.pdf#page=5","Abrir facsímil")</f>
        <v>Abrir facsímil</v>
      </c>
      <c r="K1099" s="3" t="s">
        <v>23</v>
      </c>
    </row>
    <row r="1100" spans="1:11" ht="42" customHeight="1">
      <c r="A1100" s="2" t="s">
        <v>2857</v>
      </c>
      <c r="B1100" s="2" t="s">
        <v>2858</v>
      </c>
      <c r="C1100" s="2" t="s">
        <v>26</v>
      </c>
      <c r="D1100" s="2" t="s">
        <v>18</v>
      </c>
      <c r="E1100" s="5">
        <v>-30408</v>
      </c>
      <c r="F1100" s="3" t="s">
        <v>295</v>
      </c>
      <c r="G1100" s="3" t="s">
        <v>42</v>
      </c>
      <c r="H1100" s="2" t="s">
        <v>21</v>
      </c>
      <c r="I1100" s="2" t="s">
        <v>2859</v>
      </c>
      <c r="J1100" s="3" t="str">
        <f>HYPERLINK("https://www.boe.es/gazeta/dias/1816/09/28/pdfs/GMD-1816-120.pdf#page=8","Abrir facsímil")</f>
        <v>Abrir facsímil</v>
      </c>
      <c r="K1100" s="3" t="s">
        <v>23</v>
      </c>
    </row>
    <row r="1101" spans="1:11" ht="42" customHeight="1">
      <c r="A1101" s="2" t="s">
        <v>2860</v>
      </c>
      <c r="B1101" s="2" t="s">
        <v>2861</v>
      </c>
      <c r="C1101" s="2" t="s">
        <v>111</v>
      </c>
      <c r="D1101" s="2" t="s">
        <v>112</v>
      </c>
      <c r="E1101" s="5">
        <v>-30557</v>
      </c>
      <c r="F1101" s="3" t="s">
        <v>508</v>
      </c>
      <c r="G1101" s="3" t="s">
        <v>42</v>
      </c>
      <c r="H1101" s="2" t="s">
        <v>21</v>
      </c>
      <c r="I1101" s="2" t="s">
        <v>2862</v>
      </c>
      <c r="J1101" s="3" t="str">
        <f>HYPERLINK("https://www.boe.es/gazeta/dias/1816/05/02/pdfs/GMD-1816-56.pdf#page=8","Abrir facsímil")</f>
        <v>Abrir facsímil</v>
      </c>
      <c r="K1101" s="3" t="s">
        <v>23</v>
      </c>
    </row>
    <row r="1102" spans="1:11" ht="42" customHeight="1">
      <c r="A1102" s="2" t="s">
        <v>2860</v>
      </c>
      <c r="B1102" s="2" t="s">
        <v>2861</v>
      </c>
      <c r="C1102" s="2" t="s">
        <v>34</v>
      </c>
      <c r="D1102" s="2" t="s">
        <v>35</v>
      </c>
      <c r="E1102" s="5">
        <v>-30415</v>
      </c>
      <c r="F1102" s="3" t="s">
        <v>585</v>
      </c>
      <c r="G1102" s="3" t="s">
        <v>52</v>
      </c>
      <c r="H1102" s="2" t="s">
        <v>21</v>
      </c>
      <c r="I1102" s="2" t="s">
        <v>2863</v>
      </c>
      <c r="J1102" s="3" t="str">
        <f>HYPERLINK("https://www.boe.es/gazeta/dias/1816/09/21/pdfs/GMD-1816-117.pdf#page=12","Abrir facsímil")</f>
        <v>Abrir facsímil</v>
      </c>
      <c r="K1102" s="3" t="s">
        <v>23</v>
      </c>
    </row>
    <row r="1103" spans="1:11" ht="42" customHeight="1">
      <c r="A1103" s="2" t="s">
        <v>2860</v>
      </c>
      <c r="B1103" s="2" t="s">
        <v>2861</v>
      </c>
      <c r="C1103" s="2" t="s">
        <v>111</v>
      </c>
      <c r="D1103" s="2" t="s">
        <v>112</v>
      </c>
      <c r="E1103" s="5">
        <v>-30328</v>
      </c>
      <c r="F1103" s="3" t="s">
        <v>573</v>
      </c>
      <c r="G1103" s="3" t="s">
        <v>42</v>
      </c>
      <c r="H1103" s="2" t="s">
        <v>21</v>
      </c>
      <c r="I1103" s="2" t="s">
        <v>2864</v>
      </c>
      <c r="J1103" s="3" t="str">
        <f>HYPERLINK("https://www.boe.es/gazeta/dias/1816/12/17/pdfs/GMD-1816-156.pdf#page=8","Abrir facsímil")</f>
        <v>Abrir facsímil</v>
      </c>
      <c r="K1103" s="3" t="s">
        <v>23</v>
      </c>
    </row>
    <row r="1104" spans="1:11" ht="42" customHeight="1">
      <c r="A1104" s="2" t="s">
        <v>2865</v>
      </c>
      <c r="B1104" s="2" t="s">
        <v>2866</v>
      </c>
      <c r="C1104" s="2" t="s">
        <v>34</v>
      </c>
      <c r="D1104" s="2" t="s">
        <v>35</v>
      </c>
      <c r="E1104" s="5">
        <v>-30678</v>
      </c>
      <c r="F1104" s="3" t="s">
        <v>76</v>
      </c>
      <c r="G1104" s="3" t="s">
        <v>77</v>
      </c>
      <c r="H1104" s="2" t="s">
        <v>29</v>
      </c>
      <c r="I1104" s="2" t="s">
        <v>2867</v>
      </c>
      <c r="J1104" s="3" t="str">
        <f>HYPERLINK("https://www.boe.es/gazeta/dias/1816/01/02/pdfs/GMD-1816-1.pdf#page=8","Abrir facsímil")</f>
        <v>Abrir facsímil</v>
      </c>
      <c r="K1104" s="3" t="s">
        <v>31</v>
      </c>
    </row>
    <row r="1105" spans="1:11" ht="42" customHeight="1">
      <c r="A1105" s="2" t="s">
        <v>2868</v>
      </c>
      <c r="B1105" s="2" t="s">
        <v>2869</v>
      </c>
      <c r="C1105" s="2" t="s">
        <v>111</v>
      </c>
      <c r="D1105" s="2" t="s">
        <v>112</v>
      </c>
      <c r="E1105" s="5">
        <v>-30676</v>
      </c>
      <c r="F1105" s="3" t="s">
        <v>1932</v>
      </c>
      <c r="G1105" s="3" t="s">
        <v>2724</v>
      </c>
      <c r="H1105" s="2" t="s">
        <v>21</v>
      </c>
      <c r="I1105" s="2" t="s">
        <v>2870</v>
      </c>
      <c r="J1105" s="3" t="str">
        <f>HYPERLINK("https://www.boe.es/gazeta/dias/1816/01/04/pdfs/GMD-1816-2.pdf#page=8","Abrir facsímil")</f>
        <v>Abrir facsímil</v>
      </c>
      <c r="K1105" s="3" t="s">
        <v>23</v>
      </c>
    </row>
    <row r="1106" spans="1:11" ht="42" customHeight="1">
      <c r="A1106" s="2" t="s">
        <v>2868</v>
      </c>
      <c r="B1106" s="2" t="s">
        <v>2869</v>
      </c>
      <c r="C1106" s="2" t="s">
        <v>111</v>
      </c>
      <c r="D1106" s="2" t="s">
        <v>112</v>
      </c>
      <c r="E1106" s="5">
        <v>-30634</v>
      </c>
      <c r="F1106" s="3" t="s">
        <v>1104</v>
      </c>
      <c r="G1106" s="3" t="s">
        <v>2234</v>
      </c>
      <c r="H1106" s="2" t="s">
        <v>21</v>
      </c>
      <c r="I1106" s="2" t="s">
        <v>2871</v>
      </c>
      <c r="J1106" s="3" t="str">
        <f>HYPERLINK("https://www.boe.es/gazeta/dias/1816/02/15/pdfs/GMD-1816-21.pdf#page=8","Abrir facsímil")</f>
        <v>Abrir facsímil</v>
      </c>
      <c r="K1106" s="3" t="s">
        <v>23</v>
      </c>
    </row>
    <row r="1107" spans="1:11" ht="42" customHeight="1">
      <c r="A1107" s="2" t="s">
        <v>2872</v>
      </c>
      <c r="B1107" s="2" t="s">
        <v>2873</v>
      </c>
      <c r="C1107" s="2" t="s">
        <v>111</v>
      </c>
      <c r="D1107" s="2" t="s">
        <v>112</v>
      </c>
      <c r="E1107" s="5">
        <v>-30632</v>
      </c>
      <c r="F1107" s="3" t="s">
        <v>89</v>
      </c>
      <c r="G1107" s="3" t="s">
        <v>42</v>
      </c>
      <c r="H1107" s="2" t="s">
        <v>21</v>
      </c>
      <c r="I1107" s="2" t="s">
        <v>2874</v>
      </c>
      <c r="J1107" s="3" t="str">
        <f>HYPERLINK("https://www.boe.es/gazeta/dias/1816/02/17/pdfs/GMD-1816-22.pdf#page=8","Abrir facsímil")</f>
        <v>Abrir facsímil</v>
      </c>
      <c r="K1107" s="3" t="s">
        <v>23</v>
      </c>
    </row>
    <row r="1108" spans="1:11" ht="42" customHeight="1">
      <c r="A1108" s="2" t="s">
        <v>2868</v>
      </c>
      <c r="B1108" s="2" t="s">
        <v>2869</v>
      </c>
      <c r="C1108" s="2" t="s">
        <v>111</v>
      </c>
      <c r="D1108" s="2" t="s">
        <v>112</v>
      </c>
      <c r="E1108" s="5">
        <v>-30613</v>
      </c>
      <c r="F1108" s="3" t="s">
        <v>392</v>
      </c>
      <c r="G1108" s="3" t="s">
        <v>1395</v>
      </c>
      <c r="H1108" s="2" t="s">
        <v>21</v>
      </c>
      <c r="I1108" s="2" t="s">
        <v>2875</v>
      </c>
      <c r="J1108" s="3" t="str">
        <f>HYPERLINK("https://www.boe.es/gazeta/dias/1816/03/07/pdfs/GMD-1816-31.pdf#page=8","Abrir facsímil")</f>
        <v>Abrir facsímil</v>
      </c>
      <c r="K1108" s="3" t="s">
        <v>23</v>
      </c>
    </row>
    <row r="1109" spans="1:11" ht="42" customHeight="1">
      <c r="A1109" s="2" t="s">
        <v>2868</v>
      </c>
      <c r="B1109" s="2" t="s">
        <v>2869</v>
      </c>
      <c r="C1109" s="2" t="s">
        <v>111</v>
      </c>
      <c r="D1109" s="2" t="s">
        <v>112</v>
      </c>
      <c r="E1109" s="5">
        <v>-30501</v>
      </c>
      <c r="F1109" s="3" t="s">
        <v>475</v>
      </c>
      <c r="G1109" s="3" t="s">
        <v>1735</v>
      </c>
      <c r="H1109" s="2" t="s">
        <v>21</v>
      </c>
      <c r="I1109" s="2" t="s">
        <v>2876</v>
      </c>
      <c r="J1109" s="3" t="str">
        <f>HYPERLINK("https://www.boe.es/gazeta/dias/1816/06/27/pdfs/GMD-1816-80.pdf#page=8","Abrir facsímil")</f>
        <v>Abrir facsímil</v>
      </c>
      <c r="K1109" s="3" t="s">
        <v>23</v>
      </c>
    </row>
    <row r="1110" spans="1:11" ht="42" customHeight="1">
      <c r="A1110" s="2" t="s">
        <v>2868</v>
      </c>
      <c r="B1110" s="2" t="s">
        <v>2869</v>
      </c>
      <c r="C1110" s="2" t="s">
        <v>111</v>
      </c>
      <c r="D1110" s="2" t="s">
        <v>112</v>
      </c>
      <c r="E1110" s="5">
        <v>-30468</v>
      </c>
      <c r="F1110" s="3" t="s">
        <v>383</v>
      </c>
      <c r="G1110" s="3" t="s">
        <v>42</v>
      </c>
      <c r="H1110" s="2" t="s">
        <v>21</v>
      </c>
      <c r="I1110" s="2" t="s">
        <v>2877</v>
      </c>
      <c r="J1110" s="3" t="str">
        <f>HYPERLINK("https://www.boe.es/gazeta/dias/1816/07/30/pdfs/GMD-1816-94.pdf#page=8","Abrir facsímil")</f>
        <v>Abrir facsímil</v>
      </c>
      <c r="K1110" s="3" t="s">
        <v>23</v>
      </c>
    </row>
    <row r="1111" spans="1:11" ht="42" customHeight="1">
      <c r="A1111" s="2" t="s">
        <v>2868</v>
      </c>
      <c r="B1111" s="2" t="s">
        <v>2869</v>
      </c>
      <c r="C1111" s="2" t="s">
        <v>111</v>
      </c>
      <c r="D1111" s="2" t="s">
        <v>112</v>
      </c>
      <c r="E1111" s="5">
        <v>-30440</v>
      </c>
      <c r="F1111" s="3" t="s">
        <v>564</v>
      </c>
      <c r="G1111" s="3" t="s">
        <v>2878</v>
      </c>
      <c r="H1111" s="2" t="s">
        <v>21</v>
      </c>
      <c r="I1111" s="2" t="s">
        <v>2879</v>
      </c>
      <c r="J1111" s="3" t="str">
        <f>HYPERLINK("https://www.boe.es/gazeta/dias/1816/08/27/pdfs/GMD-1816-106.pdf#page=8","Abrir facsímil")</f>
        <v>Abrir facsímil</v>
      </c>
      <c r="K1111" s="3" t="s">
        <v>23</v>
      </c>
    </row>
    <row r="1112" spans="1:11" ht="42" customHeight="1">
      <c r="A1112" s="2" t="s">
        <v>2868</v>
      </c>
      <c r="B1112" s="2" t="s">
        <v>2869</v>
      </c>
      <c r="C1112" s="2" t="s">
        <v>34</v>
      </c>
      <c r="D1112" s="2" t="s">
        <v>35</v>
      </c>
      <c r="E1112" s="5">
        <v>-30429</v>
      </c>
      <c r="F1112" s="3" t="s">
        <v>598</v>
      </c>
      <c r="G1112" s="3" t="s">
        <v>42</v>
      </c>
      <c r="H1112" s="2" t="s">
        <v>21</v>
      </c>
      <c r="I1112" s="2" t="s">
        <v>2880</v>
      </c>
      <c r="J1112" s="3" t="str">
        <f>HYPERLINK("https://www.boe.es/gazeta/dias/1816/09/07/pdfs/GMD-1816-111.pdf#page=8","Abrir facsímil")</f>
        <v>Abrir facsímil</v>
      </c>
      <c r="K1112" s="3" t="s">
        <v>23</v>
      </c>
    </row>
    <row r="1113" spans="1:11" ht="42" customHeight="1">
      <c r="A1113" s="2" t="s">
        <v>2868</v>
      </c>
      <c r="B1113" s="2" t="s">
        <v>2869</v>
      </c>
      <c r="C1113" s="2" t="s">
        <v>111</v>
      </c>
      <c r="D1113" s="2" t="s">
        <v>112</v>
      </c>
      <c r="E1113" s="5">
        <v>-30426</v>
      </c>
      <c r="F1113" s="3" t="s">
        <v>779</v>
      </c>
      <c r="G1113" s="3" t="s">
        <v>42</v>
      </c>
      <c r="H1113" s="2" t="s">
        <v>21</v>
      </c>
      <c r="I1113" s="2" t="s">
        <v>2881</v>
      </c>
      <c r="J1113" s="3" t="str">
        <f>HYPERLINK("https://www.boe.es/gazeta/dias/1816/09/10/pdfs/GMD-1816-112.pdf#page=8","Abrir facsímil")</f>
        <v>Abrir facsímil</v>
      </c>
      <c r="K1113" s="3" t="s">
        <v>23</v>
      </c>
    </row>
    <row r="1114" spans="1:11" ht="42" customHeight="1">
      <c r="A1114" s="2" t="s">
        <v>2868</v>
      </c>
      <c r="B1114" s="2" t="s">
        <v>2869</v>
      </c>
      <c r="C1114" s="2" t="s">
        <v>111</v>
      </c>
      <c r="D1114" s="2" t="s">
        <v>112</v>
      </c>
      <c r="E1114" s="5">
        <v>-30422</v>
      </c>
      <c r="F1114" s="3" t="s">
        <v>803</v>
      </c>
      <c r="G1114" s="3" t="s">
        <v>1405</v>
      </c>
      <c r="H1114" s="2" t="s">
        <v>21</v>
      </c>
      <c r="I1114" s="2" t="s">
        <v>2882</v>
      </c>
      <c r="J1114" s="3" t="str">
        <f>HYPERLINK("https://www.boe.es/gazeta/dias/1816/09/14/pdfs/GMD-1816-114.pdf#page=8","Abrir facsímil")</f>
        <v>Abrir facsímil</v>
      </c>
      <c r="K1114" s="3" t="s">
        <v>23</v>
      </c>
    </row>
    <row r="1115" spans="1:11" ht="42" customHeight="1">
      <c r="A1115" s="2" t="s">
        <v>2868</v>
      </c>
      <c r="B1115" s="2" t="s">
        <v>2869</v>
      </c>
      <c r="C1115" s="2" t="s">
        <v>111</v>
      </c>
      <c r="D1115" s="2" t="s">
        <v>112</v>
      </c>
      <c r="E1115" s="5">
        <v>-30403</v>
      </c>
      <c r="F1115" s="3" t="s">
        <v>1264</v>
      </c>
      <c r="G1115" s="3" t="s">
        <v>2883</v>
      </c>
      <c r="H1115" s="2" t="s">
        <v>21</v>
      </c>
      <c r="I1115" s="2" t="s">
        <v>2884</v>
      </c>
      <c r="J1115" s="3" t="str">
        <f>HYPERLINK("https://www.boe.es/gazeta/dias/1816/10/03/pdfs/GMD-1816-122.pdf#page=8","Abrir facsímil")</f>
        <v>Abrir facsímil</v>
      </c>
      <c r="K1115" s="3" t="s">
        <v>23</v>
      </c>
    </row>
    <row r="1116" spans="1:11" ht="42" customHeight="1">
      <c r="A1116" s="2" t="s">
        <v>2868</v>
      </c>
      <c r="B1116" s="2" t="s">
        <v>2869</v>
      </c>
      <c r="C1116" s="2" t="s">
        <v>111</v>
      </c>
      <c r="D1116" s="2" t="s">
        <v>112</v>
      </c>
      <c r="E1116" s="5">
        <v>-30401</v>
      </c>
      <c r="F1116" s="3" t="s">
        <v>652</v>
      </c>
      <c r="G1116" s="3" t="s">
        <v>42</v>
      </c>
      <c r="H1116" s="2" t="s">
        <v>21</v>
      </c>
      <c r="I1116" s="2" t="s">
        <v>2885</v>
      </c>
      <c r="J1116" s="3" t="str">
        <f>HYPERLINK("https://www.boe.es/gazeta/dias/1816/10/05/pdfs/GMD-1816-123.pdf#page=8","Abrir facsímil")</f>
        <v>Abrir facsímil</v>
      </c>
      <c r="K1116" s="3" t="s">
        <v>23</v>
      </c>
    </row>
    <row r="1117" spans="1:11" ht="42" customHeight="1">
      <c r="A1117" s="2" t="s">
        <v>2868</v>
      </c>
      <c r="B1117" s="2" t="s">
        <v>2869</v>
      </c>
      <c r="C1117" s="2" t="s">
        <v>111</v>
      </c>
      <c r="D1117" s="2" t="s">
        <v>112</v>
      </c>
      <c r="E1117" s="5">
        <v>-30387</v>
      </c>
      <c r="F1117" s="3" t="s">
        <v>224</v>
      </c>
      <c r="G1117" s="3" t="s">
        <v>42</v>
      </c>
      <c r="H1117" s="2" t="s">
        <v>21</v>
      </c>
      <c r="I1117" s="2" t="s">
        <v>2886</v>
      </c>
      <c r="J1117" s="3" t="str">
        <f>HYPERLINK("https://www.boe.es/gazeta/dias/1816/10/19/pdfs/GMD-1816-131.pdf#page=8","Abrir facsímil")</f>
        <v>Abrir facsímil</v>
      </c>
      <c r="K1117" s="3" t="s">
        <v>23</v>
      </c>
    </row>
    <row r="1118" spans="1:11" ht="42" customHeight="1">
      <c r="A1118" s="2" t="s">
        <v>2868</v>
      </c>
      <c r="B1118" s="2" t="s">
        <v>2869</v>
      </c>
      <c r="C1118" s="2" t="s">
        <v>111</v>
      </c>
      <c r="D1118" s="2" t="s">
        <v>112</v>
      </c>
      <c r="E1118" s="5">
        <v>-30384</v>
      </c>
      <c r="F1118" s="3" t="s">
        <v>460</v>
      </c>
      <c r="G1118" s="3" t="s">
        <v>932</v>
      </c>
      <c r="H1118" s="2" t="s">
        <v>21</v>
      </c>
      <c r="I1118" s="2" t="s">
        <v>2887</v>
      </c>
      <c r="J1118" s="3" t="str">
        <f>HYPERLINK("https://www.boe.es/gazeta/dias/1816/10/22/pdfs/GMD-1816-132.pdf#page=7","Abrir facsímil")</f>
        <v>Abrir facsímil</v>
      </c>
      <c r="K1118" s="3" t="s">
        <v>23</v>
      </c>
    </row>
    <row r="1119" spans="1:11" ht="42" customHeight="1">
      <c r="A1119" s="2" t="s">
        <v>2868</v>
      </c>
      <c r="B1119" s="2" t="s">
        <v>2869</v>
      </c>
      <c r="C1119" s="2" t="s">
        <v>111</v>
      </c>
      <c r="D1119" s="2" t="s">
        <v>112</v>
      </c>
      <c r="E1119" s="5">
        <v>-30363</v>
      </c>
      <c r="F1119" s="3" t="s">
        <v>570</v>
      </c>
      <c r="G1119" s="3" t="s">
        <v>42</v>
      </c>
      <c r="H1119" s="2" t="s">
        <v>21</v>
      </c>
      <c r="I1119" s="2" t="s">
        <v>2888</v>
      </c>
      <c r="J1119" s="3" t="str">
        <f>HYPERLINK("https://www.boe.es/gazeta/dias/1816/11/12/pdfs/GMD-1816-141.pdf#page=8","Abrir facsímil")</f>
        <v>Abrir facsímil</v>
      </c>
      <c r="K1119" s="3" t="s">
        <v>23</v>
      </c>
    </row>
    <row r="1120" spans="1:11" ht="42" customHeight="1">
      <c r="A1120" s="2" t="s">
        <v>2868</v>
      </c>
      <c r="B1120" s="2" t="s">
        <v>2869</v>
      </c>
      <c r="C1120" s="2" t="s">
        <v>111</v>
      </c>
      <c r="D1120" s="2" t="s">
        <v>112</v>
      </c>
      <c r="E1120" s="5">
        <v>-30361</v>
      </c>
      <c r="F1120" s="3" t="s">
        <v>1741</v>
      </c>
      <c r="G1120" s="3" t="s">
        <v>2889</v>
      </c>
      <c r="H1120" s="2" t="s">
        <v>21</v>
      </c>
      <c r="I1120" s="2" t="s">
        <v>2890</v>
      </c>
      <c r="J1120" s="3" t="str">
        <f>HYPERLINK("https://www.boe.es/gazeta/dias/1816/11/14/pdfs/GMD-1816-142.pdf#page=8","Abrir facsímil")</f>
        <v>Abrir facsímil</v>
      </c>
      <c r="K1120" s="3" t="s">
        <v>23</v>
      </c>
    </row>
    <row r="1121" spans="1:11" ht="42" customHeight="1">
      <c r="A1121" s="2" t="s">
        <v>2868</v>
      </c>
      <c r="B1121" s="2" t="s">
        <v>2869</v>
      </c>
      <c r="C1121" s="2" t="s">
        <v>111</v>
      </c>
      <c r="D1121" s="2" t="s">
        <v>112</v>
      </c>
      <c r="E1121" s="5">
        <v>-30356</v>
      </c>
      <c r="F1121" s="3" t="s">
        <v>824</v>
      </c>
      <c r="G1121" s="3" t="s">
        <v>42</v>
      </c>
      <c r="H1121" s="2" t="s">
        <v>21</v>
      </c>
      <c r="I1121" s="2" t="s">
        <v>2891</v>
      </c>
      <c r="J1121" s="3" t="str">
        <f>HYPERLINK("https://www.boe.es/gazeta/dias/1816/11/19/pdfs/GMD-1816-144.pdf#page=8","Abrir facsímil")</f>
        <v>Abrir facsímil</v>
      </c>
      <c r="K1121" s="3" t="s">
        <v>23</v>
      </c>
    </row>
    <row r="1122" spans="1:11" ht="42" customHeight="1">
      <c r="A1122" s="2" t="s">
        <v>2868</v>
      </c>
      <c r="B1122" s="2" t="s">
        <v>2869</v>
      </c>
      <c r="C1122" s="2" t="s">
        <v>111</v>
      </c>
      <c r="D1122" s="2" t="s">
        <v>112</v>
      </c>
      <c r="E1122" s="5">
        <v>-30342</v>
      </c>
      <c r="F1122" s="3" t="s">
        <v>116</v>
      </c>
      <c r="G1122" s="3" t="s">
        <v>42</v>
      </c>
      <c r="H1122" s="2" t="s">
        <v>21</v>
      </c>
      <c r="I1122" s="2" t="s">
        <v>2892</v>
      </c>
      <c r="J1122" s="3" t="str">
        <f>HYPERLINK("https://www.boe.es/gazeta/dias/1816/12/03/pdfs/GMD-1816-150.pdf#page=8","Abrir facsímil")</f>
        <v>Abrir facsímil</v>
      </c>
      <c r="K1122" s="3" t="s">
        <v>23</v>
      </c>
    </row>
    <row r="1123" spans="1:11" ht="42" customHeight="1">
      <c r="A1123" s="2" t="s">
        <v>2893</v>
      </c>
      <c r="B1123" s="2" t="s">
        <v>2894</v>
      </c>
      <c r="C1123" s="2" t="s">
        <v>26</v>
      </c>
      <c r="D1123" s="2" t="s">
        <v>18</v>
      </c>
      <c r="E1123" s="5">
        <v>-30387</v>
      </c>
      <c r="F1123" s="3" t="s">
        <v>224</v>
      </c>
      <c r="G1123" s="3" t="s">
        <v>72</v>
      </c>
      <c r="H1123" s="2" t="s">
        <v>21</v>
      </c>
      <c r="I1123" s="2" t="s">
        <v>2895</v>
      </c>
      <c r="J1123" s="3" t="str">
        <f>HYPERLINK("https://www.boe.es/gazeta/dias/1816/10/19/pdfs/GMD-1816-131.pdf#page=7","Abrir facsímil")</f>
        <v>Abrir facsímil</v>
      </c>
      <c r="K1123" s="3" t="s">
        <v>23</v>
      </c>
    </row>
    <row r="1124" spans="1:11" ht="42" customHeight="1">
      <c r="A1124" s="2" t="s">
        <v>2896</v>
      </c>
      <c r="B1124" s="2" t="s">
        <v>2897</v>
      </c>
      <c r="C1124" s="2" t="s">
        <v>26</v>
      </c>
      <c r="D1124" s="2" t="s">
        <v>18</v>
      </c>
      <c r="E1124" s="5">
        <v>-30597</v>
      </c>
      <c r="F1124" s="3" t="s">
        <v>696</v>
      </c>
      <c r="G1124" s="3" t="s">
        <v>2898</v>
      </c>
      <c r="H1124" s="2" t="s">
        <v>21</v>
      </c>
      <c r="I1124" s="2" t="s">
        <v>2899</v>
      </c>
      <c r="J1124" s="3" t="str">
        <f>HYPERLINK("https://www.boe.es/gazeta/dias/1816/03/23/pdfs/GMD-1816-39.pdf#page=7","Abrir facsímil")</f>
        <v>Abrir facsímil</v>
      </c>
      <c r="K1124" s="3" t="s">
        <v>23</v>
      </c>
    </row>
    <row r="1125" spans="1:11" ht="42" customHeight="1">
      <c r="A1125" s="2" t="s">
        <v>2896</v>
      </c>
      <c r="B1125" s="2" t="s">
        <v>2897</v>
      </c>
      <c r="C1125" s="2" t="s">
        <v>26</v>
      </c>
      <c r="D1125" s="2" t="s">
        <v>18</v>
      </c>
      <c r="E1125" s="5">
        <v>-30583</v>
      </c>
      <c r="F1125" s="3" t="s">
        <v>241</v>
      </c>
      <c r="G1125" s="3" t="s">
        <v>42</v>
      </c>
      <c r="H1125" s="2" t="s">
        <v>21</v>
      </c>
      <c r="I1125" s="2" t="s">
        <v>2900</v>
      </c>
      <c r="J1125" s="3" t="str">
        <f>HYPERLINK("https://www.boe.es/gazeta/dias/1816/04/06/pdfs/GMD-1816-45.pdf#page=8","Abrir facsímil")</f>
        <v>Abrir facsímil</v>
      </c>
      <c r="K1125" s="3" t="s">
        <v>23</v>
      </c>
    </row>
    <row r="1126" spans="1:11" ht="42" customHeight="1">
      <c r="A1126" s="2" t="s">
        <v>2901</v>
      </c>
      <c r="B1126" s="2" t="s">
        <v>2902</v>
      </c>
      <c r="C1126" s="2" t="s">
        <v>111</v>
      </c>
      <c r="D1126" s="2" t="s">
        <v>112</v>
      </c>
      <c r="E1126" s="5">
        <v>-30387</v>
      </c>
      <c r="F1126" s="3" t="s">
        <v>224</v>
      </c>
      <c r="G1126" s="3" t="s">
        <v>28</v>
      </c>
      <c r="H1126" s="2" t="s">
        <v>21</v>
      </c>
      <c r="I1126" s="2" t="s">
        <v>2903</v>
      </c>
      <c r="J1126" s="3" t="str">
        <f>HYPERLINK("https://www.boe.es/gazeta/dias/1816/10/19/pdfs/GMD-1816-131.pdf#page=6","Abrir facsímil")</f>
        <v>Abrir facsímil</v>
      </c>
      <c r="K1126" s="3" t="s">
        <v>23</v>
      </c>
    </row>
    <row r="1127" spans="1:11" ht="42" customHeight="1">
      <c r="A1127" s="2" t="s">
        <v>2904</v>
      </c>
      <c r="B1127" s="2" t="s">
        <v>2904</v>
      </c>
      <c r="C1127" s="2" t="s">
        <v>26</v>
      </c>
      <c r="D1127" s="2" t="s">
        <v>18</v>
      </c>
      <c r="E1127" s="5">
        <v>-30387</v>
      </c>
      <c r="F1127" s="3" t="s">
        <v>224</v>
      </c>
      <c r="G1127" s="3" t="s">
        <v>72</v>
      </c>
      <c r="H1127" s="2" t="s">
        <v>21</v>
      </c>
      <c r="I1127" s="2" t="s">
        <v>2905</v>
      </c>
      <c r="J1127" s="3" t="str">
        <f>HYPERLINK("https://www.boe.es/gazeta/dias/1816/10/19/pdfs/GMD-1816-131.pdf#page=7","Abrir facsímil")</f>
        <v>Abrir facsímil</v>
      </c>
      <c r="K1127" s="3" t="s">
        <v>23</v>
      </c>
    </row>
    <row r="1128" spans="1:11" ht="42" customHeight="1">
      <c r="A1128" s="2" t="s">
        <v>2906</v>
      </c>
      <c r="B1128" s="2" t="s">
        <v>2906</v>
      </c>
      <c r="C1128" s="2" t="s">
        <v>111</v>
      </c>
      <c r="D1128" s="2" t="s">
        <v>112</v>
      </c>
      <c r="E1128" s="5">
        <v>-30494</v>
      </c>
      <c r="F1128" s="3" t="s">
        <v>174</v>
      </c>
      <c r="G1128" s="3" t="s">
        <v>270</v>
      </c>
      <c r="H1128" s="2" t="s">
        <v>21</v>
      </c>
      <c r="I1128" s="2" t="s">
        <v>2907</v>
      </c>
      <c r="J1128" s="3" t="str">
        <f>HYPERLINK("https://www.boe.es/gazeta/dias/1816/07/04/pdfs/GMD-1816-83.pdf#page=2","Abrir facsímil")</f>
        <v>Abrir facsímil</v>
      </c>
      <c r="K1128" s="3" t="s">
        <v>23</v>
      </c>
    </row>
    <row r="1129" spans="1:11" ht="42" customHeight="1">
      <c r="A1129" s="2" t="s">
        <v>2908</v>
      </c>
      <c r="B1129" s="2" t="s">
        <v>2908</v>
      </c>
      <c r="C1129" s="2" t="s">
        <v>387</v>
      </c>
      <c r="D1129" s="2" t="s">
        <v>18</v>
      </c>
      <c r="E1129" s="5">
        <v>-30445</v>
      </c>
      <c r="F1129" s="3" t="s">
        <v>51</v>
      </c>
      <c r="G1129" s="3" t="s">
        <v>103</v>
      </c>
      <c r="H1129" s="2" t="s">
        <v>21</v>
      </c>
      <c r="I1129" s="2" t="s">
        <v>2909</v>
      </c>
      <c r="J1129" s="3" t="str">
        <f>HYPERLINK("https://www.boe.es/gazeta/dias/1816/08/22/pdfs/GMD-1816-104.pdf#page=4","Abrir facsímil")</f>
        <v>Abrir facsímil</v>
      </c>
      <c r="K1129" s="3" t="s">
        <v>23</v>
      </c>
    </row>
    <row r="1130" spans="1:11" ht="42" customHeight="1">
      <c r="A1130" s="2" t="s">
        <v>2910</v>
      </c>
      <c r="B1130" s="2" t="s">
        <v>2911</v>
      </c>
      <c r="C1130" s="2" t="s">
        <v>17</v>
      </c>
      <c r="D1130" s="2" t="s">
        <v>18</v>
      </c>
      <c r="E1130" s="5">
        <v>-30557</v>
      </c>
      <c r="F1130" s="3" t="s">
        <v>508</v>
      </c>
      <c r="G1130" s="3" t="s">
        <v>103</v>
      </c>
      <c r="H1130" s="2" t="s">
        <v>21</v>
      </c>
      <c r="I1130" s="2" t="s">
        <v>2912</v>
      </c>
      <c r="J1130" s="3" t="str">
        <f>HYPERLINK("https://www.boe.es/gazeta/dias/1816/05/02/pdfs/GMD-1816-56.pdf#page=4","Abrir facsímil")</f>
        <v>Abrir facsímil</v>
      </c>
      <c r="K1130" s="3" t="s">
        <v>23</v>
      </c>
    </row>
    <row r="1131" spans="1:11" ht="42" customHeight="1">
      <c r="A1131" s="2" t="s">
        <v>2913</v>
      </c>
      <c r="B1131" s="2" t="s">
        <v>2914</v>
      </c>
      <c r="C1131" s="2" t="s">
        <v>17</v>
      </c>
      <c r="D1131" s="2" t="s">
        <v>18</v>
      </c>
      <c r="E1131" s="5">
        <v>-30513</v>
      </c>
      <c r="F1131" s="3" t="s">
        <v>582</v>
      </c>
      <c r="G1131" s="3" t="s">
        <v>42</v>
      </c>
      <c r="H1131" s="2" t="s">
        <v>21</v>
      </c>
      <c r="I1131" s="2" t="s">
        <v>2915</v>
      </c>
      <c r="J1131" s="3" t="str">
        <f>HYPERLINK("https://www.boe.es/gazeta/dias/1816/06/15/pdfs/GMD-1816-75.pdf#page=8","Abrir facsímil")</f>
        <v>Abrir facsímil</v>
      </c>
      <c r="K1131" s="3" t="s">
        <v>23</v>
      </c>
    </row>
    <row r="1132" spans="1:11" ht="42" customHeight="1">
      <c r="A1132" s="2" t="s">
        <v>2916</v>
      </c>
      <c r="B1132" s="2" t="s">
        <v>2917</v>
      </c>
      <c r="C1132" s="2" t="s">
        <v>67</v>
      </c>
      <c r="D1132" s="2" t="s">
        <v>18</v>
      </c>
      <c r="E1132" s="5">
        <v>-30412</v>
      </c>
      <c r="F1132" s="3" t="s">
        <v>388</v>
      </c>
      <c r="G1132" s="3" t="s">
        <v>42</v>
      </c>
      <c r="H1132" s="2" t="s">
        <v>21</v>
      </c>
      <c r="I1132" s="2" t="s">
        <v>2918</v>
      </c>
      <c r="J1132" s="3" t="str">
        <f>HYPERLINK("https://www.boe.es/gazeta/dias/1816/09/24/pdfs/GMD-1816-118.pdf#page=8","Abrir facsímil")</f>
        <v>Abrir facsímil</v>
      </c>
      <c r="K1132" s="3" t="s">
        <v>23</v>
      </c>
    </row>
    <row r="1133" spans="1:11" ht="42" customHeight="1">
      <c r="A1133" s="2" t="s">
        <v>2919</v>
      </c>
      <c r="B1133" s="2" t="s">
        <v>2920</v>
      </c>
      <c r="C1133" s="2" t="s">
        <v>111</v>
      </c>
      <c r="D1133" s="2" t="s">
        <v>112</v>
      </c>
      <c r="E1133" s="5">
        <v>-30401</v>
      </c>
      <c r="F1133" s="3" t="s">
        <v>652</v>
      </c>
      <c r="G1133" s="3" t="s">
        <v>42</v>
      </c>
      <c r="H1133" s="2" t="s">
        <v>21</v>
      </c>
      <c r="I1133" s="2" t="s">
        <v>2921</v>
      </c>
      <c r="J1133" s="3" t="str">
        <f>HYPERLINK("https://www.boe.es/gazeta/dias/1816/10/05/pdfs/GMD-1816-123.pdf#page=8","Abrir facsímil")</f>
        <v>Abrir facsímil</v>
      </c>
      <c r="K1133" s="3" t="s">
        <v>23</v>
      </c>
    </row>
    <row r="1134" spans="1:11" ht="42" customHeight="1">
      <c r="A1134" s="2" t="s">
        <v>2922</v>
      </c>
      <c r="B1134" s="2" t="s">
        <v>2923</v>
      </c>
      <c r="C1134" s="2" t="s">
        <v>34</v>
      </c>
      <c r="D1134" s="2" t="s">
        <v>35</v>
      </c>
      <c r="E1134" s="5">
        <v>-30443</v>
      </c>
      <c r="F1134" s="3" t="s">
        <v>259</v>
      </c>
      <c r="G1134" s="3" t="s">
        <v>260</v>
      </c>
      <c r="H1134" s="2" t="s">
        <v>21</v>
      </c>
      <c r="I1134" s="2" t="s">
        <v>2924</v>
      </c>
      <c r="J1134" s="3" t="str">
        <f>HYPERLINK("https://www.boe.es/gazeta/dias/1816/08/24/pdfs/GMD-1816-105.pdf#page=8","Abrir facsímil")</f>
        <v>Abrir facsímil</v>
      </c>
      <c r="K1134" s="3" t="s">
        <v>23</v>
      </c>
    </row>
    <row r="1135" spans="1:11" ht="42" customHeight="1">
      <c r="A1135" s="2" t="s">
        <v>2925</v>
      </c>
      <c r="B1135" s="2" t="s">
        <v>2926</v>
      </c>
      <c r="C1135" s="2" t="s">
        <v>26</v>
      </c>
      <c r="D1135" s="2" t="s">
        <v>18</v>
      </c>
      <c r="E1135" s="5">
        <v>-30494</v>
      </c>
      <c r="F1135" s="3" t="s">
        <v>174</v>
      </c>
      <c r="G1135" s="3" t="s">
        <v>175</v>
      </c>
      <c r="H1135" s="2" t="s">
        <v>21</v>
      </c>
      <c r="I1135" s="2" t="s">
        <v>2927</v>
      </c>
      <c r="J1135" s="3" t="str">
        <f>HYPERLINK("https://www.boe.es/gazeta/dias/1816/07/04/pdfs/GMD-1816-83.pdf#page=11","Abrir facsímil")</f>
        <v>Abrir facsímil</v>
      </c>
      <c r="K1135" s="3" t="s">
        <v>23</v>
      </c>
    </row>
    <row r="1136" spans="1:11" ht="42" customHeight="1">
      <c r="A1136" s="2" t="s">
        <v>2928</v>
      </c>
      <c r="B1136" s="2" t="s">
        <v>2929</v>
      </c>
      <c r="C1136" s="2" t="s">
        <v>111</v>
      </c>
      <c r="D1136" s="2" t="s">
        <v>112</v>
      </c>
      <c r="E1136" s="5">
        <v>-30508</v>
      </c>
      <c r="F1136" s="3" t="s">
        <v>36</v>
      </c>
      <c r="G1136" s="3" t="s">
        <v>37</v>
      </c>
      <c r="H1136" s="2" t="s">
        <v>21</v>
      </c>
      <c r="I1136" s="2" t="s">
        <v>2930</v>
      </c>
      <c r="J1136" s="3" t="str">
        <f>HYPERLINK("https://www.boe.es/gazeta/dias/1816/06/20/pdfs/GMD-1816-77.pdf#page=7","Abrir facsímil")</f>
        <v>Abrir facsímil</v>
      </c>
      <c r="K1136" s="3" t="s">
        <v>23</v>
      </c>
    </row>
    <row r="1137" spans="1:11" ht="42" customHeight="1">
      <c r="A1137" s="2" t="s">
        <v>2928</v>
      </c>
      <c r="B1137" s="2" t="s">
        <v>2929</v>
      </c>
      <c r="C1137" s="2" t="s">
        <v>111</v>
      </c>
      <c r="D1137" s="2" t="s">
        <v>112</v>
      </c>
      <c r="E1137" s="5">
        <v>-30396</v>
      </c>
      <c r="F1137" s="3" t="s">
        <v>1623</v>
      </c>
      <c r="G1137" s="3" t="s">
        <v>52</v>
      </c>
      <c r="H1137" s="2" t="s">
        <v>21</v>
      </c>
      <c r="I1137" s="2" t="s">
        <v>2931</v>
      </c>
      <c r="J1137" s="3" t="str">
        <f>HYPERLINK("https://www.boe.es/gazeta/dias/1816/10/10/pdfs/GMD-1816-126.pdf#page=12","Abrir facsímil")</f>
        <v>Abrir facsímil</v>
      </c>
      <c r="K1137" s="3" t="s">
        <v>23</v>
      </c>
    </row>
    <row r="1138" spans="1:11" ht="42" customHeight="1">
      <c r="A1138" s="2" t="s">
        <v>2928</v>
      </c>
      <c r="B1138" s="2" t="s">
        <v>2929</v>
      </c>
      <c r="C1138" s="2" t="s">
        <v>111</v>
      </c>
      <c r="D1138" s="2" t="s">
        <v>112</v>
      </c>
      <c r="E1138" s="5">
        <v>-30394</v>
      </c>
      <c r="F1138" s="3" t="s">
        <v>589</v>
      </c>
      <c r="G1138" s="3" t="s">
        <v>42</v>
      </c>
      <c r="H1138" s="2" t="s">
        <v>21</v>
      </c>
      <c r="I1138" s="2" t="s">
        <v>2932</v>
      </c>
      <c r="J1138" s="3" t="str">
        <f>HYPERLINK("https://www.boe.es/gazeta/dias/1816/10/12/pdfs/GMD-1816-127.pdf#page=8","Abrir facsímil")</f>
        <v>Abrir facsímil</v>
      </c>
      <c r="K1138" s="3" t="s">
        <v>23</v>
      </c>
    </row>
    <row r="1139" spans="1:11" ht="42" customHeight="1">
      <c r="A1139" s="2" t="s">
        <v>2933</v>
      </c>
      <c r="B1139" s="2" t="s">
        <v>2934</v>
      </c>
      <c r="C1139" s="2" t="s">
        <v>34</v>
      </c>
      <c r="D1139" s="2" t="s">
        <v>35</v>
      </c>
      <c r="E1139" s="5">
        <v>-30555</v>
      </c>
      <c r="F1139" s="3" t="s">
        <v>345</v>
      </c>
      <c r="G1139" s="3" t="s">
        <v>72</v>
      </c>
      <c r="H1139" s="2" t="s">
        <v>21</v>
      </c>
      <c r="I1139" s="2" t="s">
        <v>2935</v>
      </c>
      <c r="J1139" s="3" t="str">
        <f>HYPERLINK("https://www.boe.es/gazeta/dias/1816/05/04/pdfs/GMD-1816-57.pdf#page=7","Abrir facsímil")</f>
        <v>Abrir facsímil</v>
      </c>
      <c r="K1139" s="3" t="s">
        <v>23</v>
      </c>
    </row>
    <row r="1140" spans="1:11" ht="42" customHeight="1">
      <c r="A1140" s="2" t="s">
        <v>2936</v>
      </c>
      <c r="B1140" s="2" t="s">
        <v>2937</v>
      </c>
      <c r="C1140" s="2" t="s">
        <v>34</v>
      </c>
      <c r="D1140" s="2" t="s">
        <v>35</v>
      </c>
      <c r="E1140" s="5">
        <v>-30487</v>
      </c>
      <c r="F1140" s="3" t="s">
        <v>397</v>
      </c>
      <c r="G1140" s="3" t="s">
        <v>175</v>
      </c>
      <c r="H1140" s="2" t="s">
        <v>21</v>
      </c>
      <c r="I1140" s="2" t="s">
        <v>2938</v>
      </c>
      <c r="J1140" s="3" t="str">
        <f>HYPERLINK("https://www.boe.es/gazeta/dias/1816/07/11/pdfs/GMD-1816-86.pdf#page=11","Abrir facsímil")</f>
        <v>Abrir facsímil</v>
      </c>
      <c r="K1140" s="3" t="s">
        <v>23</v>
      </c>
    </row>
    <row r="1141" spans="1:11" ht="42" customHeight="1">
      <c r="A1141" s="2" t="s">
        <v>2939</v>
      </c>
      <c r="B1141" s="2" t="s">
        <v>2940</v>
      </c>
      <c r="C1141" s="2" t="s">
        <v>111</v>
      </c>
      <c r="D1141" s="2" t="s">
        <v>112</v>
      </c>
      <c r="E1141" s="5">
        <v>-30431</v>
      </c>
      <c r="F1141" s="3" t="s">
        <v>756</v>
      </c>
      <c r="G1141" s="3" t="s">
        <v>47</v>
      </c>
      <c r="H1141" s="2" t="s">
        <v>21</v>
      </c>
      <c r="I1141" s="2" t="s">
        <v>2941</v>
      </c>
      <c r="J1141" s="3" t="str">
        <f>HYPERLINK("https://www.boe.es/gazeta/dias/1816/09/05/pdfs/GMD-1816-110.pdf#page=5","Abrir facsímil")</f>
        <v>Abrir facsímil</v>
      </c>
      <c r="K1141" s="3" t="s">
        <v>23</v>
      </c>
    </row>
    <row r="1142" spans="1:11" ht="42" customHeight="1">
      <c r="A1142" s="2" t="s">
        <v>2942</v>
      </c>
      <c r="B1142" s="2" t="s">
        <v>2943</v>
      </c>
      <c r="C1142" s="2" t="s">
        <v>67</v>
      </c>
      <c r="D1142" s="2" t="s">
        <v>18</v>
      </c>
      <c r="E1142" s="5">
        <v>-30443</v>
      </c>
      <c r="F1142" s="3" t="s">
        <v>259</v>
      </c>
      <c r="G1142" s="3" t="s">
        <v>72</v>
      </c>
      <c r="H1142" s="2" t="s">
        <v>21</v>
      </c>
      <c r="I1142" s="2" t="s">
        <v>2944</v>
      </c>
      <c r="J1142" s="3" t="str">
        <f>HYPERLINK("https://www.boe.es/gazeta/dias/1816/08/24/pdfs/GMD-1816-105.pdf#page=7","Abrir facsímil")</f>
        <v>Abrir facsímil</v>
      </c>
      <c r="K1142" s="3" t="s">
        <v>23</v>
      </c>
    </row>
    <row r="1143" spans="1:11" ht="42" customHeight="1">
      <c r="A1143" s="2" t="s">
        <v>2945</v>
      </c>
      <c r="B1143" s="2" t="s">
        <v>2946</v>
      </c>
      <c r="C1143" s="2" t="s">
        <v>111</v>
      </c>
      <c r="D1143" s="2" t="s">
        <v>112</v>
      </c>
      <c r="E1143" s="5">
        <v>-30387</v>
      </c>
      <c r="F1143" s="3" t="s">
        <v>224</v>
      </c>
      <c r="G1143" s="3" t="s">
        <v>103</v>
      </c>
      <c r="H1143" s="2" t="s">
        <v>21</v>
      </c>
      <c r="I1143" s="2" t="s">
        <v>2947</v>
      </c>
      <c r="J1143" s="3" t="str">
        <f>HYPERLINK("https://www.boe.es/gazeta/dias/1816/10/19/pdfs/GMD-1816-131.pdf#page=4","Abrir facsímil")</f>
        <v>Abrir facsímil</v>
      </c>
      <c r="K1143" s="3" t="s">
        <v>23</v>
      </c>
    </row>
    <row r="1144" spans="1:11" ht="42" customHeight="1">
      <c r="A1144" s="2" t="s">
        <v>2948</v>
      </c>
      <c r="B1144" s="2" t="s">
        <v>2948</v>
      </c>
      <c r="C1144" s="2" t="s">
        <v>34</v>
      </c>
      <c r="D1144" s="2" t="s">
        <v>35</v>
      </c>
      <c r="E1144" s="5">
        <v>-30433</v>
      </c>
      <c r="F1144" s="3" t="s">
        <v>954</v>
      </c>
      <c r="G1144" s="3" t="s">
        <v>1124</v>
      </c>
      <c r="H1144" s="2" t="s">
        <v>21</v>
      </c>
      <c r="I1144" s="2" t="s">
        <v>2949</v>
      </c>
      <c r="J1144" s="3" t="str">
        <f>HYPERLINK("https://www.boe.es/gazeta/dias/1816/09/03/pdfs/GMD-1816-109.pdf#page=8","Abrir facsímil")</f>
        <v>Abrir facsímil</v>
      </c>
      <c r="K1144" s="3" t="s">
        <v>23</v>
      </c>
    </row>
    <row r="1145" spans="1:11" ht="42" customHeight="1">
      <c r="A1145" s="2" t="s">
        <v>2950</v>
      </c>
      <c r="B1145" s="2" t="s">
        <v>2951</v>
      </c>
      <c r="C1145" s="2" t="s">
        <v>111</v>
      </c>
      <c r="D1145" s="2" t="s">
        <v>112</v>
      </c>
      <c r="E1145" s="5">
        <v>-30499</v>
      </c>
      <c r="F1145" s="3" t="s">
        <v>971</v>
      </c>
      <c r="G1145" s="3" t="s">
        <v>2505</v>
      </c>
      <c r="H1145" s="2" t="s">
        <v>21</v>
      </c>
      <c r="I1145" s="2" t="s">
        <v>2952</v>
      </c>
      <c r="J1145" s="3" t="str">
        <f>HYPERLINK("https://www.boe.es/gazeta/dias/1816/06/29/pdfs/GMD-1816-81.pdf#page=4","Abrir facsímil")</f>
        <v>Abrir facsímil</v>
      </c>
      <c r="K1145" s="3" t="s">
        <v>23</v>
      </c>
    </row>
    <row r="1146" spans="1:11" ht="42" customHeight="1">
      <c r="A1146" s="2" t="s">
        <v>2953</v>
      </c>
      <c r="B1146" s="2" t="s">
        <v>2954</v>
      </c>
      <c r="C1146" s="2" t="s">
        <v>111</v>
      </c>
      <c r="D1146" s="2" t="s">
        <v>56</v>
      </c>
      <c r="E1146" s="5">
        <v>-30653</v>
      </c>
      <c r="F1146" s="3" t="s">
        <v>1023</v>
      </c>
      <c r="G1146" s="3" t="s">
        <v>270</v>
      </c>
      <c r="H1146" s="2" t="s">
        <v>21</v>
      </c>
      <c r="I1146" s="2" t="s">
        <v>2955</v>
      </c>
      <c r="J1146" s="3" t="str">
        <f>HYPERLINK("https://www.boe.es/gazeta/dias/1816/01/27/pdfs/GMD-1816-13E.pdf#page=2","Abrir facsímil")</f>
        <v>Abrir facsímil</v>
      </c>
      <c r="K1146" s="3" t="s">
        <v>23</v>
      </c>
    </row>
    <row r="1147" spans="1:11" ht="42" customHeight="1">
      <c r="A1147" s="2" t="s">
        <v>2953</v>
      </c>
      <c r="B1147" s="2" t="s">
        <v>2954</v>
      </c>
      <c r="C1147" s="2" t="s">
        <v>34</v>
      </c>
      <c r="D1147" s="2" t="s">
        <v>35</v>
      </c>
      <c r="E1147" s="5">
        <v>-30557</v>
      </c>
      <c r="F1147" s="3" t="s">
        <v>508</v>
      </c>
      <c r="G1147" s="3" t="s">
        <v>47</v>
      </c>
      <c r="H1147" s="2" t="s">
        <v>21</v>
      </c>
      <c r="I1147" s="2" t="s">
        <v>2956</v>
      </c>
      <c r="J1147" s="3" t="str">
        <f>HYPERLINK("https://www.boe.es/gazeta/dias/1816/05/02/pdfs/GMD-1816-56.pdf#page=5","Abrir facsímil")</f>
        <v>Abrir facsímil</v>
      </c>
      <c r="K1147" s="3" t="s">
        <v>23</v>
      </c>
    </row>
    <row r="1148" spans="1:11" ht="42" customHeight="1">
      <c r="A1148" s="2" t="s">
        <v>2957</v>
      </c>
      <c r="B1148" s="2" t="s">
        <v>2958</v>
      </c>
      <c r="C1148" s="2" t="s">
        <v>111</v>
      </c>
      <c r="D1148" s="2" t="s">
        <v>112</v>
      </c>
      <c r="E1148" s="5">
        <v>-30445</v>
      </c>
      <c r="F1148" s="3" t="s">
        <v>51</v>
      </c>
      <c r="G1148" s="3" t="s">
        <v>52</v>
      </c>
      <c r="H1148" s="2" t="s">
        <v>21</v>
      </c>
      <c r="I1148" s="2" t="s">
        <v>2959</v>
      </c>
      <c r="J1148" s="3" t="str">
        <f>HYPERLINK("https://www.boe.es/gazeta/dias/1816/08/22/pdfs/GMD-1816-104.pdf#page=12","Abrir facsímil")</f>
        <v>Abrir facsímil</v>
      </c>
      <c r="K1148" s="3" t="s">
        <v>23</v>
      </c>
    </row>
    <row r="1149" spans="1:11" ht="42" customHeight="1">
      <c r="A1149" s="2" t="s">
        <v>2960</v>
      </c>
      <c r="B1149" s="2" t="s">
        <v>2961</v>
      </c>
      <c r="C1149" s="2" t="s">
        <v>26</v>
      </c>
      <c r="D1149" s="2" t="s">
        <v>18</v>
      </c>
      <c r="E1149" s="5">
        <v>-30494</v>
      </c>
      <c r="F1149" s="3" t="s">
        <v>174</v>
      </c>
      <c r="G1149" s="3" t="s">
        <v>175</v>
      </c>
      <c r="H1149" s="2" t="s">
        <v>21</v>
      </c>
      <c r="I1149" s="2" t="s">
        <v>2962</v>
      </c>
      <c r="J1149" s="3" t="str">
        <f>HYPERLINK("https://www.boe.es/gazeta/dias/1816/07/04/pdfs/GMD-1816-83.pdf#page=11","Abrir facsímil")</f>
        <v>Abrir facsímil</v>
      </c>
      <c r="K1149" s="3" t="s">
        <v>23</v>
      </c>
    </row>
    <row r="1150" spans="1:11" ht="42" customHeight="1">
      <c r="A1150" s="2" t="s">
        <v>2963</v>
      </c>
      <c r="B1150" s="2" t="s">
        <v>2963</v>
      </c>
      <c r="C1150" s="2" t="s">
        <v>34</v>
      </c>
      <c r="D1150" s="2" t="s">
        <v>35</v>
      </c>
      <c r="E1150" s="5">
        <v>-30366</v>
      </c>
      <c r="F1150" s="3" t="s">
        <v>179</v>
      </c>
      <c r="G1150" s="3" t="s">
        <v>72</v>
      </c>
      <c r="H1150" s="2" t="s">
        <v>21</v>
      </c>
      <c r="I1150" s="2" t="s">
        <v>2964</v>
      </c>
      <c r="J1150" s="3" t="str">
        <f>HYPERLINK("https://www.boe.es/gazeta/dias/1816/11/09/pdfs/GMD-1816-140.pdf#page=7","Abrir facsímil")</f>
        <v>Abrir facsímil</v>
      </c>
      <c r="K1150" s="3" t="s">
        <v>23</v>
      </c>
    </row>
    <row r="1151" spans="1:11" ht="42" customHeight="1">
      <c r="A1151" s="2" t="s">
        <v>2965</v>
      </c>
      <c r="B1151" s="2" t="s">
        <v>2966</v>
      </c>
      <c r="C1151" s="2" t="s">
        <v>111</v>
      </c>
      <c r="D1151" s="2" t="s">
        <v>112</v>
      </c>
      <c r="E1151" s="5">
        <v>-30506</v>
      </c>
      <c r="F1151" s="3" t="s">
        <v>220</v>
      </c>
      <c r="G1151" s="3" t="s">
        <v>103</v>
      </c>
      <c r="H1151" s="2" t="s">
        <v>21</v>
      </c>
      <c r="I1151" s="2" t="s">
        <v>2967</v>
      </c>
      <c r="J1151" s="3" t="str">
        <f>HYPERLINK("https://www.boe.es/gazeta/dias/1816/06/22/pdfs/GMD-1816-78.pdf#page=4","Abrir facsímil")</f>
        <v>Abrir facsímil</v>
      </c>
      <c r="K1151" s="3" t="s">
        <v>23</v>
      </c>
    </row>
    <row r="1152" spans="1:11" ht="42" customHeight="1">
      <c r="A1152" s="2" t="s">
        <v>2968</v>
      </c>
      <c r="B1152" s="2" t="s">
        <v>2969</v>
      </c>
      <c r="C1152" s="2" t="s">
        <v>26</v>
      </c>
      <c r="D1152" s="2" t="s">
        <v>18</v>
      </c>
      <c r="E1152" s="5">
        <v>-30492</v>
      </c>
      <c r="F1152" s="3" t="s">
        <v>248</v>
      </c>
      <c r="G1152" s="3" t="s">
        <v>92</v>
      </c>
      <c r="H1152" s="2" t="s">
        <v>29</v>
      </c>
      <c r="I1152" s="2" t="s">
        <v>2970</v>
      </c>
      <c r="J1152" s="3" t="str">
        <f>HYPERLINK("https://www.boe.es/gazeta/dias/1816/07/06/pdfs/GMD-1816-84.pdf#page=9","Abrir facsímil")</f>
        <v>Abrir facsímil</v>
      </c>
      <c r="K1152" s="3" t="s">
        <v>31</v>
      </c>
    </row>
    <row r="1153" spans="1:11" ht="42" customHeight="1">
      <c r="A1153" s="2" t="s">
        <v>2971</v>
      </c>
      <c r="B1153" s="2" t="s">
        <v>2972</v>
      </c>
      <c r="C1153" s="2" t="s">
        <v>41</v>
      </c>
      <c r="D1153" s="2" t="s">
        <v>18</v>
      </c>
      <c r="E1153" s="5">
        <v>-30641</v>
      </c>
      <c r="F1153" s="3" t="s">
        <v>192</v>
      </c>
      <c r="G1153" s="3" t="s">
        <v>72</v>
      </c>
      <c r="H1153" s="2" t="s">
        <v>21</v>
      </c>
      <c r="I1153" s="2" t="s">
        <v>2973</v>
      </c>
      <c r="J1153" s="3" t="str">
        <f>HYPERLINK("https://www.boe.es/gazeta/dias/1816/02/08/pdfs/GMD-1816-18.pdf#page=7","Abrir facsímil")</f>
        <v>Abrir facsímil</v>
      </c>
      <c r="K1153" s="3" t="s">
        <v>23</v>
      </c>
    </row>
    <row r="1154" spans="1:11" ht="42" customHeight="1">
      <c r="A1154" s="2" t="s">
        <v>2974</v>
      </c>
      <c r="B1154" s="2" t="s">
        <v>2975</v>
      </c>
      <c r="C1154" s="2" t="s">
        <v>111</v>
      </c>
      <c r="D1154" s="2" t="s">
        <v>112</v>
      </c>
      <c r="E1154" s="5">
        <v>-30482</v>
      </c>
      <c r="F1154" s="3" t="s">
        <v>370</v>
      </c>
      <c r="G1154" s="3" t="s">
        <v>103</v>
      </c>
      <c r="H1154" s="2" t="s">
        <v>21</v>
      </c>
      <c r="I1154" s="2" t="s">
        <v>2976</v>
      </c>
      <c r="J1154" s="3" t="str">
        <f>HYPERLINK("https://www.boe.es/gazeta/dias/1816/07/16/pdfs/GMD-1816-88.pdf#page=4","Abrir facsímil")</f>
        <v>Abrir facsímil</v>
      </c>
      <c r="K1154" s="3" t="s">
        <v>23</v>
      </c>
    </row>
    <row r="1155" spans="1:11" ht="42" customHeight="1">
      <c r="A1155" s="2" t="s">
        <v>2977</v>
      </c>
      <c r="B1155" s="2" t="s">
        <v>2978</v>
      </c>
      <c r="C1155" s="2" t="s">
        <v>26</v>
      </c>
      <c r="D1155" s="2" t="s">
        <v>18</v>
      </c>
      <c r="E1155" s="5">
        <v>-30457</v>
      </c>
      <c r="F1155" s="3" t="s">
        <v>539</v>
      </c>
      <c r="G1155" s="3" t="s">
        <v>42</v>
      </c>
      <c r="H1155" s="2" t="s">
        <v>21</v>
      </c>
      <c r="I1155" s="2" t="s">
        <v>2979</v>
      </c>
      <c r="J1155" s="3" t="str">
        <f>HYPERLINK("https://www.boe.es/gazeta/dias/1816/08/10/pdfs/GMD-1816-99.pdf#page=8","Abrir facsímil")</f>
        <v>Abrir facsímil</v>
      </c>
      <c r="K1155" s="3" t="s">
        <v>23</v>
      </c>
    </row>
    <row r="1156" spans="1:11" ht="42" customHeight="1">
      <c r="A1156" s="2" t="s">
        <v>2980</v>
      </c>
      <c r="B1156" s="2" t="s">
        <v>2981</v>
      </c>
      <c r="C1156" s="2" t="s">
        <v>26</v>
      </c>
      <c r="D1156" s="2" t="s">
        <v>18</v>
      </c>
      <c r="E1156" s="5">
        <v>-30387</v>
      </c>
      <c r="F1156" s="3" t="s">
        <v>224</v>
      </c>
      <c r="G1156" s="3" t="s">
        <v>184</v>
      </c>
      <c r="H1156" s="2" t="s">
        <v>29</v>
      </c>
      <c r="I1156" s="2" t="s">
        <v>2982</v>
      </c>
      <c r="J1156" s="3" t="str">
        <f>HYPERLINK("https://www.boe.es/gazeta/dias/1816/10/19/pdfs/GMD-1816-131.pdf#page=3","Abrir facsímil")</f>
        <v>Abrir facsímil</v>
      </c>
      <c r="K1156" s="3" t="s">
        <v>31</v>
      </c>
    </row>
    <row r="1157" spans="1:11" ht="42" customHeight="1">
      <c r="A1157" s="2" t="s">
        <v>2983</v>
      </c>
      <c r="B1157" s="2" t="s">
        <v>2984</v>
      </c>
      <c r="C1157" s="2" t="s">
        <v>26</v>
      </c>
      <c r="D1157" s="2" t="s">
        <v>18</v>
      </c>
      <c r="E1157" s="5">
        <v>-30655</v>
      </c>
      <c r="F1157" s="3" t="s">
        <v>170</v>
      </c>
      <c r="G1157" s="3" t="s">
        <v>72</v>
      </c>
      <c r="H1157" s="2" t="s">
        <v>21</v>
      </c>
      <c r="I1157" s="2" t="s">
        <v>2985</v>
      </c>
      <c r="J1157" s="3" t="str">
        <f>HYPERLINK("https://www.boe.es/gazeta/dias/1816/01/25/pdfs/GMD-1816-11.pdf#page=7","Abrir facsímil")</f>
        <v>Abrir facsímil</v>
      </c>
      <c r="K1157" s="3" t="s">
        <v>23</v>
      </c>
    </row>
    <row r="1158" spans="1:11" ht="42" customHeight="1">
      <c r="A1158" s="2" t="s">
        <v>2986</v>
      </c>
      <c r="B1158" s="2" t="s">
        <v>2987</v>
      </c>
      <c r="C1158" s="2" t="s">
        <v>26</v>
      </c>
      <c r="D1158" s="2" t="s">
        <v>18</v>
      </c>
      <c r="E1158" s="5">
        <v>-30655</v>
      </c>
      <c r="F1158" s="3" t="s">
        <v>170</v>
      </c>
      <c r="G1158" s="3" t="s">
        <v>850</v>
      </c>
      <c r="H1158" s="2" t="s">
        <v>21</v>
      </c>
      <c r="I1158" s="2" t="s">
        <v>2988</v>
      </c>
      <c r="J1158" s="3" t="str">
        <f>HYPERLINK("https://www.boe.es/gazeta/dias/1816/01/25/pdfs/GMD-1816-11.pdf#page=6","Abrir facsímil")</f>
        <v>Abrir facsímil</v>
      </c>
      <c r="K1158" s="3" t="s">
        <v>23</v>
      </c>
    </row>
    <row r="1159" spans="1:11" ht="42" customHeight="1">
      <c r="A1159" s="2" t="s">
        <v>2989</v>
      </c>
      <c r="B1159" s="2" t="s">
        <v>2990</v>
      </c>
      <c r="C1159" s="2" t="s">
        <v>26</v>
      </c>
      <c r="D1159" s="2" t="s">
        <v>56</v>
      </c>
      <c r="E1159" s="5">
        <v>-30393</v>
      </c>
      <c r="F1159" s="3" t="s">
        <v>202</v>
      </c>
      <c r="G1159" s="3" t="s">
        <v>834</v>
      </c>
      <c r="H1159" s="2" t="s">
        <v>21</v>
      </c>
      <c r="I1159" s="2" t="s">
        <v>2991</v>
      </c>
      <c r="J1159" s="3" t="str">
        <f>HYPERLINK("https://www.boe.es/gazeta/dias/1816/10/13/pdfs/GMD-1816-128E.pdf#page=6","Abrir facsímil")</f>
        <v>Abrir facsímil</v>
      </c>
      <c r="K1159" s="3" t="s">
        <v>23</v>
      </c>
    </row>
    <row r="1160" spans="1:11" ht="42" customHeight="1">
      <c r="A1160" s="2" t="s">
        <v>2992</v>
      </c>
      <c r="B1160" s="2" t="s">
        <v>2993</v>
      </c>
      <c r="C1160" s="2" t="s">
        <v>26</v>
      </c>
      <c r="D1160" s="2" t="s">
        <v>18</v>
      </c>
      <c r="E1160" s="5">
        <v>-30347</v>
      </c>
      <c r="F1160" s="3" t="s">
        <v>2994</v>
      </c>
      <c r="G1160" s="3" t="s">
        <v>72</v>
      </c>
      <c r="H1160" s="2" t="s">
        <v>21</v>
      </c>
      <c r="I1160" s="2" t="s">
        <v>2995</v>
      </c>
      <c r="J1160" s="3" t="str">
        <f>HYPERLINK("https://www.boe.es/gazeta/dias/1816/11/28/pdfs/GMD-1816-148.pdf#page=7","Abrir facsímil")</f>
        <v>Abrir facsímil</v>
      </c>
      <c r="K1160" s="3" t="s">
        <v>23</v>
      </c>
    </row>
    <row r="1161" spans="1:11" ht="42" customHeight="1">
      <c r="A1161" s="2" t="s">
        <v>2996</v>
      </c>
      <c r="B1161" s="2" t="s">
        <v>2997</v>
      </c>
      <c r="C1161" s="2" t="s">
        <v>26</v>
      </c>
      <c r="D1161" s="2" t="s">
        <v>56</v>
      </c>
      <c r="E1161" s="5">
        <v>-30393</v>
      </c>
      <c r="F1161" s="3" t="s">
        <v>202</v>
      </c>
      <c r="G1161" s="3" t="s">
        <v>203</v>
      </c>
      <c r="H1161" s="2" t="s">
        <v>21</v>
      </c>
      <c r="I1161" s="2" t="s">
        <v>2998</v>
      </c>
      <c r="J1161" s="3" t="str">
        <f>HYPERLINK("https://www.boe.es/gazeta/dias/1816/10/13/pdfs/GMD-1816-128E.pdf#page=7","Abrir facsímil")</f>
        <v>Abrir facsímil</v>
      </c>
      <c r="K1161" s="3" t="s">
        <v>23</v>
      </c>
    </row>
    <row r="1162" spans="1:11" ht="42" customHeight="1">
      <c r="A1162" s="2" t="s">
        <v>2999</v>
      </c>
      <c r="B1162" s="2" t="s">
        <v>3000</v>
      </c>
      <c r="C1162" s="2" t="s">
        <v>26</v>
      </c>
      <c r="D1162" s="2" t="s">
        <v>18</v>
      </c>
      <c r="E1162" s="5">
        <v>-30592</v>
      </c>
      <c r="F1162" s="3" t="s">
        <v>236</v>
      </c>
      <c r="G1162" s="3" t="s">
        <v>92</v>
      </c>
      <c r="H1162" s="2" t="s">
        <v>21</v>
      </c>
      <c r="I1162" s="2" t="s">
        <v>3001</v>
      </c>
      <c r="J1162" s="3" t="str">
        <f>HYPERLINK("https://www.boe.es/gazeta/dias/1816/03/28/pdfs/GMD-1816-41.pdf#page=9","Abrir facsímil")</f>
        <v>Abrir facsímil</v>
      </c>
      <c r="K1162" s="3" t="s">
        <v>23</v>
      </c>
    </row>
    <row r="1163" spans="1:11" ht="42" customHeight="1">
      <c r="A1163" s="2" t="s">
        <v>3002</v>
      </c>
      <c r="B1163" s="2" t="s">
        <v>3003</v>
      </c>
      <c r="C1163" s="2" t="s">
        <v>26</v>
      </c>
      <c r="D1163" s="2" t="s">
        <v>18</v>
      </c>
      <c r="E1163" s="5">
        <v>-30391</v>
      </c>
      <c r="F1163" s="3" t="s">
        <v>482</v>
      </c>
      <c r="G1163" s="3" t="s">
        <v>28</v>
      </c>
      <c r="H1163" s="2" t="s">
        <v>21</v>
      </c>
      <c r="I1163" s="2" t="s">
        <v>3004</v>
      </c>
      <c r="J1163" s="3" t="str">
        <f>HYPERLINK("https://www.boe.es/gazeta/dias/1816/10/15/pdfs/GMD-1816-129.pdf#page=6","Abrir facsímil")</f>
        <v>Abrir facsímil</v>
      </c>
      <c r="K1163" s="3" t="s">
        <v>23</v>
      </c>
    </row>
    <row r="1164" spans="1:11" ht="42" customHeight="1">
      <c r="A1164" s="2" t="s">
        <v>3005</v>
      </c>
      <c r="B1164" s="2" t="s">
        <v>3006</v>
      </c>
      <c r="C1164" s="2" t="s">
        <v>26</v>
      </c>
      <c r="D1164" s="2" t="s">
        <v>18</v>
      </c>
      <c r="E1164" s="5">
        <v>-30671</v>
      </c>
      <c r="F1164" s="3" t="s">
        <v>2049</v>
      </c>
      <c r="G1164" s="3" t="s">
        <v>47</v>
      </c>
      <c r="H1164" s="2" t="s">
        <v>21</v>
      </c>
      <c r="I1164" s="2" t="s">
        <v>3007</v>
      </c>
      <c r="J1164" s="3" t="str">
        <f>HYPERLINK("https://www.boe.es/gazeta/dias/1816/01/09/pdfs/GMD-1816-4.pdf#page=5","Abrir facsímil")</f>
        <v>Abrir facsímil</v>
      </c>
      <c r="K1164" s="3" t="s">
        <v>23</v>
      </c>
    </row>
    <row r="1165" spans="1:11" ht="42" customHeight="1">
      <c r="A1165" s="2" t="s">
        <v>3008</v>
      </c>
      <c r="B1165" s="2" t="s">
        <v>3009</v>
      </c>
      <c r="C1165" s="2" t="s">
        <v>34</v>
      </c>
      <c r="D1165" s="2" t="s">
        <v>35</v>
      </c>
      <c r="E1165" s="5">
        <v>-30587</v>
      </c>
      <c r="F1165" s="3" t="s">
        <v>341</v>
      </c>
      <c r="G1165" s="3" t="s">
        <v>42</v>
      </c>
      <c r="H1165" s="2" t="s">
        <v>21</v>
      </c>
      <c r="I1165" s="2" t="s">
        <v>3010</v>
      </c>
      <c r="J1165" s="3" t="str">
        <f>HYPERLINK("https://www.boe.es/gazeta/dias/1816/04/02/pdfs/GMD-1816-43.pdf#page=8","Abrir facsímil")</f>
        <v>Abrir facsímil</v>
      </c>
      <c r="K1165" s="3" t="s">
        <v>23</v>
      </c>
    </row>
    <row r="1166" spans="1:11" ht="42" customHeight="1">
      <c r="A1166" s="2" t="s">
        <v>3011</v>
      </c>
      <c r="B1166" s="2" t="s">
        <v>3012</v>
      </c>
      <c r="C1166" s="2" t="s">
        <v>34</v>
      </c>
      <c r="D1166" s="2" t="s">
        <v>56</v>
      </c>
      <c r="E1166" s="5">
        <v>-30393</v>
      </c>
      <c r="F1166" s="3" t="s">
        <v>202</v>
      </c>
      <c r="G1166" s="3" t="s">
        <v>47</v>
      </c>
      <c r="H1166" s="2" t="s">
        <v>21</v>
      </c>
      <c r="I1166" s="2" t="s">
        <v>3013</v>
      </c>
      <c r="J1166" s="3" t="str">
        <f>HYPERLINK("https://www.boe.es/gazeta/dias/1816/10/13/pdfs/GMD-1816-128E.pdf#page=5","Abrir facsímil")</f>
        <v>Abrir facsímil</v>
      </c>
      <c r="K1166" s="3" t="s">
        <v>23</v>
      </c>
    </row>
    <row r="1167" spans="1:11" ht="42" customHeight="1">
      <c r="A1167" s="2" t="s">
        <v>3014</v>
      </c>
      <c r="B1167" s="2" t="s">
        <v>3015</v>
      </c>
      <c r="C1167" s="2" t="s">
        <v>34</v>
      </c>
      <c r="D1167" s="2" t="s">
        <v>35</v>
      </c>
      <c r="E1167" s="5">
        <v>-30515</v>
      </c>
      <c r="F1167" s="3" t="s">
        <v>2452</v>
      </c>
      <c r="G1167" s="3" t="s">
        <v>184</v>
      </c>
      <c r="H1167" s="2" t="s">
        <v>21</v>
      </c>
      <c r="I1167" s="2" t="s">
        <v>3016</v>
      </c>
      <c r="J1167" s="3" t="str">
        <f>HYPERLINK("https://www.boe.es/gazeta/dias/1816/06/13/pdfs/GMD-1816-74.pdf#page=3","Abrir facsímil")</f>
        <v>Abrir facsímil</v>
      </c>
      <c r="K1167" s="3" t="s">
        <v>23</v>
      </c>
    </row>
    <row r="1168" spans="1:11" ht="42" customHeight="1">
      <c r="A1168" s="2" t="s">
        <v>3017</v>
      </c>
      <c r="B1168" s="2" t="s">
        <v>3017</v>
      </c>
      <c r="C1168" s="2" t="s">
        <v>34</v>
      </c>
      <c r="D1168" s="2" t="s">
        <v>35</v>
      </c>
      <c r="E1168" s="5">
        <v>-30415</v>
      </c>
      <c r="F1168" s="3" t="s">
        <v>585</v>
      </c>
      <c r="G1168" s="3" t="s">
        <v>184</v>
      </c>
      <c r="H1168" s="2" t="s">
        <v>21</v>
      </c>
      <c r="I1168" s="2" t="s">
        <v>3018</v>
      </c>
      <c r="J1168" s="3" t="str">
        <f>HYPERLINK("https://www.boe.es/gazeta/dias/1816/09/21/pdfs/GMD-1816-117.pdf#page=3","Abrir facsímil")</f>
        <v>Abrir facsímil</v>
      </c>
      <c r="K1168" s="3" t="s">
        <v>23</v>
      </c>
    </row>
    <row r="1169" spans="1:11" ht="42" customHeight="1">
      <c r="A1169" s="2" t="s">
        <v>3019</v>
      </c>
      <c r="B1169" s="2" t="s">
        <v>3020</v>
      </c>
      <c r="C1169" s="2" t="s">
        <v>26</v>
      </c>
      <c r="D1169" s="2" t="s">
        <v>18</v>
      </c>
      <c r="E1169" s="5">
        <v>-30545</v>
      </c>
      <c r="F1169" s="3" t="s">
        <v>127</v>
      </c>
      <c r="G1169" s="3" t="s">
        <v>42</v>
      </c>
      <c r="H1169" s="2" t="s">
        <v>21</v>
      </c>
      <c r="I1169" s="2" t="s">
        <v>3021</v>
      </c>
      <c r="J1169" s="3" t="str">
        <f>HYPERLINK("https://www.boe.es/gazeta/dias/1816/05/14/pdfs/GMD-1816-61.pdf#page=8","Abrir facsímil")</f>
        <v>Abrir facsímil</v>
      </c>
      <c r="K1169" s="3" t="s">
        <v>23</v>
      </c>
    </row>
    <row r="1170" spans="1:11" ht="42" customHeight="1">
      <c r="A1170" s="2" t="s">
        <v>3022</v>
      </c>
      <c r="B1170" s="2" t="s">
        <v>3023</v>
      </c>
      <c r="C1170" s="2" t="s">
        <v>26</v>
      </c>
      <c r="D1170" s="2" t="s">
        <v>18</v>
      </c>
      <c r="E1170" s="5">
        <v>-30475</v>
      </c>
      <c r="F1170" s="3" t="s">
        <v>319</v>
      </c>
      <c r="G1170" s="3" t="s">
        <v>72</v>
      </c>
      <c r="H1170" s="2" t="s">
        <v>21</v>
      </c>
      <c r="I1170" s="2" t="s">
        <v>3024</v>
      </c>
      <c r="J1170" s="3" t="str">
        <f>HYPERLINK("https://www.boe.es/gazeta/dias/1816/07/23/pdfs/GMD-1816-91.pdf#page=7","Abrir facsímil")</f>
        <v>Abrir facsímil</v>
      </c>
      <c r="K1170" s="3" t="s">
        <v>23</v>
      </c>
    </row>
    <row r="1171" spans="1:11" ht="42" customHeight="1">
      <c r="A1171" s="2" t="s">
        <v>3025</v>
      </c>
      <c r="B1171" s="2" t="s">
        <v>3026</v>
      </c>
      <c r="C1171" s="2" t="s">
        <v>34</v>
      </c>
      <c r="D1171" s="2" t="s">
        <v>35</v>
      </c>
      <c r="E1171" s="5">
        <v>-30331</v>
      </c>
      <c r="F1171" s="3" t="s">
        <v>315</v>
      </c>
      <c r="G1171" s="3" t="s">
        <v>42</v>
      </c>
      <c r="H1171" s="2" t="s">
        <v>21</v>
      </c>
      <c r="I1171" s="2" t="s">
        <v>3027</v>
      </c>
      <c r="J1171" s="3" t="str">
        <f>HYPERLINK("https://www.boe.es/gazeta/dias/1816/12/14/pdfs/GMD-1816-155.pdf#page=8","Abrir facsímil")</f>
        <v>Abrir facsímil</v>
      </c>
      <c r="K1171" s="3" t="s">
        <v>23</v>
      </c>
    </row>
    <row r="1172" spans="1:11" ht="42" customHeight="1">
      <c r="A1172" s="2" t="s">
        <v>3028</v>
      </c>
      <c r="B1172" s="2" t="s">
        <v>3029</v>
      </c>
      <c r="C1172" s="2" t="s">
        <v>26</v>
      </c>
      <c r="D1172" s="2" t="s">
        <v>18</v>
      </c>
      <c r="E1172" s="5">
        <v>-30482</v>
      </c>
      <c r="F1172" s="3" t="s">
        <v>370</v>
      </c>
      <c r="G1172" s="3" t="s">
        <v>42</v>
      </c>
      <c r="H1172" s="2" t="s">
        <v>21</v>
      </c>
      <c r="I1172" s="2" t="s">
        <v>3030</v>
      </c>
      <c r="J1172" s="3" t="str">
        <f>HYPERLINK("https://www.boe.es/gazeta/dias/1816/07/16/pdfs/GMD-1816-88.pdf#page=8","Abrir facsímil")</f>
        <v>Abrir facsímil</v>
      </c>
      <c r="K1172" s="3" t="s">
        <v>23</v>
      </c>
    </row>
    <row r="1173" spans="1:11" ht="42" customHeight="1">
      <c r="A1173" s="2" t="s">
        <v>3028</v>
      </c>
      <c r="B1173" s="2" t="s">
        <v>3029</v>
      </c>
      <c r="C1173" s="2" t="s">
        <v>111</v>
      </c>
      <c r="D1173" s="2" t="s">
        <v>56</v>
      </c>
      <c r="E1173" s="5">
        <v>-30399</v>
      </c>
      <c r="F1173" s="3" t="s">
        <v>57</v>
      </c>
      <c r="G1173" s="3" t="s">
        <v>42</v>
      </c>
      <c r="H1173" s="2" t="s">
        <v>21</v>
      </c>
      <c r="I1173" s="2" t="s">
        <v>3031</v>
      </c>
      <c r="J1173" s="3" t="str">
        <f>HYPERLINK("https://www.boe.es/gazeta/dias/1816/10/07/pdfs/GMD-1816-124E.pdf#page=8","Abrir facsímil")</f>
        <v>Abrir facsímil</v>
      </c>
      <c r="K1173" s="3" t="s">
        <v>23</v>
      </c>
    </row>
    <row r="1174" spans="1:11" ht="42" customHeight="1">
      <c r="A1174" s="2" t="s">
        <v>3032</v>
      </c>
      <c r="B1174" s="2" t="s">
        <v>3033</v>
      </c>
      <c r="C1174" s="2" t="s">
        <v>17</v>
      </c>
      <c r="D1174" s="2" t="s">
        <v>18</v>
      </c>
      <c r="E1174" s="5">
        <v>-30641</v>
      </c>
      <c r="F1174" s="3" t="s">
        <v>192</v>
      </c>
      <c r="G1174" s="3" t="s">
        <v>3034</v>
      </c>
      <c r="H1174" s="2" t="s">
        <v>21</v>
      </c>
      <c r="I1174" s="2" t="s">
        <v>3035</v>
      </c>
      <c r="J1174" s="3" t="str">
        <f>HYPERLINK("https://www.boe.es/gazeta/dias/1816/02/08/pdfs/GMD-1816-18.pdf#page=6","Abrir facsímil")</f>
        <v>Abrir facsímil</v>
      </c>
      <c r="K1174" s="3" t="s">
        <v>23</v>
      </c>
    </row>
    <row r="1175" spans="1:11" ht="42" customHeight="1">
      <c r="A1175" s="2" t="s">
        <v>3036</v>
      </c>
      <c r="B1175" s="2" t="s">
        <v>3037</v>
      </c>
      <c r="C1175" s="2" t="s">
        <v>17</v>
      </c>
      <c r="D1175" s="2" t="s">
        <v>18</v>
      </c>
      <c r="E1175" s="5">
        <v>-30375</v>
      </c>
      <c r="F1175" s="3" t="s">
        <v>404</v>
      </c>
      <c r="G1175" s="3" t="s">
        <v>3038</v>
      </c>
      <c r="H1175" s="2" t="s">
        <v>21</v>
      </c>
      <c r="I1175" s="2" t="s">
        <v>3039</v>
      </c>
      <c r="J1175" s="3" t="str">
        <f>HYPERLINK("https://www.boe.es/gazeta/dias/1816/10/31/pdfs/GMD-1816-136.pdf#page=8","Abrir facsímil")</f>
        <v>Abrir facsímil</v>
      </c>
      <c r="K1175" s="3" t="s">
        <v>23</v>
      </c>
    </row>
    <row r="1176" spans="1:11" ht="42" customHeight="1">
      <c r="A1176" s="2" t="s">
        <v>3040</v>
      </c>
      <c r="B1176" s="2" t="s">
        <v>3041</v>
      </c>
      <c r="C1176" s="2" t="s">
        <v>34</v>
      </c>
      <c r="D1176" s="2" t="s">
        <v>35</v>
      </c>
      <c r="E1176" s="5">
        <v>-30382</v>
      </c>
      <c r="F1176" s="3" t="s">
        <v>326</v>
      </c>
      <c r="G1176" s="3" t="s">
        <v>47</v>
      </c>
      <c r="H1176" s="2" t="s">
        <v>29</v>
      </c>
      <c r="I1176" s="2" t="s">
        <v>3042</v>
      </c>
      <c r="J1176" s="3" t="str">
        <f>HYPERLINK("https://www.boe.es/gazeta/dias/1816/10/24/pdfs/GMD-1816-133.pdf#page=5","Abrir facsímil")</f>
        <v>Abrir facsímil</v>
      </c>
      <c r="K1176" s="3" t="s">
        <v>31</v>
      </c>
    </row>
    <row r="1177" spans="1:11" ht="42" customHeight="1">
      <c r="A1177" s="2" t="s">
        <v>3043</v>
      </c>
      <c r="B1177" s="2" t="s">
        <v>3044</v>
      </c>
      <c r="C1177" s="2" t="s">
        <v>41</v>
      </c>
      <c r="D1177" s="2" t="s">
        <v>18</v>
      </c>
      <c r="E1177" s="5">
        <v>-30480</v>
      </c>
      <c r="F1177" s="3" t="s">
        <v>147</v>
      </c>
      <c r="G1177" s="3" t="s">
        <v>42</v>
      </c>
      <c r="H1177" s="2" t="s">
        <v>29</v>
      </c>
      <c r="I1177" s="2" t="s">
        <v>3045</v>
      </c>
      <c r="J1177" s="3" t="str">
        <f>HYPERLINK("https://www.boe.es/gazeta/dias/1816/07/18/pdfs/GMD-1816-89.pdf#page=8","Abrir facsímil")</f>
        <v>Abrir facsímil</v>
      </c>
      <c r="K1177" s="3" t="s">
        <v>31</v>
      </c>
    </row>
    <row r="1178" spans="1:11" ht="42" customHeight="1">
      <c r="A1178" s="2" t="s">
        <v>3046</v>
      </c>
      <c r="B1178" s="2" t="s">
        <v>3047</v>
      </c>
      <c r="C1178" s="2" t="s">
        <v>26</v>
      </c>
      <c r="D1178" s="2" t="s">
        <v>18</v>
      </c>
      <c r="E1178" s="5">
        <v>-30447</v>
      </c>
      <c r="F1178" s="3" t="s">
        <v>151</v>
      </c>
      <c r="G1178" s="3" t="s">
        <v>152</v>
      </c>
      <c r="H1178" s="2" t="s">
        <v>29</v>
      </c>
      <c r="I1178" s="2" t="s">
        <v>3048</v>
      </c>
      <c r="J1178" s="3" t="str">
        <f>HYPERLINK("https://www.boe.es/gazeta/dias/1816/08/20/pdfs/GMD-1816-103.pdf#page=8","Abrir facsímil")</f>
        <v>Abrir facsímil</v>
      </c>
      <c r="K1178" s="3" t="s">
        <v>31</v>
      </c>
    </row>
    <row r="1179" spans="1:11" ht="42" customHeight="1">
      <c r="A1179" s="2" t="s">
        <v>3043</v>
      </c>
      <c r="B1179" s="2" t="s">
        <v>3044</v>
      </c>
      <c r="C1179" s="2" t="s">
        <v>26</v>
      </c>
      <c r="D1179" s="2" t="s">
        <v>18</v>
      </c>
      <c r="E1179" s="5">
        <v>-30408</v>
      </c>
      <c r="F1179" s="3" t="s">
        <v>295</v>
      </c>
      <c r="G1179" s="3" t="s">
        <v>42</v>
      </c>
      <c r="H1179" s="2" t="s">
        <v>29</v>
      </c>
      <c r="I1179" s="2" t="s">
        <v>3049</v>
      </c>
      <c r="J1179" s="3" t="str">
        <f>HYPERLINK("https://www.boe.es/gazeta/dias/1816/09/28/pdfs/GMD-1816-120.pdf#page=8","Abrir facsímil")</f>
        <v>Abrir facsímil</v>
      </c>
      <c r="K1179" s="3" t="s">
        <v>31</v>
      </c>
    </row>
    <row r="1180" spans="1:11" ht="42" customHeight="1">
      <c r="A1180" s="2" t="s">
        <v>3050</v>
      </c>
      <c r="B1180" s="2" t="s">
        <v>3051</v>
      </c>
      <c r="C1180" s="2" t="s">
        <v>34</v>
      </c>
      <c r="D1180" s="2" t="s">
        <v>56</v>
      </c>
      <c r="E1180" s="5">
        <v>-30393</v>
      </c>
      <c r="F1180" s="3" t="s">
        <v>202</v>
      </c>
      <c r="G1180" s="3" t="s">
        <v>184</v>
      </c>
      <c r="H1180" s="2" t="s">
        <v>21</v>
      </c>
      <c r="I1180" s="2" t="s">
        <v>3052</v>
      </c>
      <c r="J1180" s="3" t="str">
        <f>HYPERLINK("https://www.boe.es/gazeta/dias/1816/10/13/pdfs/GMD-1816-128E.pdf#page=3","Abrir facsímil")</f>
        <v>Abrir facsímil</v>
      </c>
      <c r="K1180" s="3" t="s">
        <v>23</v>
      </c>
    </row>
    <row r="1181" spans="1:11" ht="42" customHeight="1">
      <c r="A1181" s="2" t="s">
        <v>3053</v>
      </c>
      <c r="B1181" s="2" t="s">
        <v>3054</v>
      </c>
      <c r="C1181" s="2" t="s">
        <v>26</v>
      </c>
      <c r="D1181" s="2" t="s">
        <v>18</v>
      </c>
      <c r="E1181" s="5">
        <v>-30347</v>
      </c>
      <c r="F1181" s="3" t="s">
        <v>2994</v>
      </c>
      <c r="G1181" s="3" t="s">
        <v>72</v>
      </c>
      <c r="H1181" s="2" t="s">
        <v>21</v>
      </c>
      <c r="I1181" s="2" t="s">
        <v>3055</v>
      </c>
      <c r="J1181" s="3" t="str">
        <f>HYPERLINK("https://www.boe.es/gazeta/dias/1816/11/28/pdfs/GMD-1816-148.pdf#page=7","Abrir facsímil")</f>
        <v>Abrir facsímil</v>
      </c>
      <c r="K1181" s="3" t="s">
        <v>23</v>
      </c>
    </row>
    <row r="1182" spans="1:11" ht="42" customHeight="1">
      <c r="A1182" s="2" t="s">
        <v>3056</v>
      </c>
      <c r="B1182" s="2" t="s">
        <v>3057</v>
      </c>
      <c r="C1182" s="2" t="s">
        <v>26</v>
      </c>
      <c r="D1182" s="2" t="s">
        <v>18</v>
      </c>
      <c r="E1182" s="5">
        <v>-30662</v>
      </c>
      <c r="F1182" s="3" t="s">
        <v>485</v>
      </c>
      <c r="G1182" s="3" t="s">
        <v>47</v>
      </c>
      <c r="H1182" s="2" t="s">
        <v>21</v>
      </c>
      <c r="I1182" s="2" t="s">
        <v>3058</v>
      </c>
      <c r="J1182" s="3" t="str">
        <f>HYPERLINK("https://www.boe.es/gazeta/dias/1816/01/18/pdfs/GMD-1816-8.pdf#page=5","Abrir facsímil")</f>
        <v>Abrir facsímil</v>
      </c>
      <c r="K1182" s="3" t="s">
        <v>23</v>
      </c>
    </row>
    <row r="1183" spans="1:11" ht="42" customHeight="1">
      <c r="A1183" s="2" t="s">
        <v>3056</v>
      </c>
      <c r="B1183" s="2" t="s">
        <v>3057</v>
      </c>
      <c r="C1183" s="2" t="s">
        <v>111</v>
      </c>
      <c r="D1183" s="2" t="s">
        <v>56</v>
      </c>
      <c r="E1183" s="5">
        <v>-30653</v>
      </c>
      <c r="F1183" s="3" t="s">
        <v>1023</v>
      </c>
      <c r="G1183" s="3" t="s">
        <v>58</v>
      </c>
      <c r="H1183" s="2" t="s">
        <v>21</v>
      </c>
      <c r="I1183" s="2" t="s">
        <v>3059</v>
      </c>
      <c r="J1183" s="3" t="str">
        <f>HYPERLINK("https://www.boe.es/gazeta/dias/1816/01/27/pdfs/GMD-1816-13E.pdf#page=1","Abrir facsímil")</f>
        <v>Abrir facsímil</v>
      </c>
      <c r="K1183" s="3" t="s">
        <v>23</v>
      </c>
    </row>
    <row r="1184" spans="1:11" ht="42" customHeight="1">
      <c r="A1184" s="2" t="s">
        <v>3056</v>
      </c>
      <c r="B1184" s="2" t="s">
        <v>3057</v>
      </c>
      <c r="C1184" s="2" t="s">
        <v>111</v>
      </c>
      <c r="D1184" s="2" t="s">
        <v>56</v>
      </c>
      <c r="E1184" s="5">
        <v>-30653</v>
      </c>
      <c r="F1184" s="3" t="s">
        <v>1023</v>
      </c>
      <c r="G1184" s="3" t="s">
        <v>184</v>
      </c>
      <c r="H1184" s="2" t="s">
        <v>21</v>
      </c>
      <c r="I1184" s="2" t="s">
        <v>3060</v>
      </c>
      <c r="J1184" s="3" t="str">
        <f>HYPERLINK("https://www.boe.es/gazeta/dias/1816/01/27/pdfs/GMD-1816-13E.pdf#page=3","Abrir facsímil")</f>
        <v>Abrir facsímil</v>
      </c>
      <c r="K1184" s="3" t="s">
        <v>23</v>
      </c>
    </row>
    <row r="1185" spans="1:11" ht="42" customHeight="1">
      <c r="A1185" s="2" t="s">
        <v>3056</v>
      </c>
      <c r="B1185" s="2" t="s">
        <v>3057</v>
      </c>
      <c r="C1185" s="2" t="s">
        <v>111</v>
      </c>
      <c r="D1185" s="2" t="s">
        <v>112</v>
      </c>
      <c r="E1185" s="5">
        <v>-30625</v>
      </c>
      <c r="F1185" s="3" t="s">
        <v>631</v>
      </c>
      <c r="G1185" s="3" t="s">
        <v>47</v>
      </c>
      <c r="H1185" s="2" t="s">
        <v>21</v>
      </c>
      <c r="I1185" s="2" t="s">
        <v>3061</v>
      </c>
      <c r="J1185" s="3" t="str">
        <f>HYPERLINK("https://www.boe.es/gazeta/dias/1816/02/24/pdfs/GMD-1816-25.pdf#page=5","Abrir facsímil")</f>
        <v>Abrir facsímil</v>
      </c>
      <c r="K1185" s="3" t="s">
        <v>23</v>
      </c>
    </row>
    <row r="1186" spans="1:11" ht="42" customHeight="1">
      <c r="A1186" s="2" t="s">
        <v>3056</v>
      </c>
      <c r="B1186" s="2" t="s">
        <v>3057</v>
      </c>
      <c r="C1186" s="2" t="s">
        <v>111</v>
      </c>
      <c r="D1186" s="2" t="s">
        <v>112</v>
      </c>
      <c r="E1186" s="5">
        <v>-30590</v>
      </c>
      <c r="F1186" s="3" t="s">
        <v>195</v>
      </c>
      <c r="G1186" s="3" t="s">
        <v>103</v>
      </c>
      <c r="H1186" s="2" t="s">
        <v>21</v>
      </c>
      <c r="I1186" s="2" t="s">
        <v>3062</v>
      </c>
      <c r="J1186" s="3" t="str">
        <f>HYPERLINK("https://www.boe.es/gazeta/dias/1816/03/30/pdfs/GMD-1816-42.pdf#page=4","Abrir facsímil")</f>
        <v>Abrir facsímil</v>
      </c>
      <c r="K1186" s="3" t="s">
        <v>23</v>
      </c>
    </row>
    <row r="1187" spans="1:11" ht="42" customHeight="1">
      <c r="A1187" s="2" t="s">
        <v>3056</v>
      </c>
      <c r="B1187" s="2" t="s">
        <v>3057</v>
      </c>
      <c r="C1187" s="2" t="s">
        <v>111</v>
      </c>
      <c r="D1187" s="2" t="s">
        <v>112</v>
      </c>
      <c r="E1187" s="5">
        <v>-30578</v>
      </c>
      <c r="F1187" s="3" t="s">
        <v>91</v>
      </c>
      <c r="G1187" s="3" t="s">
        <v>3063</v>
      </c>
      <c r="H1187" s="2" t="s">
        <v>21</v>
      </c>
      <c r="I1187" s="2" t="s">
        <v>3064</v>
      </c>
      <c r="J1187" s="3" t="str">
        <f>HYPERLINK("https://www.boe.es/gazeta/dias/1816/04/11/pdfs/GMD-1816-47.pdf#page=5","Abrir facsímil")</f>
        <v>Abrir facsímil</v>
      </c>
      <c r="K1187" s="3" t="s">
        <v>23</v>
      </c>
    </row>
    <row r="1188" spans="1:11" ht="42" customHeight="1">
      <c r="A1188" s="2" t="s">
        <v>3056</v>
      </c>
      <c r="B1188" s="2" t="s">
        <v>3057</v>
      </c>
      <c r="C1188" s="2" t="s">
        <v>111</v>
      </c>
      <c r="D1188" s="2" t="s">
        <v>112</v>
      </c>
      <c r="E1188" s="5">
        <v>-30578</v>
      </c>
      <c r="F1188" s="3" t="s">
        <v>91</v>
      </c>
      <c r="G1188" s="3" t="s">
        <v>286</v>
      </c>
      <c r="H1188" s="2" t="s">
        <v>21</v>
      </c>
      <c r="I1188" s="2" t="s">
        <v>3065</v>
      </c>
      <c r="J1188" s="3" t="str">
        <f>HYPERLINK("https://www.boe.es/gazeta/dias/1816/04/11/pdfs/GMD-1816-47.pdf#page=11","Abrir facsímil")</f>
        <v>Abrir facsímil</v>
      </c>
      <c r="K1188" s="3" t="s">
        <v>23</v>
      </c>
    </row>
    <row r="1189" spans="1:11" ht="42" customHeight="1">
      <c r="A1189" s="2" t="s">
        <v>3056</v>
      </c>
      <c r="B1189" s="2" t="s">
        <v>3057</v>
      </c>
      <c r="C1189" s="2" t="s">
        <v>26</v>
      </c>
      <c r="D1189" s="2" t="s">
        <v>18</v>
      </c>
      <c r="E1189" s="5">
        <v>-30573</v>
      </c>
      <c r="F1189" s="3" t="s">
        <v>840</v>
      </c>
      <c r="G1189" s="3" t="s">
        <v>72</v>
      </c>
      <c r="H1189" s="2" t="s">
        <v>21</v>
      </c>
      <c r="I1189" s="2" t="s">
        <v>3066</v>
      </c>
      <c r="J1189" s="3" t="str">
        <f>HYPERLINK("https://www.boe.es/gazeta/dias/1816/04/16/pdfs/GMD-1816-49.pdf#page=7","Abrir facsímil")</f>
        <v>Abrir facsímil</v>
      </c>
      <c r="K1189" s="3" t="s">
        <v>23</v>
      </c>
    </row>
    <row r="1190" spans="1:11" ht="42" customHeight="1">
      <c r="A1190" s="2" t="s">
        <v>3056</v>
      </c>
      <c r="B1190" s="2" t="s">
        <v>3057</v>
      </c>
      <c r="C1190" s="2" t="s">
        <v>111</v>
      </c>
      <c r="D1190" s="2" t="s">
        <v>112</v>
      </c>
      <c r="E1190" s="5">
        <v>-30550</v>
      </c>
      <c r="F1190" s="3" t="s">
        <v>435</v>
      </c>
      <c r="G1190" s="3" t="s">
        <v>47</v>
      </c>
      <c r="H1190" s="2" t="s">
        <v>21</v>
      </c>
      <c r="I1190" s="2" t="s">
        <v>3067</v>
      </c>
      <c r="J1190" s="3" t="str">
        <f>HYPERLINK("https://www.boe.es/gazeta/dias/1816/05/09/pdfs/GMD-1816-59.pdf#page=5","Abrir facsímil")</f>
        <v>Abrir facsímil</v>
      </c>
      <c r="K1190" s="3" t="s">
        <v>23</v>
      </c>
    </row>
    <row r="1191" spans="1:11" ht="42" customHeight="1">
      <c r="A1191" s="2" t="s">
        <v>3056</v>
      </c>
      <c r="B1191" s="2" t="s">
        <v>3057</v>
      </c>
      <c r="C1191" s="2" t="s">
        <v>111</v>
      </c>
      <c r="D1191" s="2" t="s">
        <v>112</v>
      </c>
      <c r="E1191" s="5">
        <v>-30550</v>
      </c>
      <c r="F1191" s="3" t="s">
        <v>435</v>
      </c>
      <c r="G1191" s="3" t="s">
        <v>28</v>
      </c>
      <c r="H1191" s="2" t="s">
        <v>21</v>
      </c>
      <c r="I1191" s="2" t="s">
        <v>3068</v>
      </c>
      <c r="J1191" s="3" t="str">
        <f>HYPERLINK("https://www.boe.es/gazeta/dias/1816/05/09/pdfs/GMD-1816-59.pdf#page=6","Abrir facsímil")</f>
        <v>Abrir facsímil</v>
      </c>
      <c r="K1191" s="3" t="s">
        <v>23</v>
      </c>
    </row>
    <row r="1192" spans="1:11" ht="42" customHeight="1">
      <c r="A1192" s="2" t="s">
        <v>3056</v>
      </c>
      <c r="B1192" s="2" t="s">
        <v>3057</v>
      </c>
      <c r="C1192" s="2" t="s">
        <v>26</v>
      </c>
      <c r="D1192" s="2" t="s">
        <v>18</v>
      </c>
      <c r="E1192" s="5">
        <v>-30538</v>
      </c>
      <c r="F1192" s="3" t="s">
        <v>496</v>
      </c>
      <c r="G1192" s="3" t="s">
        <v>72</v>
      </c>
      <c r="H1192" s="2" t="s">
        <v>21</v>
      </c>
      <c r="I1192" s="2" t="s">
        <v>3069</v>
      </c>
      <c r="J1192" s="3" t="str">
        <f>HYPERLINK("https://www.boe.es/gazeta/dias/1816/05/21/pdfs/GMD-1816-64.pdf#page=7","Abrir facsímil")</f>
        <v>Abrir facsímil</v>
      </c>
      <c r="K1192" s="3" t="s">
        <v>23</v>
      </c>
    </row>
    <row r="1193" spans="1:11" ht="42" customHeight="1">
      <c r="A1193" s="2" t="s">
        <v>3056</v>
      </c>
      <c r="B1193" s="2" t="s">
        <v>3057</v>
      </c>
      <c r="C1193" s="2" t="s">
        <v>111</v>
      </c>
      <c r="D1193" s="2" t="s">
        <v>112</v>
      </c>
      <c r="E1193" s="5">
        <v>-30536</v>
      </c>
      <c r="F1193" s="3" t="s">
        <v>580</v>
      </c>
      <c r="G1193" s="3" t="s">
        <v>28</v>
      </c>
      <c r="H1193" s="2" t="s">
        <v>21</v>
      </c>
      <c r="I1193" s="2" t="s">
        <v>3070</v>
      </c>
      <c r="J1193" s="3" t="str">
        <f>HYPERLINK("https://www.boe.es/gazeta/dias/1816/05/23/pdfs/GMD-1816-65.pdf#page=6","Abrir facsímil")</f>
        <v>Abrir facsímil</v>
      </c>
      <c r="K1193" s="3" t="s">
        <v>23</v>
      </c>
    </row>
    <row r="1194" spans="1:11" ht="42" customHeight="1">
      <c r="A1194" s="2" t="s">
        <v>3056</v>
      </c>
      <c r="B1194" s="2" t="s">
        <v>3057</v>
      </c>
      <c r="C1194" s="2" t="s">
        <v>34</v>
      </c>
      <c r="D1194" s="2" t="s">
        <v>35</v>
      </c>
      <c r="E1194" s="5">
        <v>-30499</v>
      </c>
      <c r="F1194" s="3" t="s">
        <v>971</v>
      </c>
      <c r="G1194" s="3" t="s">
        <v>3071</v>
      </c>
      <c r="H1194" s="2" t="s">
        <v>21</v>
      </c>
      <c r="I1194" s="2" t="s">
        <v>3072</v>
      </c>
      <c r="J1194" s="3" t="str">
        <f>HYPERLINK("https://www.boe.es/gazeta/dias/1816/06/29/pdfs/GMD-1816-81.pdf#page=6","Abrir facsímil")</f>
        <v>Abrir facsímil</v>
      </c>
      <c r="K1194" s="3" t="s">
        <v>23</v>
      </c>
    </row>
    <row r="1195" spans="1:11" ht="42" customHeight="1">
      <c r="A1195" s="2" t="s">
        <v>3056</v>
      </c>
      <c r="B1195" s="2" t="s">
        <v>3057</v>
      </c>
      <c r="C1195" s="2" t="s">
        <v>34</v>
      </c>
      <c r="D1195" s="2" t="s">
        <v>35</v>
      </c>
      <c r="E1195" s="5">
        <v>-30494</v>
      </c>
      <c r="F1195" s="3" t="s">
        <v>174</v>
      </c>
      <c r="G1195" s="3" t="s">
        <v>923</v>
      </c>
      <c r="H1195" s="2" t="s">
        <v>21</v>
      </c>
      <c r="I1195" s="2" t="s">
        <v>3073</v>
      </c>
      <c r="J1195" s="3" t="str">
        <f>HYPERLINK("https://www.boe.es/gazeta/dias/1816/07/04/pdfs/GMD-1816-83.pdf#page=10","Abrir facsímil")</f>
        <v>Abrir facsímil</v>
      </c>
      <c r="K1195" s="3" t="s">
        <v>23</v>
      </c>
    </row>
    <row r="1196" spans="1:11" ht="42" customHeight="1">
      <c r="A1196" s="2" t="s">
        <v>3056</v>
      </c>
      <c r="B1196" s="2" t="s">
        <v>3057</v>
      </c>
      <c r="C1196" s="2" t="s">
        <v>111</v>
      </c>
      <c r="D1196" s="2" t="s">
        <v>112</v>
      </c>
      <c r="E1196" s="5">
        <v>-30482</v>
      </c>
      <c r="F1196" s="3" t="s">
        <v>370</v>
      </c>
      <c r="G1196" s="3" t="s">
        <v>103</v>
      </c>
      <c r="H1196" s="2" t="s">
        <v>21</v>
      </c>
      <c r="I1196" s="2" t="s">
        <v>3074</v>
      </c>
      <c r="J1196" s="3" t="str">
        <f>HYPERLINK("https://www.boe.es/gazeta/dias/1816/07/16/pdfs/GMD-1816-88.pdf#page=4","Abrir facsímil")</f>
        <v>Abrir facsímil</v>
      </c>
      <c r="K1196" s="3" t="s">
        <v>23</v>
      </c>
    </row>
    <row r="1197" spans="1:11" ht="42" customHeight="1">
      <c r="A1197" s="2" t="s">
        <v>3056</v>
      </c>
      <c r="B1197" s="2" t="s">
        <v>3057</v>
      </c>
      <c r="C1197" s="2" t="s">
        <v>26</v>
      </c>
      <c r="D1197" s="2" t="s">
        <v>18</v>
      </c>
      <c r="E1197" s="5">
        <v>-30482</v>
      </c>
      <c r="F1197" s="3" t="s">
        <v>370</v>
      </c>
      <c r="G1197" s="3" t="s">
        <v>92</v>
      </c>
      <c r="H1197" s="2" t="s">
        <v>21</v>
      </c>
      <c r="I1197" s="2" t="s">
        <v>3075</v>
      </c>
      <c r="J1197" s="3" t="str">
        <f>HYPERLINK("https://www.boe.es/gazeta/dias/1816/07/16/pdfs/GMD-1816-88.pdf#page=9","Abrir facsímil")</f>
        <v>Abrir facsímil</v>
      </c>
      <c r="K1197" s="3" t="s">
        <v>23</v>
      </c>
    </row>
    <row r="1198" spans="1:11" ht="42" customHeight="1">
      <c r="A1198" s="2" t="s">
        <v>3056</v>
      </c>
      <c r="B1198" s="2" t="s">
        <v>3057</v>
      </c>
      <c r="C1198" s="2" t="s">
        <v>81</v>
      </c>
      <c r="D1198" s="2" t="s">
        <v>18</v>
      </c>
      <c r="E1198" s="5">
        <v>-30475</v>
      </c>
      <c r="F1198" s="3" t="s">
        <v>319</v>
      </c>
      <c r="G1198" s="3" t="s">
        <v>103</v>
      </c>
      <c r="H1198" s="2" t="s">
        <v>21</v>
      </c>
      <c r="I1198" s="2" t="s">
        <v>3076</v>
      </c>
      <c r="J1198" s="3" t="str">
        <f>HYPERLINK("https://www.boe.es/gazeta/dias/1816/07/23/pdfs/GMD-1816-91.pdf#page=4","Abrir facsímil")</f>
        <v>Abrir facsímil</v>
      </c>
      <c r="K1198" s="3" t="s">
        <v>23</v>
      </c>
    </row>
    <row r="1199" spans="1:11" ht="42" customHeight="1">
      <c r="A1199" s="2" t="s">
        <v>3056</v>
      </c>
      <c r="B1199" s="2" t="s">
        <v>3057</v>
      </c>
      <c r="C1199" s="2" t="s">
        <v>34</v>
      </c>
      <c r="D1199" s="2" t="s">
        <v>35</v>
      </c>
      <c r="E1199" s="5">
        <v>-30473</v>
      </c>
      <c r="F1199" s="3" t="s">
        <v>336</v>
      </c>
      <c r="G1199" s="3" t="s">
        <v>3077</v>
      </c>
      <c r="H1199" s="2" t="s">
        <v>21</v>
      </c>
      <c r="I1199" s="2" t="s">
        <v>3078</v>
      </c>
      <c r="J1199" s="3" t="str">
        <f>HYPERLINK("https://www.boe.es/gazeta/dias/1816/07/25/pdfs/GMD-1816-92.pdf#page=15","Abrir facsímil")</f>
        <v>Abrir facsímil</v>
      </c>
      <c r="K1199" s="3" t="s">
        <v>23</v>
      </c>
    </row>
    <row r="1200" spans="1:11" ht="42" customHeight="1">
      <c r="A1200" s="2" t="s">
        <v>3056</v>
      </c>
      <c r="B1200" s="2" t="s">
        <v>3057</v>
      </c>
      <c r="C1200" s="2" t="s">
        <v>111</v>
      </c>
      <c r="D1200" s="2" t="s">
        <v>112</v>
      </c>
      <c r="E1200" s="5">
        <v>-30471</v>
      </c>
      <c r="F1200" s="3" t="s">
        <v>639</v>
      </c>
      <c r="G1200" s="3" t="s">
        <v>72</v>
      </c>
      <c r="H1200" s="2" t="s">
        <v>21</v>
      </c>
      <c r="I1200" s="2" t="s">
        <v>3079</v>
      </c>
      <c r="J1200" s="3" t="str">
        <f>HYPERLINK("https://www.boe.es/gazeta/dias/1816/07/27/pdfs/GMD-1816-93.pdf#page=7","Abrir facsímil")</f>
        <v>Abrir facsímil</v>
      </c>
      <c r="K1200" s="3" t="s">
        <v>23</v>
      </c>
    </row>
    <row r="1201" spans="1:11" ht="42" customHeight="1">
      <c r="A1201" s="2" t="s">
        <v>3056</v>
      </c>
      <c r="B1201" s="2" t="s">
        <v>3057</v>
      </c>
      <c r="C1201" s="2" t="s">
        <v>111</v>
      </c>
      <c r="D1201" s="2" t="s">
        <v>112</v>
      </c>
      <c r="E1201" s="5">
        <v>-30468</v>
      </c>
      <c r="F1201" s="3" t="s">
        <v>383</v>
      </c>
      <c r="G1201" s="3" t="s">
        <v>28</v>
      </c>
      <c r="H1201" s="2" t="s">
        <v>21</v>
      </c>
      <c r="I1201" s="2" t="s">
        <v>3080</v>
      </c>
      <c r="J1201" s="3" t="str">
        <f>HYPERLINK("https://www.boe.es/gazeta/dias/1816/07/30/pdfs/GMD-1816-94.pdf#page=6","Abrir facsímil")</f>
        <v>Abrir facsímil</v>
      </c>
      <c r="K1201" s="3" t="s">
        <v>23</v>
      </c>
    </row>
    <row r="1202" spans="1:11" ht="42" customHeight="1">
      <c r="A1202" s="2" t="s">
        <v>3056</v>
      </c>
      <c r="B1202" s="2" t="s">
        <v>3057</v>
      </c>
      <c r="C1202" s="2" t="s">
        <v>111</v>
      </c>
      <c r="D1202" s="2" t="s">
        <v>112</v>
      </c>
      <c r="E1202" s="5">
        <v>-30445</v>
      </c>
      <c r="F1202" s="3" t="s">
        <v>51</v>
      </c>
      <c r="G1202" s="3" t="s">
        <v>180</v>
      </c>
      <c r="H1202" s="2" t="s">
        <v>21</v>
      </c>
      <c r="I1202" s="2" t="s">
        <v>3081</v>
      </c>
      <c r="J1202" s="3" t="str">
        <f>HYPERLINK("https://www.boe.es/gazeta/dias/1816/08/22/pdfs/GMD-1816-104.pdf#page=10","Abrir facsímil")</f>
        <v>Abrir facsímil</v>
      </c>
      <c r="K1202" s="3" t="s">
        <v>23</v>
      </c>
    </row>
    <row r="1203" spans="1:11" ht="42" customHeight="1">
      <c r="A1203" s="2" t="s">
        <v>3056</v>
      </c>
      <c r="B1203" s="2" t="s">
        <v>3057</v>
      </c>
      <c r="C1203" s="2" t="s">
        <v>34</v>
      </c>
      <c r="D1203" s="2" t="s">
        <v>35</v>
      </c>
      <c r="E1203" s="5">
        <v>-30424</v>
      </c>
      <c r="F1203" s="3" t="s">
        <v>142</v>
      </c>
      <c r="G1203" s="3" t="s">
        <v>42</v>
      </c>
      <c r="H1203" s="2" t="s">
        <v>21</v>
      </c>
      <c r="I1203" s="2" t="s">
        <v>3082</v>
      </c>
      <c r="J1203" s="3" t="str">
        <f>HYPERLINK("https://www.boe.es/gazeta/dias/1816/09/12/pdfs/GMD-1816-113.pdf#page=8","Abrir facsímil")</f>
        <v>Abrir facsímil</v>
      </c>
      <c r="K1203" s="3" t="s">
        <v>23</v>
      </c>
    </row>
    <row r="1204" spans="1:11" ht="42" customHeight="1">
      <c r="A1204" s="2" t="s">
        <v>3056</v>
      </c>
      <c r="B1204" s="2" t="s">
        <v>3057</v>
      </c>
      <c r="C1204" s="2" t="s">
        <v>111</v>
      </c>
      <c r="D1204" s="2" t="s">
        <v>112</v>
      </c>
      <c r="E1204" s="5">
        <v>-30387</v>
      </c>
      <c r="F1204" s="3" t="s">
        <v>224</v>
      </c>
      <c r="G1204" s="3" t="s">
        <v>47</v>
      </c>
      <c r="H1204" s="2" t="s">
        <v>21</v>
      </c>
      <c r="I1204" s="2" t="s">
        <v>3083</v>
      </c>
      <c r="J1204" s="3" t="str">
        <f>HYPERLINK("https://www.boe.es/gazeta/dias/1816/10/19/pdfs/GMD-1816-131.pdf#page=5","Abrir facsímil")</f>
        <v>Abrir facsímil</v>
      </c>
      <c r="K1204" s="3" t="s">
        <v>23</v>
      </c>
    </row>
    <row r="1205" spans="1:11" ht="42" customHeight="1">
      <c r="A1205" s="2" t="s">
        <v>3056</v>
      </c>
      <c r="B1205" s="2" t="s">
        <v>3057</v>
      </c>
      <c r="C1205" s="2" t="s">
        <v>17</v>
      </c>
      <c r="D1205" s="2" t="s">
        <v>18</v>
      </c>
      <c r="E1205" s="5">
        <v>-30373</v>
      </c>
      <c r="F1205" s="3" t="s">
        <v>1280</v>
      </c>
      <c r="G1205" s="3" t="s">
        <v>42</v>
      </c>
      <c r="H1205" s="2" t="s">
        <v>21</v>
      </c>
      <c r="I1205" s="2" t="s">
        <v>3084</v>
      </c>
      <c r="J1205" s="3" t="str">
        <f>HYPERLINK("https://www.boe.es/gazeta/dias/1816/11/02/pdfs/GMD-1816-137.pdf#page=8","Abrir facsímil")</f>
        <v>Abrir facsímil</v>
      </c>
      <c r="K1205" s="3" t="s">
        <v>23</v>
      </c>
    </row>
    <row r="1206" spans="1:11" ht="42" customHeight="1">
      <c r="A1206" s="2" t="s">
        <v>3056</v>
      </c>
      <c r="B1206" s="2" t="s">
        <v>3057</v>
      </c>
      <c r="C1206" s="2" t="s">
        <v>26</v>
      </c>
      <c r="D1206" s="2" t="s">
        <v>18</v>
      </c>
      <c r="E1206" s="5">
        <v>-30366</v>
      </c>
      <c r="F1206" s="3" t="s">
        <v>179</v>
      </c>
      <c r="G1206" s="3" t="s">
        <v>42</v>
      </c>
      <c r="H1206" s="2" t="s">
        <v>21</v>
      </c>
      <c r="I1206" s="2" t="s">
        <v>3085</v>
      </c>
      <c r="J1206" s="3" t="str">
        <f>HYPERLINK("https://www.boe.es/gazeta/dias/1816/11/09/pdfs/GMD-1816-140.pdf#page=8","Abrir facsímil")</f>
        <v>Abrir facsímil</v>
      </c>
      <c r="K1206" s="3" t="s">
        <v>23</v>
      </c>
    </row>
    <row r="1207" spans="1:11" ht="42" customHeight="1">
      <c r="A1207" s="2" t="s">
        <v>3086</v>
      </c>
      <c r="B1207" s="2" t="s">
        <v>3087</v>
      </c>
      <c r="C1207" s="2" t="s">
        <v>34</v>
      </c>
      <c r="D1207" s="2" t="s">
        <v>35</v>
      </c>
      <c r="E1207" s="5">
        <v>-30646</v>
      </c>
      <c r="F1207" s="3" t="s">
        <v>615</v>
      </c>
      <c r="G1207" s="3" t="s">
        <v>42</v>
      </c>
      <c r="H1207" s="2" t="s">
        <v>21</v>
      </c>
      <c r="I1207" s="2" t="s">
        <v>3088</v>
      </c>
      <c r="J1207" s="3" t="str">
        <f>HYPERLINK("https://www.boe.es/gazeta/dias/1816/02/03/pdfs/GMD-1816-16.pdf#page=8","Abrir facsímil")</f>
        <v>Abrir facsímil</v>
      </c>
      <c r="K1207" s="3" t="s">
        <v>23</v>
      </c>
    </row>
    <row r="1208" spans="1:11" ht="42" customHeight="1">
      <c r="A1208" s="2" t="s">
        <v>3089</v>
      </c>
      <c r="B1208" s="2" t="s">
        <v>3090</v>
      </c>
      <c r="C1208" s="2" t="s">
        <v>111</v>
      </c>
      <c r="D1208" s="2" t="s">
        <v>112</v>
      </c>
      <c r="E1208" s="5">
        <v>-30375</v>
      </c>
      <c r="F1208" s="3" t="s">
        <v>404</v>
      </c>
      <c r="G1208" s="3" t="s">
        <v>1276</v>
      </c>
      <c r="H1208" s="2" t="s">
        <v>29</v>
      </c>
      <c r="I1208" s="2" t="s">
        <v>3091</v>
      </c>
      <c r="J1208" s="3" t="str">
        <f>HYPERLINK("https://www.boe.es/gazeta/dias/1816/10/31/pdfs/GMD-1816-136.pdf#page=5","Abrir facsímil")</f>
        <v>Abrir facsímil</v>
      </c>
      <c r="K1208" s="3" t="s">
        <v>31</v>
      </c>
    </row>
    <row r="1209" spans="1:11" ht="42" customHeight="1">
      <c r="A1209" s="2" t="s">
        <v>3092</v>
      </c>
      <c r="B1209" s="2" t="s">
        <v>3093</v>
      </c>
      <c r="C1209" s="2" t="s">
        <v>41</v>
      </c>
      <c r="D1209" s="2" t="s">
        <v>18</v>
      </c>
      <c r="E1209" s="5">
        <v>-30590</v>
      </c>
      <c r="F1209" s="3" t="s">
        <v>195</v>
      </c>
      <c r="G1209" s="3" t="s">
        <v>42</v>
      </c>
      <c r="H1209" s="2" t="s">
        <v>21</v>
      </c>
      <c r="I1209" s="2" t="s">
        <v>3094</v>
      </c>
      <c r="J1209" s="3" t="str">
        <f>HYPERLINK("https://www.boe.es/gazeta/dias/1816/03/30/pdfs/GMD-1816-42.pdf#page=8","Abrir facsímil")</f>
        <v>Abrir facsímil</v>
      </c>
      <c r="K1209" s="3" t="s">
        <v>23</v>
      </c>
    </row>
    <row r="1210" spans="1:11" ht="42" customHeight="1">
      <c r="A1210" s="2" t="s">
        <v>3095</v>
      </c>
      <c r="B1210" s="2" t="s">
        <v>3096</v>
      </c>
      <c r="C1210" s="2" t="s">
        <v>34</v>
      </c>
      <c r="D1210" s="2" t="s">
        <v>35</v>
      </c>
      <c r="E1210" s="5">
        <v>-30354</v>
      </c>
      <c r="F1210" s="3" t="s">
        <v>68</v>
      </c>
      <c r="G1210" s="3" t="s">
        <v>526</v>
      </c>
      <c r="H1210" s="2" t="s">
        <v>29</v>
      </c>
      <c r="I1210" s="2" t="s">
        <v>3097</v>
      </c>
      <c r="J1210" s="3" t="str">
        <f>HYPERLINK("https://www.boe.es/gazeta/dias/1816/11/21/pdfs/GMD-1816-145.pdf#page=6","Abrir facsímil")</f>
        <v>Abrir facsímil</v>
      </c>
      <c r="K1210" s="3" t="s">
        <v>31</v>
      </c>
    </row>
    <row r="1211" spans="1:11" ht="42" customHeight="1">
      <c r="A1211" s="2" t="s">
        <v>3098</v>
      </c>
      <c r="B1211" s="2" t="s">
        <v>3099</v>
      </c>
      <c r="C1211" s="2" t="s">
        <v>26</v>
      </c>
      <c r="D1211" s="2" t="s">
        <v>18</v>
      </c>
      <c r="E1211" s="5">
        <v>-30594</v>
      </c>
      <c r="F1211" s="3" t="s">
        <v>234</v>
      </c>
      <c r="G1211" s="3" t="s">
        <v>42</v>
      </c>
      <c r="H1211" s="2" t="s">
        <v>21</v>
      </c>
      <c r="I1211" s="2" t="s">
        <v>3100</v>
      </c>
      <c r="J1211" s="3" t="str">
        <f>HYPERLINK("https://www.boe.es/gazeta/dias/1816/03/26/pdfs/GMD-1816-40.pdf#page=8","Abrir facsímil")</f>
        <v>Abrir facsímil</v>
      </c>
      <c r="K1211" s="3" t="s">
        <v>23</v>
      </c>
    </row>
    <row r="1212" spans="1:11" ht="42" customHeight="1">
      <c r="A1212" s="2" t="s">
        <v>3101</v>
      </c>
      <c r="B1212" s="2" t="s">
        <v>3102</v>
      </c>
      <c r="C1212" s="2" t="s">
        <v>67</v>
      </c>
      <c r="D1212" s="2" t="s">
        <v>18</v>
      </c>
      <c r="E1212" s="5">
        <v>-30571</v>
      </c>
      <c r="F1212" s="3" t="s">
        <v>738</v>
      </c>
      <c r="G1212" s="3" t="s">
        <v>42</v>
      </c>
      <c r="H1212" s="2" t="s">
        <v>21</v>
      </c>
      <c r="I1212" s="2" t="s">
        <v>3103</v>
      </c>
      <c r="J1212" s="3" t="str">
        <f>HYPERLINK("https://www.boe.es/gazeta/dias/1816/04/18/pdfs/GMD-1816-50.pdf#page=8","Abrir facsímil")</f>
        <v>Abrir facsímil</v>
      </c>
      <c r="K1212" s="3" t="s">
        <v>23</v>
      </c>
    </row>
    <row r="1213" spans="1:11" ht="42" customHeight="1">
      <c r="A1213" s="2" t="s">
        <v>3104</v>
      </c>
      <c r="B1213" s="2" t="s">
        <v>3105</v>
      </c>
      <c r="C1213" s="2" t="s">
        <v>26</v>
      </c>
      <c r="D1213" s="2" t="s">
        <v>18</v>
      </c>
      <c r="E1213" s="5">
        <v>-30655</v>
      </c>
      <c r="F1213" s="3" t="s">
        <v>170</v>
      </c>
      <c r="G1213" s="3" t="s">
        <v>850</v>
      </c>
      <c r="H1213" s="2" t="s">
        <v>21</v>
      </c>
      <c r="I1213" s="2" t="s">
        <v>3106</v>
      </c>
      <c r="J1213" s="3" t="str">
        <f>HYPERLINK("https://www.boe.es/gazeta/dias/1816/01/25/pdfs/GMD-1816-11.pdf#page=6","Abrir facsímil")</f>
        <v>Abrir facsímil</v>
      </c>
      <c r="K1213" s="3" t="s">
        <v>23</v>
      </c>
    </row>
    <row r="1214" spans="1:11" ht="42" customHeight="1">
      <c r="A1214" s="2" t="s">
        <v>3107</v>
      </c>
      <c r="B1214" s="2" t="s">
        <v>3108</v>
      </c>
      <c r="C1214" s="2" t="s">
        <v>67</v>
      </c>
      <c r="D1214" s="2" t="s">
        <v>18</v>
      </c>
      <c r="E1214" s="5">
        <v>-30655</v>
      </c>
      <c r="F1214" s="3" t="s">
        <v>170</v>
      </c>
      <c r="G1214" s="3" t="s">
        <v>47</v>
      </c>
      <c r="H1214" s="2" t="s">
        <v>29</v>
      </c>
      <c r="I1214" s="2" t="s">
        <v>3109</v>
      </c>
      <c r="J1214" s="3" t="str">
        <f>HYPERLINK("https://www.boe.es/gazeta/dias/1816/01/25/pdfs/GMD-1816-11.pdf#page=5","Abrir facsímil")</f>
        <v>Abrir facsímil</v>
      </c>
      <c r="K1214" s="3" t="s">
        <v>31</v>
      </c>
    </row>
    <row r="1215" spans="1:11" ht="42" customHeight="1">
      <c r="A1215" s="2" t="s">
        <v>3110</v>
      </c>
      <c r="B1215" s="2" t="s">
        <v>3111</v>
      </c>
      <c r="C1215" s="2" t="s">
        <v>41</v>
      </c>
      <c r="D1215" s="2" t="s">
        <v>18</v>
      </c>
      <c r="E1215" s="5">
        <v>-30494</v>
      </c>
      <c r="F1215" s="3" t="s">
        <v>174</v>
      </c>
      <c r="G1215" s="3" t="s">
        <v>175</v>
      </c>
      <c r="H1215" s="2" t="s">
        <v>21</v>
      </c>
      <c r="I1215" s="2" t="s">
        <v>3112</v>
      </c>
      <c r="J1215" s="3" t="str">
        <f>HYPERLINK("https://www.boe.es/gazeta/dias/1816/07/04/pdfs/GMD-1816-83.pdf#page=11","Abrir facsímil")</f>
        <v>Abrir facsímil</v>
      </c>
      <c r="K1215" s="3" t="s">
        <v>23</v>
      </c>
    </row>
    <row r="1216" spans="1:11" ht="42" customHeight="1">
      <c r="A1216" s="2" t="s">
        <v>3113</v>
      </c>
      <c r="B1216" s="2" t="s">
        <v>3113</v>
      </c>
      <c r="C1216" s="2" t="s">
        <v>34</v>
      </c>
      <c r="D1216" s="2" t="s">
        <v>35</v>
      </c>
      <c r="E1216" s="5">
        <v>-30678</v>
      </c>
      <c r="F1216" s="3" t="s">
        <v>76</v>
      </c>
      <c r="G1216" s="3" t="s">
        <v>1638</v>
      </c>
      <c r="H1216" s="2" t="s">
        <v>21</v>
      </c>
      <c r="I1216" s="2" t="s">
        <v>3114</v>
      </c>
      <c r="J1216" s="3" t="str">
        <f>HYPERLINK("https://www.boe.es/gazeta/dias/1816/01/02/pdfs/GMD-1816-1.pdf#page=2","Abrir facsímil")</f>
        <v>Abrir facsímil</v>
      </c>
      <c r="K1216" s="3" t="s">
        <v>23</v>
      </c>
    </row>
    <row r="1217" spans="1:11" ht="42" customHeight="1">
      <c r="A1217" s="2" t="s">
        <v>3115</v>
      </c>
      <c r="B1217" s="2" t="s">
        <v>3115</v>
      </c>
      <c r="C1217" s="2" t="s">
        <v>34</v>
      </c>
      <c r="D1217" s="2" t="s">
        <v>35</v>
      </c>
      <c r="E1217" s="5">
        <v>-30573</v>
      </c>
      <c r="F1217" s="3" t="s">
        <v>840</v>
      </c>
      <c r="G1217" s="3" t="s">
        <v>184</v>
      </c>
      <c r="H1217" s="2" t="s">
        <v>21</v>
      </c>
      <c r="I1217" s="2" t="s">
        <v>3116</v>
      </c>
      <c r="J1217" s="3" t="str">
        <f>HYPERLINK("https://www.boe.es/gazeta/dias/1816/04/16/pdfs/GMD-1816-49.pdf#page=3","Abrir facsímil")</f>
        <v>Abrir facsímil</v>
      </c>
      <c r="K1217" s="3" t="s">
        <v>23</v>
      </c>
    </row>
    <row r="1218" spans="1:11" ht="42" customHeight="1">
      <c r="A1218" s="2" t="s">
        <v>3117</v>
      </c>
      <c r="B1218" s="2" t="s">
        <v>3117</v>
      </c>
      <c r="C1218" s="2" t="s">
        <v>26</v>
      </c>
      <c r="D1218" s="2" t="s">
        <v>18</v>
      </c>
      <c r="E1218" s="5">
        <v>-30594</v>
      </c>
      <c r="F1218" s="3" t="s">
        <v>234</v>
      </c>
      <c r="G1218" s="3" t="s">
        <v>270</v>
      </c>
      <c r="H1218" s="2" t="s">
        <v>21</v>
      </c>
      <c r="I1218" s="2" t="s">
        <v>3118</v>
      </c>
      <c r="J1218" s="3" t="str">
        <f>HYPERLINK("https://www.boe.es/gazeta/dias/1816/03/26/pdfs/GMD-1816-40.pdf#page=2","Abrir facsímil")</f>
        <v>Abrir facsímil</v>
      </c>
      <c r="K1218" s="3" t="s">
        <v>23</v>
      </c>
    </row>
    <row r="1219" spans="1:11" ht="42" customHeight="1">
      <c r="A1219" s="2" t="s">
        <v>3119</v>
      </c>
      <c r="B1219" s="2" t="s">
        <v>3119</v>
      </c>
      <c r="C1219" s="2" t="s">
        <v>34</v>
      </c>
      <c r="D1219" s="2" t="s">
        <v>35</v>
      </c>
      <c r="E1219" s="5">
        <v>-30646</v>
      </c>
      <c r="F1219" s="3" t="s">
        <v>615</v>
      </c>
      <c r="G1219" s="3" t="s">
        <v>184</v>
      </c>
      <c r="H1219" s="2" t="s">
        <v>21</v>
      </c>
      <c r="I1219" s="2" t="s">
        <v>3120</v>
      </c>
      <c r="J1219" s="3" t="str">
        <f>HYPERLINK("https://www.boe.es/gazeta/dias/1816/02/03/pdfs/GMD-1816-16.pdf#page=3","Abrir facsímil")</f>
        <v>Abrir facsímil</v>
      </c>
      <c r="K1219" s="3" t="s">
        <v>23</v>
      </c>
    </row>
    <row r="1220" spans="1:11" ht="42" customHeight="1">
      <c r="A1220" s="2" t="s">
        <v>3121</v>
      </c>
      <c r="B1220" s="2" t="s">
        <v>3121</v>
      </c>
      <c r="C1220" s="2" t="s">
        <v>34</v>
      </c>
      <c r="D1220" s="2" t="s">
        <v>35</v>
      </c>
      <c r="E1220" s="5">
        <v>-30517</v>
      </c>
      <c r="F1220" s="3" t="s">
        <v>557</v>
      </c>
      <c r="G1220" s="3" t="s">
        <v>184</v>
      </c>
      <c r="H1220" s="2" t="s">
        <v>21</v>
      </c>
      <c r="I1220" s="2" t="s">
        <v>3122</v>
      </c>
      <c r="J1220" s="3" t="str">
        <f>HYPERLINK("https://www.boe.es/gazeta/dias/1816/06/11/pdfs/GMD-1816-73.pdf#page=3","Abrir facsímil")</f>
        <v>Abrir facsímil</v>
      </c>
      <c r="K1220" s="3" t="s">
        <v>23</v>
      </c>
    </row>
    <row r="1221" spans="1:11" ht="42" customHeight="1">
      <c r="A1221" s="2" t="s">
        <v>3121</v>
      </c>
      <c r="B1221" s="2" t="s">
        <v>3121</v>
      </c>
      <c r="C1221" s="2" t="s">
        <v>34</v>
      </c>
      <c r="D1221" s="2" t="s">
        <v>35</v>
      </c>
      <c r="E1221" s="5">
        <v>-30517</v>
      </c>
      <c r="F1221" s="3" t="s">
        <v>557</v>
      </c>
      <c r="G1221" s="3" t="s">
        <v>103</v>
      </c>
      <c r="H1221" s="2" t="s">
        <v>21</v>
      </c>
      <c r="I1221" s="2" t="s">
        <v>3123</v>
      </c>
      <c r="J1221" s="3" t="str">
        <f>HYPERLINK("https://www.boe.es/gazeta/dias/1816/06/11/pdfs/GMD-1816-73.pdf#page=4","Abrir facsímil")</f>
        <v>Abrir facsímil</v>
      </c>
      <c r="K1221" s="3" t="s">
        <v>23</v>
      </c>
    </row>
    <row r="1222" spans="1:11" ht="42" customHeight="1">
      <c r="A1222" s="2" t="s">
        <v>3124</v>
      </c>
      <c r="B1222" s="2" t="s">
        <v>3125</v>
      </c>
      <c r="C1222" s="2" t="s">
        <v>111</v>
      </c>
      <c r="D1222" s="2" t="s">
        <v>112</v>
      </c>
      <c r="E1222" s="5">
        <v>-30471</v>
      </c>
      <c r="F1222" s="3" t="s">
        <v>639</v>
      </c>
      <c r="G1222" s="3" t="s">
        <v>184</v>
      </c>
      <c r="H1222" s="2" t="s">
        <v>21</v>
      </c>
      <c r="I1222" s="2" t="s">
        <v>3126</v>
      </c>
      <c r="J1222" s="3" t="str">
        <f>HYPERLINK("https://www.boe.es/gazeta/dias/1816/07/27/pdfs/GMD-1816-93.pdf#page=3","Abrir facsímil")</f>
        <v>Abrir facsímil</v>
      </c>
      <c r="K1222" s="3" t="s">
        <v>23</v>
      </c>
    </row>
    <row r="1223" spans="1:11" ht="42" customHeight="1">
      <c r="A1223" s="2" t="s">
        <v>3127</v>
      </c>
      <c r="B1223" s="2" t="s">
        <v>3128</v>
      </c>
      <c r="C1223" s="2" t="s">
        <v>41</v>
      </c>
      <c r="D1223" s="2" t="s">
        <v>18</v>
      </c>
      <c r="E1223" s="5">
        <v>-30494</v>
      </c>
      <c r="F1223" s="3" t="s">
        <v>174</v>
      </c>
      <c r="G1223" s="3" t="s">
        <v>175</v>
      </c>
      <c r="H1223" s="2" t="s">
        <v>21</v>
      </c>
      <c r="I1223" s="2" t="s">
        <v>3129</v>
      </c>
      <c r="J1223" s="3" t="str">
        <f>HYPERLINK("https://www.boe.es/gazeta/dias/1816/07/04/pdfs/GMD-1816-83.pdf#page=11","Abrir facsímil")</f>
        <v>Abrir facsímil</v>
      </c>
      <c r="K1223" s="3" t="s">
        <v>23</v>
      </c>
    </row>
    <row r="1224" spans="1:11" ht="42" customHeight="1">
      <c r="A1224" s="2" t="s">
        <v>3130</v>
      </c>
      <c r="B1224" s="2" t="s">
        <v>3131</v>
      </c>
      <c r="C1224" s="2" t="s">
        <v>41</v>
      </c>
      <c r="D1224" s="2" t="s">
        <v>18</v>
      </c>
      <c r="E1224" s="5">
        <v>-30494</v>
      </c>
      <c r="F1224" s="3" t="s">
        <v>174</v>
      </c>
      <c r="G1224" s="3" t="s">
        <v>175</v>
      </c>
      <c r="H1224" s="2" t="s">
        <v>21</v>
      </c>
      <c r="I1224" s="2" t="s">
        <v>3132</v>
      </c>
      <c r="J1224" s="3" t="str">
        <f>HYPERLINK("https://www.boe.es/gazeta/dias/1816/07/04/pdfs/GMD-1816-83.pdf#page=11","Abrir facsímil")</f>
        <v>Abrir facsímil</v>
      </c>
      <c r="K1224" s="3" t="s">
        <v>23</v>
      </c>
    </row>
    <row r="1225" spans="1:11" ht="42" customHeight="1">
      <c r="A1225" s="2" t="s">
        <v>3133</v>
      </c>
      <c r="B1225" s="2" t="s">
        <v>3133</v>
      </c>
      <c r="C1225" s="2" t="s">
        <v>111</v>
      </c>
      <c r="D1225" s="2" t="s">
        <v>112</v>
      </c>
      <c r="E1225" s="5">
        <v>-30384</v>
      </c>
      <c r="F1225" s="3" t="s">
        <v>460</v>
      </c>
      <c r="G1225" s="3" t="s">
        <v>42</v>
      </c>
      <c r="H1225" s="2" t="s">
        <v>21</v>
      </c>
      <c r="I1225" s="2" t="s">
        <v>3134</v>
      </c>
      <c r="J1225" s="3" t="str">
        <f>HYPERLINK("https://www.boe.es/gazeta/dias/1816/10/22/pdfs/GMD-1816-132.pdf#page=8","Abrir facsímil")</f>
        <v>Abrir facsímil</v>
      </c>
      <c r="K1225" s="3" t="s">
        <v>23</v>
      </c>
    </row>
    <row r="1226" spans="1:11" ht="42" customHeight="1">
      <c r="A1226" s="2" t="s">
        <v>3135</v>
      </c>
      <c r="B1226" s="2" t="s">
        <v>3135</v>
      </c>
      <c r="C1226" s="2" t="s">
        <v>111</v>
      </c>
      <c r="D1226" s="2" t="s">
        <v>112</v>
      </c>
      <c r="E1226" s="5">
        <v>-30573</v>
      </c>
      <c r="F1226" s="3" t="s">
        <v>840</v>
      </c>
      <c r="G1226" s="3" t="s">
        <v>270</v>
      </c>
      <c r="H1226" s="2" t="s">
        <v>21</v>
      </c>
      <c r="I1226" s="2" t="s">
        <v>3136</v>
      </c>
      <c r="J1226" s="3" t="str">
        <f>HYPERLINK("https://www.boe.es/gazeta/dias/1816/04/16/pdfs/GMD-1816-49.pdf#page=2","Abrir facsímil")</f>
        <v>Abrir facsímil</v>
      </c>
      <c r="K1226" s="3" t="s">
        <v>23</v>
      </c>
    </row>
    <row r="1227" spans="1:11" ht="42" customHeight="1">
      <c r="A1227" s="2" t="s">
        <v>3137</v>
      </c>
      <c r="B1227" s="2" t="s">
        <v>3137</v>
      </c>
      <c r="C1227" s="2" t="s">
        <v>34</v>
      </c>
      <c r="D1227" s="2" t="s">
        <v>35</v>
      </c>
      <c r="E1227" s="5">
        <v>-30436</v>
      </c>
      <c r="F1227" s="3" t="s">
        <v>102</v>
      </c>
      <c r="G1227" s="3" t="s">
        <v>270</v>
      </c>
      <c r="H1227" s="2" t="s">
        <v>21</v>
      </c>
      <c r="I1227" s="2" t="s">
        <v>3138</v>
      </c>
      <c r="J1227" s="3" t="str">
        <f>HYPERLINK("https://www.boe.es/gazeta/dias/1816/08/31/pdfs/GMD-1816-108.pdf#page=2","Abrir facsímil")</f>
        <v>Abrir facsímil</v>
      </c>
      <c r="K1227" s="3" t="s">
        <v>23</v>
      </c>
    </row>
    <row r="1228" spans="1:11" ht="42" customHeight="1">
      <c r="A1228" s="2" t="s">
        <v>3139</v>
      </c>
      <c r="B1228" s="2" t="s">
        <v>3139</v>
      </c>
      <c r="C1228" s="2" t="s">
        <v>34</v>
      </c>
      <c r="D1228" s="2" t="s">
        <v>35</v>
      </c>
      <c r="E1228" s="5">
        <v>-30424</v>
      </c>
      <c r="F1228" s="3" t="s">
        <v>142</v>
      </c>
      <c r="G1228" s="3" t="s">
        <v>58</v>
      </c>
      <c r="H1228" s="2" t="s">
        <v>21</v>
      </c>
      <c r="I1228" s="2" t="s">
        <v>3140</v>
      </c>
      <c r="J1228" s="3" t="str">
        <f>HYPERLINK("https://www.boe.es/gazeta/dias/1816/09/12/pdfs/GMD-1816-113.pdf#page=1","Abrir facsímil")</f>
        <v>Abrir facsímil</v>
      </c>
      <c r="K1228" s="3" t="s">
        <v>23</v>
      </c>
    </row>
    <row r="1229" spans="1:11" ht="42" customHeight="1">
      <c r="A1229" s="2" t="s">
        <v>3141</v>
      </c>
      <c r="B1229" s="2" t="s">
        <v>3142</v>
      </c>
      <c r="C1229" s="2" t="s">
        <v>34</v>
      </c>
      <c r="D1229" s="2" t="s">
        <v>35</v>
      </c>
      <c r="E1229" s="5">
        <v>-30639</v>
      </c>
      <c r="F1229" s="3" t="s">
        <v>87</v>
      </c>
      <c r="G1229" s="3" t="s">
        <v>28</v>
      </c>
      <c r="H1229" s="2" t="s">
        <v>21</v>
      </c>
      <c r="I1229" s="2" t="s">
        <v>3143</v>
      </c>
      <c r="J1229" s="3" t="str">
        <f>HYPERLINK("https://www.boe.es/gazeta/dias/1816/02/10/pdfs/GMD-1816-19.pdf#page=6","Abrir facsímil")</f>
        <v>Abrir facsímil</v>
      </c>
      <c r="K1229" s="3" t="s">
        <v>23</v>
      </c>
    </row>
    <row r="1230" spans="1:11" ht="42" customHeight="1">
      <c r="A1230" s="2" t="s">
        <v>3144</v>
      </c>
      <c r="B1230" s="2" t="s">
        <v>3144</v>
      </c>
      <c r="C1230" s="2" t="s">
        <v>34</v>
      </c>
      <c r="D1230" s="2" t="s">
        <v>35</v>
      </c>
      <c r="E1230" s="5">
        <v>-30447</v>
      </c>
      <c r="F1230" s="3" t="s">
        <v>151</v>
      </c>
      <c r="G1230" s="3" t="s">
        <v>72</v>
      </c>
      <c r="H1230" s="2" t="s">
        <v>21</v>
      </c>
      <c r="I1230" s="2" t="s">
        <v>3145</v>
      </c>
      <c r="J1230" s="3" t="str">
        <f>HYPERLINK("https://www.boe.es/gazeta/dias/1816/08/20/pdfs/GMD-1816-103.pdf#page=7","Abrir facsímil")</f>
        <v>Abrir facsímil</v>
      </c>
      <c r="K1230" s="3" t="s">
        <v>23</v>
      </c>
    </row>
    <row r="1231" spans="1:11" ht="42" customHeight="1">
      <c r="A1231" s="2" t="s">
        <v>3146</v>
      </c>
      <c r="B1231" s="2" t="s">
        <v>3146</v>
      </c>
      <c r="C1231" s="2" t="s">
        <v>111</v>
      </c>
      <c r="D1231" s="2" t="s">
        <v>112</v>
      </c>
      <c r="E1231" s="5">
        <v>-30447</v>
      </c>
      <c r="F1231" s="3" t="s">
        <v>151</v>
      </c>
      <c r="G1231" s="3" t="s">
        <v>152</v>
      </c>
      <c r="H1231" s="2" t="s">
        <v>21</v>
      </c>
      <c r="I1231" s="2" t="s">
        <v>3147</v>
      </c>
      <c r="J1231" s="3" t="str">
        <f>HYPERLINK("https://www.boe.es/gazeta/dias/1816/08/20/pdfs/GMD-1816-103.pdf#page=8","Abrir facsímil")</f>
        <v>Abrir facsímil</v>
      </c>
      <c r="K1231" s="3" t="s">
        <v>23</v>
      </c>
    </row>
    <row r="1232" spans="1:11" ht="42" customHeight="1">
      <c r="A1232" s="2" t="s">
        <v>3148</v>
      </c>
      <c r="B1232" s="2" t="s">
        <v>3149</v>
      </c>
      <c r="C1232" s="2" t="s">
        <v>111</v>
      </c>
      <c r="D1232" s="2" t="s">
        <v>112</v>
      </c>
      <c r="E1232" s="5">
        <v>-30517</v>
      </c>
      <c r="F1232" s="3" t="s">
        <v>557</v>
      </c>
      <c r="G1232" s="3" t="s">
        <v>103</v>
      </c>
      <c r="H1232" s="2" t="s">
        <v>21</v>
      </c>
      <c r="I1232" s="2" t="s">
        <v>3150</v>
      </c>
      <c r="J1232" s="3" t="str">
        <f>HYPERLINK("https://www.boe.es/gazeta/dias/1816/06/11/pdfs/GMD-1816-73.pdf#page=4","Abrir facsímil")</f>
        <v>Abrir facsímil</v>
      </c>
      <c r="K1232" s="3" t="s">
        <v>23</v>
      </c>
    </row>
    <row r="1233" spans="1:11" ht="42" customHeight="1">
      <c r="A1233" s="2" t="s">
        <v>3151</v>
      </c>
      <c r="B1233" s="2" t="s">
        <v>3151</v>
      </c>
      <c r="C1233" s="2" t="s">
        <v>26</v>
      </c>
      <c r="D1233" s="2" t="s">
        <v>18</v>
      </c>
      <c r="E1233" s="5">
        <v>-30625</v>
      </c>
      <c r="F1233" s="3" t="s">
        <v>631</v>
      </c>
      <c r="G1233" s="3" t="s">
        <v>42</v>
      </c>
      <c r="H1233" s="2" t="s">
        <v>21</v>
      </c>
      <c r="I1233" s="2" t="s">
        <v>3152</v>
      </c>
      <c r="J1233" s="3" t="str">
        <f>HYPERLINK("https://www.boe.es/gazeta/dias/1816/02/24/pdfs/GMD-1816-25.pdf#page=8","Abrir facsímil")</f>
        <v>Abrir facsímil</v>
      </c>
      <c r="K1233" s="3" t="s">
        <v>23</v>
      </c>
    </row>
    <row r="1234" spans="1:11" ht="42" customHeight="1">
      <c r="A1234" s="2" t="s">
        <v>3151</v>
      </c>
      <c r="B1234" s="2" t="s">
        <v>3151</v>
      </c>
      <c r="C1234" s="2" t="s">
        <v>17</v>
      </c>
      <c r="D1234" s="2" t="s">
        <v>18</v>
      </c>
      <c r="E1234" s="5">
        <v>-30517</v>
      </c>
      <c r="F1234" s="3" t="s">
        <v>557</v>
      </c>
      <c r="G1234" s="3" t="s">
        <v>103</v>
      </c>
      <c r="H1234" s="2" t="s">
        <v>21</v>
      </c>
      <c r="I1234" s="2" t="s">
        <v>3153</v>
      </c>
      <c r="J1234" s="3" t="str">
        <f>HYPERLINK("https://www.boe.es/gazeta/dias/1816/06/11/pdfs/GMD-1816-73.pdf#page=4","Abrir facsímil")</f>
        <v>Abrir facsímil</v>
      </c>
      <c r="K1234" s="3" t="s">
        <v>23</v>
      </c>
    </row>
    <row r="1235" spans="1:11" ht="42" customHeight="1">
      <c r="A1235" s="2" t="s">
        <v>3151</v>
      </c>
      <c r="B1235" s="2" t="s">
        <v>3151</v>
      </c>
      <c r="C1235" s="2" t="s">
        <v>111</v>
      </c>
      <c r="D1235" s="2" t="s">
        <v>112</v>
      </c>
      <c r="E1235" s="5">
        <v>-30482</v>
      </c>
      <c r="F1235" s="3" t="s">
        <v>370</v>
      </c>
      <c r="G1235" s="3" t="s">
        <v>180</v>
      </c>
      <c r="H1235" s="2" t="s">
        <v>21</v>
      </c>
      <c r="I1235" s="2" t="s">
        <v>3154</v>
      </c>
      <c r="J1235" s="3" t="str">
        <f>HYPERLINK("https://www.boe.es/gazeta/dias/1816/07/16/pdfs/GMD-1816-88.pdf#page=10","Abrir facsímil")</f>
        <v>Abrir facsímil</v>
      </c>
      <c r="K1235" s="3" t="s">
        <v>23</v>
      </c>
    </row>
    <row r="1236" spans="1:11" ht="42" customHeight="1">
      <c r="A1236" s="2" t="s">
        <v>3151</v>
      </c>
      <c r="B1236" s="2" t="s">
        <v>3151</v>
      </c>
      <c r="C1236" s="2" t="s">
        <v>111</v>
      </c>
      <c r="D1236" s="2" t="s">
        <v>112</v>
      </c>
      <c r="E1236" s="5">
        <v>-30433</v>
      </c>
      <c r="F1236" s="3" t="s">
        <v>954</v>
      </c>
      <c r="G1236" s="3" t="s">
        <v>28</v>
      </c>
      <c r="H1236" s="2" t="s">
        <v>21</v>
      </c>
      <c r="I1236" s="2" t="s">
        <v>3155</v>
      </c>
      <c r="J1236" s="3" t="str">
        <f>HYPERLINK("https://www.boe.es/gazeta/dias/1816/09/03/pdfs/GMD-1816-109.pdf#page=6","Abrir facsímil")</f>
        <v>Abrir facsímil</v>
      </c>
      <c r="K1236" s="3" t="s">
        <v>23</v>
      </c>
    </row>
    <row r="1237" spans="1:11" ht="42" customHeight="1">
      <c r="A1237" s="2" t="s">
        <v>3151</v>
      </c>
      <c r="B1237" s="2" t="s">
        <v>3151</v>
      </c>
      <c r="C1237" s="2" t="s">
        <v>111</v>
      </c>
      <c r="D1237" s="2" t="s">
        <v>112</v>
      </c>
      <c r="E1237" s="5">
        <v>-30384</v>
      </c>
      <c r="F1237" s="3" t="s">
        <v>460</v>
      </c>
      <c r="G1237" s="3" t="s">
        <v>28</v>
      </c>
      <c r="H1237" s="2" t="s">
        <v>21</v>
      </c>
      <c r="I1237" s="2" t="s">
        <v>3156</v>
      </c>
      <c r="J1237" s="3" t="str">
        <f>HYPERLINK("https://www.boe.es/gazeta/dias/1816/10/22/pdfs/GMD-1816-132.pdf#page=6","Abrir facsímil")</f>
        <v>Abrir facsímil</v>
      </c>
      <c r="K1237" s="3" t="s">
        <v>23</v>
      </c>
    </row>
    <row r="1238" spans="1:11" ht="42" customHeight="1">
      <c r="A1238" s="2" t="s">
        <v>3151</v>
      </c>
      <c r="B1238" s="2" t="s">
        <v>3151</v>
      </c>
      <c r="C1238" s="2" t="s">
        <v>34</v>
      </c>
      <c r="D1238" s="2" t="s">
        <v>35</v>
      </c>
      <c r="E1238" s="5">
        <v>-30321</v>
      </c>
      <c r="F1238" s="3" t="s">
        <v>1086</v>
      </c>
      <c r="G1238" s="3" t="s">
        <v>184</v>
      </c>
      <c r="H1238" s="2" t="s">
        <v>21</v>
      </c>
      <c r="I1238" s="2" t="s">
        <v>3157</v>
      </c>
      <c r="J1238" s="3" t="str">
        <f>HYPERLINK("https://www.boe.es/gazeta/dias/1816/12/24/pdfs/GMD-1816-159.pdf#page=3","Abrir facsímil")</f>
        <v>Abrir facsímil</v>
      </c>
      <c r="K1238" s="3" t="s">
        <v>23</v>
      </c>
    </row>
    <row r="1239" spans="1:11" ht="42" customHeight="1">
      <c r="A1239" s="2" t="s">
        <v>3158</v>
      </c>
      <c r="B1239" s="2" t="s">
        <v>3159</v>
      </c>
      <c r="C1239" s="2" t="s">
        <v>81</v>
      </c>
      <c r="D1239" s="2" t="s">
        <v>18</v>
      </c>
      <c r="E1239" s="5">
        <v>-30424</v>
      </c>
      <c r="F1239" s="3" t="s">
        <v>142</v>
      </c>
      <c r="G1239" s="3" t="s">
        <v>180</v>
      </c>
      <c r="H1239" s="2" t="s">
        <v>29</v>
      </c>
      <c r="I1239" s="2" t="s">
        <v>3160</v>
      </c>
      <c r="J1239" s="3" t="str">
        <f>HYPERLINK("https://www.boe.es/gazeta/dias/1816/09/12/pdfs/GMD-1816-113.pdf#page=10","Abrir facsímil")</f>
        <v>Abrir facsímil</v>
      </c>
      <c r="K1239" s="3" t="s">
        <v>31</v>
      </c>
    </row>
    <row r="1240" spans="1:11" ht="42" customHeight="1">
      <c r="A1240" s="2" t="s">
        <v>3161</v>
      </c>
      <c r="B1240" s="2" t="s">
        <v>3162</v>
      </c>
      <c r="C1240" s="2" t="s">
        <v>26</v>
      </c>
      <c r="D1240" s="2" t="s">
        <v>18</v>
      </c>
      <c r="E1240" s="5">
        <v>-30496</v>
      </c>
      <c r="F1240" s="3" t="s">
        <v>290</v>
      </c>
      <c r="G1240" s="3" t="s">
        <v>673</v>
      </c>
      <c r="H1240" s="2" t="s">
        <v>29</v>
      </c>
      <c r="I1240" s="2" t="s">
        <v>3163</v>
      </c>
      <c r="J1240" s="3" t="str">
        <f>HYPERLINK("https://www.boe.es/gazeta/dias/1816/07/02/pdfs/GMD-1816-82.pdf#page=4","Abrir facsímil")</f>
        <v>Abrir facsímil</v>
      </c>
      <c r="K1240" s="3" t="s">
        <v>31</v>
      </c>
    </row>
    <row r="1241" spans="1:11" ht="42" customHeight="1">
      <c r="A1241" s="2" t="s">
        <v>3164</v>
      </c>
      <c r="B1241" s="2" t="s">
        <v>3165</v>
      </c>
      <c r="C1241" s="2" t="s">
        <v>111</v>
      </c>
      <c r="D1241" s="2" t="s">
        <v>112</v>
      </c>
      <c r="E1241" s="5">
        <v>-30515</v>
      </c>
      <c r="F1241" s="3" t="s">
        <v>2452</v>
      </c>
      <c r="G1241" s="3" t="s">
        <v>3166</v>
      </c>
      <c r="H1241" s="2" t="s">
        <v>29</v>
      </c>
      <c r="I1241" s="2" t="s">
        <v>3167</v>
      </c>
      <c r="J1241" s="3" t="str">
        <f>HYPERLINK("https://www.boe.es/gazeta/dias/1816/06/13/pdfs/GMD-1816-74.pdf#page=6","Abrir facsímil")</f>
        <v>Abrir facsímil</v>
      </c>
      <c r="K1241" s="3" t="s">
        <v>31</v>
      </c>
    </row>
    <row r="1242" spans="1:11" ht="42" customHeight="1">
      <c r="A1242" s="2" t="s">
        <v>3168</v>
      </c>
      <c r="B1242" s="2" t="s">
        <v>3169</v>
      </c>
      <c r="C1242" s="2" t="s">
        <v>67</v>
      </c>
      <c r="D1242" s="2" t="s">
        <v>18</v>
      </c>
      <c r="E1242" s="5">
        <v>-30440</v>
      </c>
      <c r="F1242" s="3" t="s">
        <v>564</v>
      </c>
      <c r="G1242" s="3" t="s">
        <v>2878</v>
      </c>
      <c r="H1242" s="2" t="s">
        <v>21</v>
      </c>
      <c r="I1242" s="2" t="s">
        <v>3170</v>
      </c>
      <c r="J1242" s="3" t="str">
        <f>HYPERLINK("https://www.boe.es/gazeta/dias/1816/08/27/pdfs/GMD-1816-106.pdf#page=8","Abrir facsímil")</f>
        <v>Abrir facsímil</v>
      </c>
      <c r="K1242" s="3" t="s">
        <v>23</v>
      </c>
    </row>
    <row r="1243" spans="1:11" ht="42" customHeight="1">
      <c r="A1243" s="2" t="s">
        <v>3171</v>
      </c>
      <c r="B1243" s="2" t="s">
        <v>3172</v>
      </c>
      <c r="C1243" s="2" t="s">
        <v>26</v>
      </c>
      <c r="D1243" s="2" t="s">
        <v>56</v>
      </c>
      <c r="E1243" s="5">
        <v>-30393</v>
      </c>
      <c r="F1243" s="3" t="s">
        <v>202</v>
      </c>
      <c r="G1243" s="3" t="s">
        <v>47</v>
      </c>
      <c r="H1243" s="2" t="s">
        <v>21</v>
      </c>
      <c r="I1243" s="2" t="s">
        <v>3173</v>
      </c>
      <c r="J1243" s="3" t="str">
        <f>HYPERLINK("https://www.boe.es/gazeta/dias/1816/10/13/pdfs/GMD-1816-128E.pdf#page=5","Abrir facsímil")</f>
        <v>Abrir facsímil</v>
      </c>
      <c r="K1243" s="3" t="s">
        <v>23</v>
      </c>
    </row>
    <row r="1244" spans="1:11" ht="42" customHeight="1">
      <c r="A1244" s="2" t="s">
        <v>3174</v>
      </c>
      <c r="B1244" s="2" t="s">
        <v>3175</v>
      </c>
      <c r="C1244" s="2" t="s">
        <v>34</v>
      </c>
      <c r="D1244" s="2" t="s">
        <v>35</v>
      </c>
      <c r="E1244" s="5">
        <v>-30326</v>
      </c>
      <c r="F1244" s="3" t="s">
        <v>377</v>
      </c>
      <c r="G1244" s="3" t="s">
        <v>72</v>
      </c>
      <c r="H1244" s="2" t="s">
        <v>21</v>
      </c>
      <c r="I1244" s="2" t="s">
        <v>3176</v>
      </c>
      <c r="J1244" s="3" t="str">
        <f>HYPERLINK("https://www.boe.es/gazeta/dias/1816/12/19/pdfs/GMD-1816-157.pdf#page=7","Abrir facsímil")</f>
        <v>Abrir facsímil</v>
      </c>
      <c r="K1244" s="3" t="s">
        <v>23</v>
      </c>
    </row>
    <row r="1245" spans="1:11" ht="42" customHeight="1">
      <c r="A1245" s="2" t="s">
        <v>3177</v>
      </c>
      <c r="B1245" s="2" t="s">
        <v>3178</v>
      </c>
      <c r="C1245" s="2" t="s">
        <v>34</v>
      </c>
      <c r="D1245" s="2" t="s">
        <v>35</v>
      </c>
      <c r="E1245" s="5">
        <v>-30391</v>
      </c>
      <c r="F1245" s="3" t="s">
        <v>482</v>
      </c>
      <c r="G1245" s="3" t="s">
        <v>28</v>
      </c>
      <c r="H1245" s="2" t="s">
        <v>21</v>
      </c>
      <c r="I1245" s="2" t="s">
        <v>3179</v>
      </c>
      <c r="J1245" s="3" t="str">
        <f>HYPERLINK("https://www.boe.es/gazeta/dias/1816/10/15/pdfs/GMD-1816-129.pdf#page=6","Abrir facsímil")</f>
        <v>Abrir facsímil</v>
      </c>
      <c r="K1245" s="3" t="s">
        <v>23</v>
      </c>
    </row>
    <row r="1246" spans="1:11" ht="42" customHeight="1">
      <c r="A1246" s="2" t="s">
        <v>3177</v>
      </c>
      <c r="B1246" s="2" t="s">
        <v>3178</v>
      </c>
      <c r="C1246" s="2" t="s">
        <v>26</v>
      </c>
      <c r="D1246" s="2" t="s">
        <v>18</v>
      </c>
      <c r="E1246" s="5">
        <v>-30391</v>
      </c>
      <c r="F1246" s="3" t="s">
        <v>482</v>
      </c>
      <c r="G1246" s="3" t="s">
        <v>72</v>
      </c>
      <c r="H1246" s="2" t="s">
        <v>21</v>
      </c>
      <c r="I1246" s="2" t="s">
        <v>3180</v>
      </c>
      <c r="J1246" s="3" t="str">
        <f>HYPERLINK("https://www.boe.es/gazeta/dias/1816/10/15/pdfs/GMD-1816-129.pdf#page=7","Abrir facsímil")</f>
        <v>Abrir facsímil</v>
      </c>
      <c r="K1246" s="3" t="s">
        <v>23</v>
      </c>
    </row>
    <row r="1247" spans="1:11" ht="42" customHeight="1">
      <c r="A1247" s="2" t="s">
        <v>3181</v>
      </c>
      <c r="B1247" s="2" t="s">
        <v>3182</v>
      </c>
      <c r="C1247" s="2" t="s">
        <v>67</v>
      </c>
      <c r="D1247" s="2" t="s">
        <v>18</v>
      </c>
      <c r="E1247" s="5">
        <v>-30415</v>
      </c>
      <c r="F1247" s="3" t="s">
        <v>585</v>
      </c>
      <c r="G1247" s="3" t="s">
        <v>1156</v>
      </c>
      <c r="H1247" s="2" t="s">
        <v>21</v>
      </c>
      <c r="I1247" s="2" t="s">
        <v>3183</v>
      </c>
      <c r="J1247" s="3" t="str">
        <f>HYPERLINK("https://www.boe.es/gazeta/dias/1816/09/21/pdfs/GMD-1816-117.pdf#page=7","Abrir facsímil")</f>
        <v>Abrir facsímil</v>
      </c>
      <c r="K1247" s="3" t="s">
        <v>23</v>
      </c>
    </row>
    <row r="1248" spans="1:11" ht="42" customHeight="1">
      <c r="A1248" s="2" t="s">
        <v>3184</v>
      </c>
      <c r="B1248" s="2" t="s">
        <v>3185</v>
      </c>
      <c r="C1248" s="2" t="s">
        <v>111</v>
      </c>
      <c r="D1248" s="2" t="s">
        <v>56</v>
      </c>
      <c r="E1248" s="5">
        <v>-30393</v>
      </c>
      <c r="F1248" s="3" t="s">
        <v>202</v>
      </c>
      <c r="G1248" s="3" t="s">
        <v>645</v>
      </c>
      <c r="H1248" s="2" t="s">
        <v>21</v>
      </c>
      <c r="I1248" s="2" t="s">
        <v>3186</v>
      </c>
      <c r="J1248" s="3" t="str">
        <f>HYPERLINK("https://www.boe.es/gazeta/dias/1816/10/13/pdfs/GMD-1816-128E.pdf#page=4","Abrir facsímil")</f>
        <v>Abrir facsímil</v>
      </c>
      <c r="K1248" s="3" t="s">
        <v>23</v>
      </c>
    </row>
    <row r="1249" spans="1:11" ht="42" customHeight="1">
      <c r="A1249" s="2" t="s">
        <v>3187</v>
      </c>
      <c r="B1249" s="2" t="s">
        <v>3187</v>
      </c>
      <c r="C1249" s="2" t="s">
        <v>111</v>
      </c>
      <c r="D1249" s="2" t="s">
        <v>112</v>
      </c>
      <c r="E1249" s="5">
        <v>-30440</v>
      </c>
      <c r="F1249" s="3" t="s">
        <v>564</v>
      </c>
      <c r="G1249" s="3" t="s">
        <v>3188</v>
      </c>
      <c r="H1249" s="2" t="s">
        <v>21</v>
      </c>
      <c r="I1249" s="2" t="s">
        <v>3189</v>
      </c>
      <c r="J1249" s="3" t="str">
        <f>HYPERLINK("https://www.boe.es/gazeta/dias/1816/08/27/pdfs/GMD-1816-106.pdf#page=4","Abrir facsímil")</f>
        <v>Abrir facsímil</v>
      </c>
      <c r="K1249" s="3" t="s">
        <v>23</v>
      </c>
    </row>
    <row r="1250" spans="1:11" ht="42" customHeight="1">
      <c r="A1250" s="2" t="s">
        <v>3190</v>
      </c>
      <c r="B1250" s="2" t="s">
        <v>3191</v>
      </c>
      <c r="C1250" s="2" t="s">
        <v>34</v>
      </c>
      <c r="D1250" s="2" t="s">
        <v>35</v>
      </c>
      <c r="E1250" s="5">
        <v>-30433</v>
      </c>
      <c r="F1250" s="3" t="s">
        <v>954</v>
      </c>
      <c r="G1250" s="3" t="s">
        <v>28</v>
      </c>
      <c r="H1250" s="2" t="s">
        <v>21</v>
      </c>
      <c r="I1250" s="2" t="s">
        <v>3192</v>
      </c>
      <c r="J1250" s="3" t="str">
        <f>HYPERLINK("https://www.boe.es/gazeta/dias/1816/09/03/pdfs/GMD-1816-109.pdf#page=6","Abrir facsímil")</f>
        <v>Abrir facsímil</v>
      </c>
      <c r="K1250" s="3" t="s">
        <v>23</v>
      </c>
    </row>
    <row r="1251" spans="1:11" ht="42" customHeight="1">
      <c r="A1251" s="2" t="s">
        <v>3193</v>
      </c>
      <c r="B1251" s="2" t="s">
        <v>3193</v>
      </c>
      <c r="C1251" s="2" t="s">
        <v>111</v>
      </c>
      <c r="D1251" s="2" t="s">
        <v>112</v>
      </c>
      <c r="E1251" s="5">
        <v>-30380</v>
      </c>
      <c r="F1251" s="3" t="s">
        <v>819</v>
      </c>
      <c r="G1251" s="3" t="s">
        <v>42</v>
      </c>
      <c r="H1251" s="2" t="s">
        <v>21</v>
      </c>
      <c r="I1251" s="2" t="s">
        <v>3194</v>
      </c>
      <c r="J1251" s="3" t="str">
        <f>HYPERLINK("https://www.boe.es/gazeta/dias/1816/10/26/pdfs/GMD-1816-134.pdf#page=8","Abrir facsímil")</f>
        <v>Abrir facsímil</v>
      </c>
      <c r="K1251" s="3" t="s">
        <v>23</v>
      </c>
    </row>
    <row r="1252" spans="1:11" ht="42" customHeight="1">
      <c r="A1252" s="2" t="s">
        <v>3195</v>
      </c>
      <c r="B1252" s="2" t="s">
        <v>3196</v>
      </c>
      <c r="C1252" s="2" t="s">
        <v>34</v>
      </c>
      <c r="D1252" s="2" t="s">
        <v>35</v>
      </c>
      <c r="E1252" s="5">
        <v>-30618</v>
      </c>
      <c r="F1252" s="3" t="s">
        <v>207</v>
      </c>
      <c r="G1252" s="3" t="s">
        <v>72</v>
      </c>
      <c r="H1252" s="2" t="s">
        <v>21</v>
      </c>
      <c r="I1252" s="2" t="s">
        <v>3197</v>
      </c>
      <c r="J1252" s="3" t="str">
        <f>HYPERLINK("https://www.boe.es/gazeta/dias/1816/03/02/pdfs/GMD-1816-29.pdf#page=7","Abrir facsímil")</f>
        <v>Abrir facsímil</v>
      </c>
      <c r="K1252" s="3" t="s">
        <v>23</v>
      </c>
    </row>
    <row r="1253" spans="1:11" ht="42" customHeight="1">
      <c r="A1253" s="2" t="s">
        <v>3198</v>
      </c>
      <c r="B1253" s="2" t="s">
        <v>3199</v>
      </c>
      <c r="C1253" s="2" t="s">
        <v>34</v>
      </c>
      <c r="D1253" s="2" t="s">
        <v>35</v>
      </c>
      <c r="E1253" s="5">
        <v>-30618</v>
      </c>
      <c r="F1253" s="3" t="s">
        <v>207</v>
      </c>
      <c r="G1253" s="3" t="s">
        <v>72</v>
      </c>
      <c r="H1253" s="2" t="s">
        <v>21</v>
      </c>
      <c r="I1253" s="2" t="s">
        <v>3200</v>
      </c>
      <c r="J1253" s="3" t="str">
        <f>HYPERLINK("https://www.boe.es/gazeta/dias/1816/03/02/pdfs/GMD-1816-29.pdf#page=7","Abrir facsímil")</f>
        <v>Abrir facsímil</v>
      </c>
      <c r="K1253" s="3" t="s">
        <v>23</v>
      </c>
    </row>
    <row r="1254" spans="1:11" ht="42" customHeight="1">
      <c r="A1254" s="2" t="s">
        <v>3201</v>
      </c>
      <c r="B1254" s="2" t="s">
        <v>3202</v>
      </c>
      <c r="C1254" s="2" t="s">
        <v>111</v>
      </c>
      <c r="D1254" s="2" t="s">
        <v>112</v>
      </c>
      <c r="E1254" s="5">
        <v>-30366</v>
      </c>
      <c r="F1254" s="3" t="s">
        <v>179</v>
      </c>
      <c r="G1254" s="3" t="s">
        <v>28</v>
      </c>
      <c r="H1254" s="2" t="s">
        <v>21</v>
      </c>
      <c r="I1254" s="2" t="s">
        <v>3203</v>
      </c>
      <c r="J1254" s="3" t="str">
        <f>HYPERLINK("https://www.boe.es/gazeta/dias/1816/11/09/pdfs/GMD-1816-140.pdf#page=6","Abrir facsímil")</f>
        <v>Abrir facsímil</v>
      </c>
      <c r="K1254" s="3" t="s">
        <v>23</v>
      </c>
    </row>
    <row r="1255" spans="1:11" ht="42" customHeight="1">
      <c r="A1255" s="2" t="s">
        <v>3204</v>
      </c>
      <c r="B1255" s="2" t="s">
        <v>3205</v>
      </c>
      <c r="C1255" s="2" t="s">
        <v>111</v>
      </c>
      <c r="D1255" s="2" t="s">
        <v>112</v>
      </c>
      <c r="E1255" s="5">
        <v>-30552</v>
      </c>
      <c r="F1255" s="3" t="s">
        <v>1842</v>
      </c>
      <c r="G1255" s="3" t="s">
        <v>72</v>
      </c>
      <c r="H1255" s="2" t="s">
        <v>21</v>
      </c>
      <c r="I1255" s="2" t="s">
        <v>3206</v>
      </c>
      <c r="J1255" s="3" t="str">
        <f>HYPERLINK("https://www.boe.es/gazeta/dias/1816/05/07/pdfs/GMD-1816-58.pdf#page=7","Abrir facsímil")</f>
        <v>Abrir facsímil</v>
      </c>
      <c r="K1255" s="3" t="s">
        <v>23</v>
      </c>
    </row>
    <row r="1256" spans="1:11" ht="42" customHeight="1">
      <c r="A1256" s="2" t="s">
        <v>3207</v>
      </c>
      <c r="B1256" s="2" t="s">
        <v>3208</v>
      </c>
      <c r="C1256" s="2" t="s">
        <v>26</v>
      </c>
      <c r="D1256" s="2" t="s">
        <v>18</v>
      </c>
      <c r="E1256" s="5">
        <v>-30506</v>
      </c>
      <c r="F1256" s="3" t="s">
        <v>220</v>
      </c>
      <c r="G1256" s="3" t="s">
        <v>47</v>
      </c>
      <c r="H1256" s="2" t="s">
        <v>21</v>
      </c>
      <c r="I1256" s="2" t="s">
        <v>3209</v>
      </c>
      <c r="J1256" s="3" t="str">
        <f>HYPERLINK("https://www.boe.es/gazeta/dias/1816/06/22/pdfs/GMD-1816-78.pdf#page=5","Abrir facsímil")</f>
        <v>Abrir facsímil</v>
      </c>
      <c r="K1256" s="3" t="s">
        <v>23</v>
      </c>
    </row>
    <row r="1257" spans="1:11" ht="42" customHeight="1">
      <c r="A1257" s="2" t="s">
        <v>3210</v>
      </c>
      <c r="B1257" s="2" t="s">
        <v>3211</v>
      </c>
      <c r="C1257" s="2" t="s">
        <v>34</v>
      </c>
      <c r="D1257" s="2" t="s">
        <v>35</v>
      </c>
      <c r="E1257" s="5">
        <v>-30433</v>
      </c>
      <c r="F1257" s="3" t="s">
        <v>954</v>
      </c>
      <c r="G1257" s="3" t="s">
        <v>1124</v>
      </c>
      <c r="H1257" s="2" t="s">
        <v>21</v>
      </c>
      <c r="I1257" s="2" t="s">
        <v>3212</v>
      </c>
      <c r="J1257" s="3" t="str">
        <f>HYPERLINK("https://www.boe.es/gazeta/dias/1816/09/03/pdfs/GMD-1816-109.pdf#page=8","Abrir facsímil")</f>
        <v>Abrir facsímil</v>
      </c>
      <c r="K1257" s="3" t="s">
        <v>23</v>
      </c>
    </row>
    <row r="1258" spans="1:11" ht="42" customHeight="1">
      <c r="A1258" s="2" t="s">
        <v>3213</v>
      </c>
      <c r="B1258" s="2" t="s">
        <v>3214</v>
      </c>
      <c r="C1258" s="2" t="s">
        <v>111</v>
      </c>
      <c r="D1258" s="2" t="s">
        <v>112</v>
      </c>
      <c r="E1258" s="5">
        <v>-30424</v>
      </c>
      <c r="F1258" s="3" t="s">
        <v>142</v>
      </c>
      <c r="G1258" s="3" t="s">
        <v>175</v>
      </c>
      <c r="H1258" s="2" t="s">
        <v>29</v>
      </c>
      <c r="I1258" s="2" t="s">
        <v>3215</v>
      </c>
      <c r="J1258" s="3" t="str">
        <f>HYPERLINK("https://www.boe.es/gazeta/dias/1816/09/12/pdfs/GMD-1816-113.pdf#page=11","Abrir facsímil")</f>
        <v>Abrir facsímil</v>
      </c>
      <c r="K1258" s="3" t="s">
        <v>31</v>
      </c>
    </row>
    <row r="1259" spans="1:11" ht="42" customHeight="1">
      <c r="A1259" s="2" t="s">
        <v>3216</v>
      </c>
      <c r="B1259" s="2" t="s">
        <v>3217</v>
      </c>
      <c r="C1259" s="2" t="s">
        <v>34</v>
      </c>
      <c r="D1259" s="2" t="s">
        <v>56</v>
      </c>
      <c r="E1259" s="5">
        <v>-30393</v>
      </c>
      <c r="F1259" s="3" t="s">
        <v>202</v>
      </c>
      <c r="G1259" s="3" t="s">
        <v>184</v>
      </c>
      <c r="H1259" s="2" t="s">
        <v>21</v>
      </c>
      <c r="I1259" s="2" t="s">
        <v>3218</v>
      </c>
      <c r="J1259" s="3" t="str">
        <f>HYPERLINK("https://www.boe.es/gazeta/dias/1816/10/13/pdfs/GMD-1816-128E.pdf#page=3","Abrir facsímil")</f>
        <v>Abrir facsímil</v>
      </c>
      <c r="K1259" s="3" t="s">
        <v>23</v>
      </c>
    </row>
    <row r="1260" spans="1:11" ht="42" customHeight="1">
      <c r="A1260" s="2" t="s">
        <v>3219</v>
      </c>
      <c r="B1260" s="2" t="s">
        <v>3220</v>
      </c>
      <c r="C1260" s="2" t="s">
        <v>26</v>
      </c>
      <c r="D1260" s="2" t="s">
        <v>18</v>
      </c>
      <c r="E1260" s="5">
        <v>-30564</v>
      </c>
      <c r="F1260" s="3" t="s">
        <v>963</v>
      </c>
      <c r="G1260" s="3" t="s">
        <v>964</v>
      </c>
      <c r="H1260" s="2" t="s">
        <v>21</v>
      </c>
      <c r="I1260" s="2" t="s">
        <v>3221</v>
      </c>
      <c r="J1260" s="3" t="str">
        <f>HYPERLINK("https://www.boe.es/gazeta/dias/1816/04/25/pdfs/GMD-1816-53.pdf#page=6","Abrir facsímil")</f>
        <v>Abrir facsímil</v>
      </c>
      <c r="K1260" s="3" t="s">
        <v>23</v>
      </c>
    </row>
    <row r="1261" spans="1:11" ht="42" customHeight="1">
      <c r="A1261" s="2" t="s">
        <v>3222</v>
      </c>
      <c r="B1261" s="2" t="s">
        <v>3222</v>
      </c>
      <c r="C1261" s="2" t="s">
        <v>26</v>
      </c>
      <c r="D1261" s="2" t="s">
        <v>18</v>
      </c>
      <c r="E1261" s="5">
        <v>-30608</v>
      </c>
      <c r="F1261" s="3" t="s">
        <v>550</v>
      </c>
      <c r="G1261" s="3" t="s">
        <v>1872</v>
      </c>
      <c r="H1261" s="2" t="s">
        <v>21</v>
      </c>
      <c r="I1261" s="2" t="s">
        <v>3223</v>
      </c>
      <c r="J1261" s="3" t="str">
        <f>HYPERLINK("https://www.boe.es/gazeta/dias/1816/03/12/pdfs/GMD-1816-33.pdf#page=3","Abrir facsímil")</f>
        <v>Abrir facsímil</v>
      </c>
      <c r="K1261" s="3" t="s">
        <v>23</v>
      </c>
    </row>
    <row r="1262" spans="1:11" ht="42" customHeight="1">
      <c r="A1262" s="2" t="s">
        <v>3222</v>
      </c>
      <c r="B1262" s="2" t="s">
        <v>3222</v>
      </c>
      <c r="C1262" s="2" t="s">
        <v>387</v>
      </c>
      <c r="D1262" s="2" t="s">
        <v>18</v>
      </c>
      <c r="E1262" s="5">
        <v>-30438</v>
      </c>
      <c r="F1262" s="3" t="s">
        <v>299</v>
      </c>
      <c r="G1262" s="3" t="s">
        <v>103</v>
      </c>
      <c r="H1262" s="2" t="s">
        <v>21</v>
      </c>
      <c r="I1262" s="2" t="s">
        <v>3224</v>
      </c>
      <c r="J1262" s="3" t="str">
        <f>HYPERLINK("https://www.boe.es/gazeta/dias/1816/08/29/pdfs/GMD-1816-107.pdf#page=4","Abrir facsímil")</f>
        <v>Abrir facsímil</v>
      </c>
      <c r="K1262" s="3" t="s">
        <v>23</v>
      </c>
    </row>
    <row r="1263" spans="1:11" ht="42" customHeight="1">
      <c r="A1263" s="2" t="s">
        <v>3225</v>
      </c>
      <c r="B1263" s="2" t="s">
        <v>3226</v>
      </c>
      <c r="C1263" s="2" t="s">
        <v>26</v>
      </c>
      <c r="D1263" s="2" t="s">
        <v>18</v>
      </c>
      <c r="E1263" s="5">
        <v>-30548</v>
      </c>
      <c r="F1263" s="3" t="s">
        <v>472</v>
      </c>
      <c r="G1263" s="3" t="s">
        <v>42</v>
      </c>
      <c r="H1263" s="2" t="s">
        <v>21</v>
      </c>
      <c r="I1263" s="2" t="s">
        <v>3227</v>
      </c>
      <c r="J1263" s="3" t="str">
        <f>HYPERLINK("https://www.boe.es/gazeta/dias/1816/05/11/pdfs/GMD-1816-60.pdf#page=8","Abrir facsímil")</f>
        <v>Abrir facsímil</v>
      </c>
      <c r="K1263" s="3" t="s">
        <v>23</v>
      </c>
    </row>
    <row r="1264" spans="1:11" ht="42" customHeight="1">
      <c r="A1264" s="2" t="s">
        <v>3228</v>
      </c>
      <c r="B1264" s="2" t="s">
        <v>3228</v>
      </c>
      <c r="C1264" s="2" t="s">
        <v>34</v>
      </c>
      <c r="D1264" s="2" t="s">
        <v>35</v>
      </c>
      <c r="E1264" s="5">
        <v>-30478</v>
      </c>
      <c r="F1264" s="3" t="s">
        <v>123</v>
      </c>
      <c r="G1264" s="3" t="s">
        <v>3229</v>
      </c>
      <c r="H1264" s="2" t="s">
        <v>21</v>
      </c>
      <c r="I1264" s="2" t="s">
        <v>3230</v>
      </c>
      <c r="J1264" s="3" t="str">
        <f>HYPERLINK("https://www.boe.es/gazeta/dias/1816/07/20/pdfs/GMD-1816-90.pdf#page=2","Abrir facsímil")</f>
        <v>Abrir facsímil</v>
      </c>
      <c r="K1264" s="3" t="s">
        <v>23</v>
      </c>
    </row>
    <row r="1265" spans="1:11" ht="42" customHeight="1">
      <c r="A1265" s="2" t="s">
        <v>3231</v>
      </c>
      <c r="B1265" s="2" t="s">
        <v>3232</v>
      </c>
      <c r="C1265" s="2" t="s">
        <v>26</v>
      </c>
      <c r="D1265" s="2" t="s">
        <v>18</v>
      </c>
      <c r="E1265" s="5">
        <v>-30431</v>
      </c>
      <c r="F1265" s="3" t="s">
        <v>756</v>
      </c>
      <c r="G1265" s="3" t="s">
        <v>72</v>
      </c>
      <c r="H1265" s="2" t="s">
        <v>21</v>
      </c>
      <c r="I1265" s="2" t="s">
        <v>3233</v>
      </c>
      <c r="J1265" s="3" t="str">
        <f>HYPERLINK("https://www.boe.es/gazeta/dias/1816/09/05/pdfs/GMD-1816-110.pdf#page=7","Abrir facsímil")</f>
        <v>Abrir facsímil</v>
      </c>
      <c r="K1265" s="3" t="s">
        <v>23</v>
      </c>
    </row>
    <row r="1266" spans="1:11" ht="42" customHeight="1">
      <c r="A1266" s="2" t="s">
        <v>3234</v>
      </c>
      <c r="B1266" s="2" t="s">
        <v>3234</v>
      </c>
      <c r="C1266" s="2" t="s">
        <v>34</v>
      </c>
      <c r="D1266" s="2" t="s">
        <v>35</v>
      </c>
      <c r="E1266" s="5">
        <v>-30641</v>
      </c>
      <c r="F1266" s="3" t="s">
        <v>192</v>
      </c>
      <c r="G1266" s="3" t="s">
        <v>103</v>
      </c>
      <c r="H1266" s="2" t="s">
        <v>21</v>
      </c>
      <c r="I1266" s="2" t="s">
        <v>3235</v>
      </c>
      <c r="J1266" s="3" t="str">
        <f>HYPERLINK("https://www.boe.es/gazeta/dias/1816/02/08/pdfs/GMD-1816-18.pdf#page=4","Abrir facsímil")</f>
        <v>Abrir facsímil</v>
      </c>
      <c r="K1266" s="3" t="s">
        <v>23</v>
      </c>
    </row>
    <row r="1267" spans="1:11" ht="42" customHeight="1">
      <c r="A1267" s="2" t="s">
        <v>3236</v>
      </c>
      <c r="B1267" s="2" t="s">
        <v>3237</v>
      </c>
      <c r="C1267" s="2" t="s">
        <v>34</v>
      </c>
      <c r="D1267" s="2" t="s">
        <v>35</v>
      </c>
      <c r="E1267" s="5">
        <v>-30538</v>
      </c>
      <c r="F1267" s="3" t="s">
        <v>496</v>
      </c>
      <c r="G1267" s="3" t="s">
        <v>3238</v>
      </c>
      <c r="H1267" s="2" t="s">
        <v>21</v>
      </c>
      <c r="I1267" s="2" t="s">
        <v>3239</v>
      </c>
      <c r="J1267" s="3" t="str">
        <f>HYPERLINK("https://www.boe.es/gazeta/dias/1816/05/21/pdfs/GMD-1816-64.pdf#page=2","Abrir facsímil")</f>
        <v>Abrir facsímil</v>
      </c>
      <c r="K1267" s="3" t="s">
        <v>23</v>
      </c>
    </row>
    <row r="1268" spans="1:11" ht="42" customHeight="1">
      <c r="A1268" s="2" t="s">
        <v>3240</v>
      </c>
      <c r="B1268" s="2" t="s">
        <v>3241</v>
      </c>
      <c r="C1268" s="2" t="s">
        <v>34</v>
      </c>
      <c r="D1268" s="2" t="s">
        <v>35</v>
      </c>
      <c r="E1268" s="5">
        <v>-30464</v>
      </c>
      <c r="F1268" s="3" t="s">
        <v>215</v>
      </c>
      <c r="G1268" s="3" t="s">
        <v>28</v>
      </c>
      <c r="H1268" s="2" t="s">
        <v>21</v>
      </c>
      <c r="I1268" s="2" t="s">
        <v>3242</v>
      </c>
      <c r="J1268" s="3" t="str">
        <f>HYPERLINK("https://www.boe.es/gazeta/dias/1816/08/03/pdfs/GMD-1816-96.pdf#page=6","Abrir facsímil")</f>
        <v>Abrir facsímil</v>
      </c>
      <c r="K1268" s="3" t="s">
        <v>23</v>
      </c>
    </row>
    <row r="1269" spans="1:11" ht="42" customHeight="1">
      <c r="A1269" s="2" t="s">
        <v>3243</v>
      </c>
      <c r="B1269" s="2" t="s">
        <v>3243</v>
      </c>
      <c r="C1269" s="2" t="s">
        <v>17</v>
      </c>
      <c r="D1269" s="2" t="s">
        <v>18</v>
      </c>
      <c r="E1269" s="5">
        <v>-30478</v>
      </c>
      <c r="F1269" s="3" t="s">
        <v>123</v>
      </c>
      <c r="G1269" s="3" t="s">
        <v>3229</v>
      </c>
      <c r="H1269" s="2" t="s">
        <v>21</v>
      </c>
      <c r="I1269" s="2" t="s">
        <v>3244</v>
      </c>
      <c r="J1269" s="3" t="str">
        <f>HYPERLINK("https://www.boe.es/gazeta/dias/1816/07/20/pdfs/GMD-1816-90.pdf#page=2","Abrir facsímil")</f>
        <v>Abrir facsímil</v>
      </c>
      <c r="K1269" s="3" t="s">
        <v>23</v>
      </c>
    </row>
    <row r="1270" spans="1:11" ht="42" customHeight="1">
      <c r="A1270" s="2" t="s">
        <v>3245</v>
      </c>
      <c r="B1270" s="2" t="s">
        <v>3246</v>
      </c>
      <c r="C1270" s="2" t="s">
        <v>111</v>
      </c>
      <c r="D1270" s="2" t="s">
        <v>112</v>
      </c>
      <c r="E1270" s="5">
        <v>-30655</v>
      </c>
      <c r="F1270" s="3" t="s">
        <v>170</v>
      </c>
      <c r="G1270" s="3" t="s">
        <v>72</v>
      </c>
      <c r="H1270" s="2" t="s">
        <v>21</v>
      </c>
      <c r="I1270" s="2" t="s">
        <v>3247</v>
      </c>
      <c r="J1270" s="3" t="str">
        <f>HYPERLINK("https://www.boe.es/gazeta/dias/1816/01/25/pdfs/GMD-1816-11.pdf#page=7","Abrir facsímil")</f>
        <v>Abrir facsímil</v>
      </c>
      <c r="K1270" s="3" t="s">
        <v>23</v>
      </c>
    </row>
    <row r="1271" spans="1:11" ht="42" customHeight="1">
      <c r="A1271" s="2" t="s">
        <v>3248</v>
      </c>
      <c r="B1271" s="2" t="s">
        <v>3249</v>
      </c>
      <c r="C1271" s="2" t="s">
        <v>26</v>
      </c>
      <c r="D1271" s="2" t="s">
        <v>18</v>
      </c>
      <c r="E1271" s="5">
        <v>-30366</v>
      </c>
      <c r="F1271" s="3" t="s">
        <v>179</v>
      </c>
      <c r="G1271" s="3" t="s">
        <v>28</v>
      </c>
      <c r="H1271" s="2" t="s">
        <v>21</v>
      </c>
      <c r="I1271" s="2" t="s">
        <v>3250</v>
      </c>
      <c r="J1271" s="3" t="str">
        <f>HYPERLINK("https://www.boe.es/gazeta/dias/1816/11/09/pdfs/GMD-1816-140.pdf#page=6","Abrir facsímil")</f>
        <v>Abrir facsímil</v>
      </c>
      <c r="K1271" s="3" t="s">
        <v>23</v>
      </c>
    </row>
    <row r="1272" spans="1:11" ht="42" customHeight="1">
      <c r="A1272" s="2" t="s">
        <v>3251</v>
      </c>
      <c r="B1272" s="2" t="s">
        <v>3252</v>
      </c>
      <c r="C1272" s="2" t="s">
        <v>26</v>
      </c>
      <c r="D1272" s="2" t="s">
        <v>18</v>
      </c>
      <c r="E1272" s="5">
        <v>-30403</v>
      </c>
      <c r="F1272" s="3" t="s">
        <v>1264</v>
      </c>
      <c r="G1272" s="3" t="s">
        <v>28</v>
      </c>
      <c r="H1272" s="2" t="s">
        <v>29</v>
      </c>
      <c r="I1272" s="2" t="s">
        <v>3253</v>
      </c>
      <c r="J1272" s="3" t="str">
        <f>HYPERLINK("https://www.boe.es/gazeta/dias/1816/10/03/pdfs/GMD-1816-122.pdf#page=6","Abrir facsímil")</f>
        <v>Abrir facsímil</v>
      </c>
      <c r="K1272" s="3" t="s">
        <v>31</v>
      </c>
    </row>
    <row r="1273" spans="1:11" ht="42" customHeight="1">
      <c r="A1273" s="2" t="s">
        <v>3254</v>
      </c>
      <c r="B1273" s="2" t="s">
        <v>3255</v>
      </c>
      <c r="C1273" s="2" t="s">
        <v>111</v>
      </c>
      <c r="D1273" s="2" t="s">
        <v>112</v>
      </c>
      <c r="E1273" s="5">
        <v>-30604</v>
      </c>
      <c r="F1273" s="3" t="s">
        <v>488</v>
      </c>
      <c r="G1273" s="3" t="s">
        <v>42</v>
      </c>
      <c r="H1273" s="2" t="s">
        <v>21</v>
      </c>
      <c r="I1273" s="2" t="s">
        <v>3256</v>
      </c>
      <c r="J1273" s="3" t="str">
        <f>HYPERLINK("https://www.boe.es/gazeta/dias/1816/03/16/pdfs/GMD-1816-35.pdf#page=8","Abrir facsímil")</f>
        <v>Abrir facsímil</v>
      </c>
      <c r="K1273" s="3" t="s">
        <v>23</v>
      </c>
    </row>
    <row r="1274" spans="1:11" ht="42" customHeight="1">
      <c r="A1274" s="2" t="s">
        <v>3257</v>
      </c>
      <c r="B1274" s="2" t="s">
        <v>3257</v>
      </c>
      <c r="C1274" s="2" t="s">
        <v>111</v>
      </c>
      <c r="D1274" s="2" t="s">
        <v>112</v>
      </c>
      <c r="E1274" s="5">
        <v>-30391</v>
      </c>
      <c r="F1274" s="3" t="s">
        <v>482</v>
      </c>
      <c r="G1274" s="3" t="s">
        <v>3258</v>
      </c>
      <c r="H1274" s="2" t="s">
        <v>21</v>
      </c>
      <c r="I1274" s="2" t="s">
        <v>3259</v>
      </c>
      <c r="J1274" s="3" t="str">
        <f>HYPERLINK("https://www.boe.es/gazeta/dias/1816/10/15/pdfs/GMD-1816-129.pdf#page=8","Abrir facsímil")</f>
        <v>Abrir facsímil</v>
      </c>
      <c r="K1274" s="3" t="s">
        <v>23</v>
      </c>
    </row>
    <row r="1275" spans="1:11" ht="42" customHeight="1">
      <c r="A1275" s="2" t="s">
        <v>3260</v>
      </c>
      <c r="B1275" s="2" t="s">
        <v>3260</v>
      </c>
      <c r="C1275" s="2" t="s">
        <v>34</v>
      </c>
      <c r="D1275" s="2" t="s">
        <v>35</v>
      </c>
      <c r="E1275" s="5">
        <v>-30660</v>
      </c>
      <c r="F1275" s="3" t="s">
        <v>809</v>
      </c>
      <c r="G1275" s="3" t="s">
        <v>184</v>
      </c>
      <c r="H1275" s="2" t="s">
        <v>21</v>
      </c>
      <c r="I1275" s="2" t="s">
        <v>3261</v>
      </c>
      <c r="J1275" s="3" t="str">
        <f>HYPERLINK("https://www.boe.es/gazeta/dias/1816/01/20/pdfs/GMD-1816-9.pdf#page=3","Abrir facsímil")</f>
        <v>Abrir facsímil</v>
      </c>
      <c r="K1275" s="3" t="s">
        <v>23</v>
      </c>
    </row>
    <row r="1276" spans="1:11" ht="42" customHeight="1">
      <c r="A1276" s="2" t="s">
        <v>3262</v>
      </c>
      <c r="B1276" s="2" t="s">
        <v>3262</v>
      </c>
      <c r="C1276" s="2" t="s">
        <v>34</v>
      </c>
      <c r="D1276" s="2" t="s">
        <v>35</v>
      </c>
      <c r="E1276" s="5">
        <v>-30678</v>
      </c>
      <c r="F1276" s="3" t="s">
        <v>76</v>
      </c>
      <c r="G1276" s="3" t="s">
        <v>47</v>
      </c>
      <c r="H1276" s="2" t="s">
        <v>21</v>
      </c>
      <c r="I1276" s="2" t="s">
        <v>3263</v>
      </c>
      <c r="J1276" s="3" t="str">
        <f>HYPERLINK("https://www.boe.es/gazeta/dias/1816/01/02/pdfs/GMD-1816-1.pdf#page=5","Abrir facsímil")</f>
        <v>Abrir facsímil</v>
      </c>
      <c r="K1276" s="3" t="s">
        <v>23</v>
      </c>
    </row>
    <row r="1277" spans="1:11" ht="42" customHeight="1">
      <c r="A1277" s="2" t="s">
        <v>3264</v>
      </c>
      <c r="B1277" s="2" t="s">
        <v>3265</v>
      </c>
      <c r="C1277" s="2" t="s">
        <v>26</v>
      </c>
      <c r="D1277" s="2" t="s">
        <v>18</v>
      </c>
      <c r="E1277" s="5">
        <v>-30576</v>
      </c>
      <c r="F1277" s="3" t="s">
        <v>353</v>
      </c>
      <c r="G1277" s="3" t="s">
        <v>72</v>
      </c>
      <c r="H1277" s="2" t="s">
        <v>21</v>
      </c>
      <c r="I1277" s="2" t="s">
        <v>3266</v>
      </c>
      <c r="J1277" s="3" t="str">
        <f>HYPERLINK("https://www.boe.es/gazeta/dias/1816/04/13/pdfs/GMD-1816-48.pdf#page=7","Abrir facsímil")</f>
        <v>Abrir facsímil</v>
      </c>
      <c r="K1277" s="3" t="s">
        <v>23</v>
      </c>
    </row>
    <row r="1278" spans="1:11" ht="42" customHeight="1">
      <c r="A1278" s="2" t="s">
        <v>3267</v>
      </c>
      <c r="B1278" s="2" t="s">
        <v>3267</v>
      </c>
      <c r="C1278" s="2" t="s">
        <v>34</v>
      </c>
      <c r="D1278" s="2" t="s">
        <v>35</v>
      </c>
      <c r="E1278" s="5">
        <v>-30639</v>
      </c>
      <c r="F1278" s="3" t="s">
        <v>87</v>
      </c>
      <c r="G1278" s="3" t="s">
        <v>72</v>
      </c>
      <c r="H1278" s="2" t="s">
        <v>21</v>
      </c>
      <c r="I1278" s="2" t="s">
        <v>3268</v>
      </c>
      <c r="J1278" s="3" t="str">
        <f>HYPERLINK("https://www.boe.es/gazeta/dias/1816/02/10/pdfs/GMD-1816-19.pdf#page=7","Abrir facsímil")</f>
        <v>Abrir facsímil</v>
      </c>
      <c r="K1278" s="3" t="s">
        <v>23</v>
      </c>
    </row>
    <row r="1279" spans="1:11" ht="42" customHeight="1">
      <c r="A1279" s="2" t="s">
        <v>3269</v>
      </c>
      <c r="B1279" s="2" t="s">
        <v>3270</v>
      </c>
      <c r="C1279" s="2" t="s">
        <v>34</v>
      </c>
      <c r="D1279" s="2" t="s">
        <v>35</v>
      </c>
      <c r="E1279" s="5">
        <v>-30492</v>
      </c>
      <c r="F1279" s="3" t="s">
        <v>248</v>
      </c>
      <c r="G1279" s="3" t="s">
        <v>92</v>
      </c>
      <c r="H1279" s="2" t="s">
        <v>21</v>
      </c>
      <c r="I1279" s="2" t="s">
        <v>3271</v>
      </c>
      <c r="J1279" s="3" t="str">
        <f>HYPERLINK("https://www.boe.es/gazeta/dias/1816/07/06/pdfs/GMD-1816-84.pdf#page=9","Abrir facsímil")</f>
        <v>Abrir facsímil</v>
      </c>
      <c r="K1279" s="3" t="s">
        <v>23</v>
      </c>
    </row>
    <row r="1280" spans="1:11" ht="42" customHeight="1">
      <c r="A1280" s="2" t="s">
        <v>3272</v>
      </c>
      <c r="B1280" s="2" t="s">
        <v>3273</v>
      </c>
      <c r="C1280" s="2" t="s">
        <v>81</v>
      </c>
      <c r="D1280" s="2" t="s">
        <v>18</v>
      </c>
      <c r="E1280" s="5">
        <v>-30387</v>
      </c>
      <c r="F1280" s="3" t="s">
        <v>224</v>
      </c>
      <c r="G1280" s="3" t="s">
        <v>42</v>
      </c>
      <c r="H1280" s="2" t="s">
        <v>21</v>
      </c>
      <c r="I1280" s="2" t="s">
        <v>3274</v>
      </c>
      <c r="J1280" s="3" t="str">
        <f>HYPERLINK("https://www.boe.es/gazeta/dias/1816/10/19/pdfs/GMD-1816-131.pdf#page=8","Abrir facsímil")</f>
        <v>Abrir facsímil</v>
      </c>
      <c r="K1280" s="3" t="s">
        <v>23</v>
      </c>
    </row>
    <row r="1281" spans="1:11" ht="42" customHeight="1">
      <c r="A1281" s="2" t="s">
        <v>3275</v>
      </c>
      <c r="B1281" s="2" t="s">
        <v>3276</v>
      </c>
      <c r="C1281" s="2" t="s">
        <v>26</v>
      </c>
      <c r="D1281" s="2" t="s">
        <v>18</v>
      </c>
      <c r="E1281" s="5">
        <v>-30494</v>
      </c>
      <c r="F1281" s="3" t="s">
        <v>174</v>
      </c>
      <c r="G1281" s="3" t="s">
        <v>175</v>
      </c>
      <c r="H1281" s="2" t="s">
        <v>21</v>
      </c>
      <c r="I1281" s="2" t="s">
        <v>3277</v>
      </c>
      <c r="J1281" s="3" t="str">
        <f>HYPERLINK("https://www.boe.es/gazeta/dias/1816/07/04/pdfs/GMD-1816-83.pdf#page=11","Abrir facsímil")</f>
        <v>Abrir facsímil</v>
      </c>
      <c r="K1281" s="3" t="s">
        <v>23</v>
      </c>
    </row>
    <row r="1282" spans="1:11" ht="42" customHeight="1">
      <c r="A1282" s="2" t="s">
        <v>3278</v>
      </c>
      <c r="B1282" s="2" t="s">
        <v>3278</v>
      </c>
      <c r="C1282" s="2" t="s">
        <v>26</v>
      </c>
      <c r="D1282" s="2" t="s">
        <v>18</v>
      </c>
      <c r="E1282" s="5">
        <v>-30604</v>
      </c>
      <c r="F1282" s="3" t="s">
        <v>488</v>
      </c>
      <c r="G1282" s="3" t="s">
        <v>58</v>
      </c>
      <c r="H1282" s="2" t="s">
        <v>21</v>
      </c>
      <c r="I1282" s="2" t="s">
        <v>3279</v>
      </c>
      <c r="J1282" s="3" t="str">
        <f>HYPERLINK("https://www.boe.es/gazeta/dias/1816/03/16/pdfs/GMD-1816-35.pdf#page=1","Abrir facsímil")</f>
        <v>Abrir facsímil</v>
      </c>
      <c r="K1282" s="3" t="s">
        <v>23</v>
      </c>
    </row>
    <row r="1283" spans="1:11" ht="42" customHeight="1">
      <c r="A1283" s="2" t="s">
        <v>3278</v>
      </c>
      <c r="B1283" s="2" t="s">
        <v>3278</v>
      </c>
      <c r="C1283" s="2" t="s">
        <v>26</v>
      </c>
      <c r="D1283" s="2" t="s">
        <v>18</v>
      </c>
      <c r="E1283" s="5">
        <v>-30564</v>
      </c>
      <c r="F1283" s="3" t="s">
        <v>963</v>
      </c>
      <c r="G1283" s="3" t="s">
        <v>58</v>
      </c>
      <c r="H1283" s="2" t="s">
        <v>21</v>
      </c>
      <c r="I1283" s="2" t="s">
        <v>3280</v>
      </c>
      <c r="J1283" s="3" t="str">
        <f>HYPERLINK("https://www.boe.es/gazeta/dias/1816/04/25/pdfs/GMD-1816-53.pdf#page=1","Abrir facsímil")</f>
        <v>Abrir facsímil</v>
      </c>
      <c r="K1283" s="3" t="s">
        <v>23</v>
      </c>
    </row>
    <row r="1284" spans="1:11" ht="42" customHeight="1">
      <c r="A1284" s="2" t="s">
        <v>3278</v>
      </c>
      <c r="B1284" s="2" t="s">
        <v>3278</v>
      </c>
      <c r="C1284" s="2" t="s">
        <v>34</v>
      </c>
      <c r="D1284" s="2" t="s">
        <v>35</v>
      </c>
      <c r="E1284" s="5">
        <v>-30445</v>
      </c>
      <c r="F1284" s="3" t="s">
        <v>51</v>
      </c>
      <c r="G1284" s="3" t="s">
        <v>58</v>
      </c>
      <c r="H1284" s="2" t="s">
        <v>21</v>
      </c>
      <c r="I1284" s="2" t="s">
        <v>3281</v>
      </c>
      <c r="J1284" s="3" t="str">
        <f>HYPERLINK("https://www.boe.es/gazeta/dias/1816/08/22/pdfs/GMD-1816-104.pdf#page=1","Abrir facsímil")</f>
        <v>Abrir facsímil</v>
      </c>
      <c r="K1284" s="3" t="s">
        <v>23</v>
      </c>
    </row>
    <row r="1285" spans="1:11" ht="42" customHeight="1">
      <c r="A1285" s="2" t="s">
        <v>3282</v>
      </c>
      <c r="B1285" s="2" t="s">
        <v>3282</v>
      </c>
      <c r="C1285" s="2" t="s">
        <v>111</v>
      </c>
      <c r="D1285" s="2" t="s">
        <v>112</v>
      </c>
      <c r="E1285" s="5">
        <v>-30384</v>
      </c>
      <c r="F1285" s="3" t="s">
        <v>460</v>
      </c>
      <c r="G1285" s="3" t="s">
        <v>58</v>
      </c>
      <c r="H1285" s="2" t="s">
        <v>21</v>
      </c>
      <c r="I1285" s="2" t="s">
        <v>3283</v>
      </c>
      <c r="J1285" s="3" t="str">
        <f>HYPERLINK("https://www.boe.es/gazeta/dias/1816/10/22/pdfs/GMD-1816-132.pdf#page=1","Abrir facsímil")</f>
        <v>Abrir facsímil</v>
      </c>
      <c r="K1285" s="3" t="s">
        <v>23</v>
      </c>
    </row>
    <row r="1286" spans="1:11" ht="42" customHeight="1">
      <c r="A1286" s="2" t="s">
        <v>3284</v>
      </c>
      <c r="B1286" s="2" t="s">
        <v>3285</v>
      </c>
      <c r="C1286" s="2" t="s">
        <v>111</v>
      </c>
      <c r="D1286" s="2" t="s">
        <v>112</v>
      </c>
      <c r="E1286" s="5">
        <v>-30412</v>
      </c>
      <c r="F1286" s="3" t="s">
        <v>388</v>
      </c>
      <c r="G1286" s="3" t="s">
        <v>3286</v>
      </c>
      <c r="H1286" s="2" t="s">
        <v>21</v>
      </c>
      <c r="I1286" s="2" t="s">
        <v>3287</v>
      </c>
      <c r="J1286" s="3" t="str">
        <f>HYPERLINK("https://www.boe.es/gazeta/dias/1816/09/24/pdfs/GMD-1816-118.pdf#page=6","Abrir facsímil")</f>
        <v>Abrir facsímil</v>
      </c>
      <c r="K1286" s="3" t="s">
        <v>23</v>
      </c>
    </row>
    <row r="1287" spans="1:11" ht="42" customHeight="1">
      <c r="A1287" s="2" t="s">
        <v>3288</v>
      </c>
      <c r="B1287" s="2" t="s">
        <v>3288</v>
      </c>
      <c r="C1287" s="2" t="s">
        <v>34</v>
      </c>
      <c r="D1287" s="2" t="s">
        <v>35</v>
      </c>
      <c r="E1287" s="5">
        <v>-30678</v>
      </c>
      <c r="F1287" s="3" t="s">
        <v>76</v>
      </c>
      <c r="G1287" s="3" t="s">
        <v>103</v>
      </c>
      <c r="H1287" s="2" t="s">
        <v>21</v>
      </c>
      <c r="I1287" s="2" t="s">
        <v>3289</v>
      </c>
      <c r="J1287" s="3" t="str">
        <f>HYPERLINK("https://www.boe.es/gazeta/dias/1816/01/02/pdfs/GMD-1816-1.pdf#page=4","Abrir facsímil")</f>
        <v>Abrir facsímil</v>
      </c>
      <c r="K1287" s="3" t="s">
        <v>23</v>
      </c>
    </row>
    <row r="1288" spans="1:11" ht="42" customHeight="1">
      <c r="A1288" s="2" t="s">
        <v>3288</v>
      </c>
      <c r="B1288" s="2" t="s">
        <v>3288</v>
      </c>
      <c r="C1288" s="2" t="s">
        <v>34</v>
      </c>
      <c r="D1288" s="2" t="s">
        <v>35</v>
      </c>
      <c r="E1288" s="5">
        <v>-30478</v>
      </c>
      <c r="F1288" s="3" t="s">
        <v>123</v>
      </c>
      <c r="G1288" s="3" t="s">
        <v>58</v>
      </c>
      <c r="H1288" s="2" t="s">
        <v>21</v>
      </c>
      <c r="I1288" s="2" t="s">
        <v>3290</v>
      </c>
      <c r="J1288" s="3" t="str">
        <f>HYPERLINK("https://www.boe.es/gazeta/dias/1816/07/20/pdfs/GMD-1816-90.pdf#page=1","Abrir facsímil")</f>
        <v>Abrir facsímil</v>
      </c>
      <c r="K1288" s="3" t="s">
        <v>23</v>
      </c>
    </row>
    <row r="1289" spans="1:11" ht="42" customHeight="1">
      <c r="A1289" s="2" t="s">
        <v>3288</v>
      </c>
      <c r="B1289" s="2" t="s">
        <v>3288</v>
      </c>
      <c r="C1289" s="2" t="s">
        <v>34</v>
      </c>
      <c r="D1289" s="2" t="s">
        <v>35</v>
      </c>
      <c r="E1289" s="5">
        <v>-30377</v>
      </c>
      <c r="F1289" s="3" t="s">
        <v>138</v>
      </c>
      <c r="G1289" s="3" t="s">
        <v>270</v>
      </c>
      <c r="H1289" s="2" t="s">
        <v>21</v>
      </c>
      <c r="I1289" s="2" t="s">
        <v>3291</v>
      </c>
      <c r="J1289" s="3" t="str">
        <f>HYPERLINK("https://www.boe.es/gazeta/dias/1816/10/29/pdfs/GMD-1816-135.pdf#page=2","Abrir facsímil")</f>
        <v>Abrir facsímil</v>
      </c>
      <c r="K1289" s="3" t="s">
        <v>23</v>
      </c>
    </row>
    <row r="1290" spans="1:11" ht="42" customHeight="1">
      <c r="A1290" s="2" t="s">
        <v>3288</v>
      </c>
      <c r="B1290" s="2" t="s">
        <v>3288</v>
      </c>
      <c r="C1290" s="2" t="s">
        <v>41</v>
      </c>
      <c r="D1290" s="2" t="s">
        <v>18</v>
      </c>
      <c r="E1290" s="5">
        <v>-30377</v>
      </c>
      <c r="F1290" s="3" t="s">
        <v>138</v>
      </c>
      <c r="G1290" s="3" t="s">
        <v>184</v>
      </c>
      <c r="H1290" s="2" t="s">
        <v>21</v>
      </c>
      <c r="I1290" s="2" t="s">
        <v>3292</v>
      </c>
      <c r="J1290" s="3" t="str">
        <f>HYPERLINK("https://www.boe.es/gazeta/dias/1816/10/29/pdfs/GMD-1816-135.pdf#page=3","Abrir facsímil")</f>
        <v>Abrir facsímil</v>
      </c>
      <c r="K1290" s="3" t="s">
        <v>23</v>
      </c>
    </row>
    <row r="1291" spans="1:11" ht="42" customHeight="1">
      <c r="A1291" s="2" t="s">
        <v>3288</v>
      </c>
      <c r="B1291" s="2" t="s">
        <v>3288</v>
      </c>
      <c r="C1291" s="2" t="s">
        <v>26</v>
      </c>
      <c r="D1291" s="2" t="s">
        <v>18</v>
      </c>
      <c r="E1291" s="5">
        <v>-30375</v>
      </c>
      <c r="F1291" s="3" t="s">
        <v>404</v>
      </c>
      <c r="G1291" s="3" t="s">
        <v>58</v>
      </c>
      <c r="H1291" s="2" t="s">
        <v>21</v>
      </c>
      <c r="I1291" s="2" t="s">
        <v>3293</v>
      </c>
      <c r="J1291" s="3" t="str">
        <f>HYPERLINK("https://www.boe.es/gazeta/dias/1816/10/31/pdfs/GMD-1816-136.pdf#page=1","Abrir facsímil")</f>
        <v>Abrir facsímil</v>
      </c>
      <c r="K1291" s="3" t="s">
        <v>23</v>
      </c>
    </row>
    <row r="1292" spans="1:11" ht="42" customHeight="1">
      <c r="A1292" s="2" t="s">
        <v>3288</v>
      </c>
      <c r="B1292" s="2" t="s">
        <v>3288</v>
      </c>
      <c r="C1292" s="2" t="s">
        <v>34</v>
      </c>
      <c r="D1292" s="2" t="s">
        <v>35</v>
      </c>
      <c r="E1292" s="5">
        <v>-30373</v>
      </c>
      <c r="F1292" s="3" t="s">
        <v>1280</v>
      </c>
      <c r="G1292" s="3" t="s">
        <v>103</v>
      </c>
      <c r="H1292" s="2" t="s">
        <v>21</v>
      </c>
      <c r="I1292" s="2" t="s">
        <v>3294</v>
      </c>
      <c r="J1292" s="3" t="str">
        <f>HYPERLINK("https://www.boe.es/gazeta/dias/1816/11/02/pdfs/GMD-1816-137.pdf#page=4","Abrir facsímil")</f>
        <v>Abrir facsímil</v>
      </c>
      <c r="K1292" s="3" t="s">
        <v>23</v>
      </c>
    </row>
    <row r="1293" spans="1:11" ht="42" customHeight="1">
      <c r="A1293" s="2" t="s">
        <v>3288</v>
      </c>
      <c r="B1293" s="2" t="s">
        <v>3288</v>
      </c>
      <c r="C1293" s="2" t="s">
        <v>67</v>
      </c>
      <c r="D1293" s="2" t="s">
        <v>18</v>
      </c>
      <c r="E1293" s="5">
        <v>-30370</v>
      </c>
      <c r="F1293" s="3" t="s">
        <v>669</v>
      </c>
      <c r="G1293" s="3" t="s">
        <v>184</v>
      </c>
      <c r="H1293" s="2" t="s">
        <v>21</v>
      </c>
      <c r="I1293" s="2" t="s">
        <v>3295</v>
      </c>
      <c r="J1293" s="3" t="str">
        <f>HYPERLINK("https://www.boe.es/gazeta/dias/1816/11/05/pdfs/GMD-1816-138.pdf#page=3","Abrir facsímil")</f>
        <v>Abrir facsímil</v>
      </c>
      <c r="K1293" s="3" t="s">
        <v>23</v>
      </c>
    </row>
    <row r="1294" spans="1:11" ht="42" customHeight="1">
      <c r="A1294" s="2" t="s">
        <v>3288</v>
      </c>
      <c r="B1294" s="2" t="s">
        <v>3288</v>
      </c>
      <c r="C1294" s="2" t="s">
        <v>67</v>
      </c>
      <c r="D1294" s="2" t="s">
        <v>18</v>
      </c>
      <c r="E1294" s="5">
        <v>-30366</v>
      </c>
      <c r="F1294" s="3" t="s">
        <v>179</v>
      </c>
      <c r="G1294" s="3" t="s">
        <v>58</v>
      </c>
      <c r="H1294" s="2" t="s">
        <v>21</v>
      </c>
      <c r="I1294" s="2" t="s">
        <v>3296</v>
      </c>
      <c r="J1294" s="3" t="str">
        <f>HYPERLINK("https://www.boe.es/gazeta/dias/1816/11/09/pdfs/GMD-1816-140.pdf#page=1","Abrir facsímil")</f>
        <v>Abrir facsímil</v>
      </c>
      <c r="K1294" s="3" t="s">
        <v>23</v>
      </c>
    </row>
    <row r="1295" spans="1:11" ht="42" customHeight="1">
      <c r="A1295" s="2" t="s">
        <v>3297</v>
      </c>
      <c r="B1295" s="2" t="s">
        <v>3297</v>
      </c>
      <c r="C1295" s="2" t="s">
        <v>111</v>
      </c>
      <c r="D1295" s="2" t="s">
        <v>112</v>
      </c>
      <c r="E1295" s="5">
        <v>-30557</v>
      </c>
      <c r="F1295" s="3" t="s">
        <v>508</v>
      </c>
      <c r="G1295" s="3" t="s">
        <v>103</v>
      </c>
      <c r="H1295" s="2" t="s">
        <v>21</v>
      </c>
      <c r="I1295" s="2" t="s">
        <v>3298</v>
      </c>
      <c r="J1295" s="3" t="str">
        <f>HYPERLINK("https://www.boe.es/gazeta/dias/1816/05/02/pdfs/GMD-1816-56.pdf#page=4","Abrir facsímil")</f>
        <v>Abrir facsímil</v>
      </c>
      <c r="K1295" s="3" t="s">
        <v>23</v>
      </c>
    </row>
    <row r="1296" spans="1:11" ht="42" customHeight="1">
      <c r="A1296" s="2" t="s">
        <v>3297</v>
      </c>
      <c r="B1296" s="2" t="s">
        <v>3297</v>
      </c>
      <c r="C1296" s="2" t="s">
        <v>26</v>
      </c>
      <c r="D1296" s="2" t="s">
        <v>18</v>
      </c>
      <c r="E1296" s="5">
        <v>-30394</v>
      </c>
      <c r="F1296" s="3" t="s">
        <v>589</v>
      </c>
      <c r="G1296" s="3" t="s">
        <v>72</v>
      </c>
      <c r="H1296" s="2" t="s">
        <v>21</v>
      </c>
      <c r="I1296" s="2" t="s">
        <v>3299</v>
      </c>
      <c r="J1296" s="3" t="str">
        <f>HYPERLINK("https://www.boe.es/gazeta/dias/1816/10/12/pdfs/GMD-1816-127.pdf#page=7","Abrir facsímil")</f>
        <v>Abrir facsímil</v>
      </c>
      <c r="K1296" s="3" t="s">
        <v>23</v>
      </c>
    </row>
    <row r="1297" spans="1:11" ht="42" customHeight="1">
      <c r="A1297" s="2" t="s">
        <v>3300</v>
      </c>
      <c r="B1297" s="2" t="s">
        <v>3301</v>
      </c>
      <c r="C1297" s="2" t="s">
        <v>111</v>
      </c>
      <c r="D1297" s="2" t="s">
        <v>112</v>
      </c>
      <c r="E1297" s="5">
        <v>-30487</v>
      </c>
      <c r="F1297" s="3" t="s">
        <v>397</v>
      </c>
      <c r="G1297" s="3" t="s">
        <v>175</v>
      </c>
      <c r="H1297" s="2" t="s">
        <v>21</v>
      </c>
      <c r="I1297" s="2" t="s">
        <v>3302</v>
      </c>
      <c r="J1297" s="3" t="str">
        <f>HYPERLINK("https://www.boe.es/gazeta/dias/1816/07/11/pdfs/GMD-1816-86.pdf#page=11","Abrir facsímil")</f>
        <v>Abrir facsímil</v>
      </c>
      <c r="K1297" s="3" t="s">
        <v>23</v>
      </c>
    </row>
    <row r="1298" spans="1:11" ht="42" customHeight="1">
      <c r="A1298" s="2" t="s">
        <v>3303</v>
      </c>
      <c r="B1298" s="2" t="s">
        <v>3304</v>
      </c>
      <c r="C1298" s="2" t="s">
        <v>111</v>
      </c>
      <c r="D1298" s="2" t="s">
        <v>112</v>
      </c>
      <c r="E1298" s="5">
        <v>-30655</v>
      </c>
      <c r="F1298" s="3" t="s">
        <v>170</v>
      </c>
      <c r="G1298" s="3" t="s">
        <v>72</v>
      </c>
      <c r="H1298" s="2" t="s">
        <v>21</v>
      </c>
      <c r="I1298" s="2" t="s">
        <v>3305</v>
      </c>
      <c r="J1298" s="3" t="str">
        <f>HYPERLINK("https://www.boe.es/gazeta/dias/1816/01/25/pdfs/GMD-1816-11.pdf#page=7","Abrir facsímil")</f>
        <v>Abrir facsímil</v>
      </c>
      <c r="K1298" s="3" t="s">
        <v>23</v>
      </c>
    </row>
    <row r="1299" spans="1:11" ht="42" customHeight="1">
      <c r="A1299" s="2" t="s">
        <v>3306</v>
      </c>
      <c r="B1299" s="2" t="s">
        <v>3307</v>
      </c>
      <c r="C1299" s="2" t="s">
        <v>111</v>
      </c>
      <c r="D1299" s="2" t="s">
        <v>56</v>
      </c>
      <c r="E1299" s="5">
        <v>-30393</v>
      </c>
      <c r="F1299" s="3" t="s">
        <v>202</v>
      </c>
      <c r="G1299" s="3" t="s">
        <v>270</v>
      </c>
      <c r="H1299" s="2" t="s">
        <v>21</v>
      </c>
      <c r="I1299" s="2" t="s">
        <v>3308</v>
      </c>
      <c r="J1299" s="3" t="str">
        <f>HYPERLINK("https://www.boe.es/gazeta/dias/1816/10/13/pdfs/GMD-1816-128E.pdf#page=2","Abrir facsímil")</f>
        <v>Abrir facsímil</v>
      </c>
      <c r="K1299" s="3" t="s">
        <v>23</v>
      </c>
    </row>
    <row r="1300" spans="1:11" ht="42" customHeight="1">
      <c r="A1300" s="2" t="s">
        <v>3309</v>
      </c>
      <c r="B1300" s="2" t="s">
        <v>3310</v>
      </c>
      <c r="C1300" s="2" t="s">
        <v>67</v>
      </c>
      <c r="D1300" s="2" t="s">
        <v>18</v>
      </c>
      <c r="E1300" s="5">
        <v>-30611</v>
      </c>
      <c r="F1300" s="3" t="s">
        <v>211</v>
      </c>
      <c r="G1300" s="3" t="s">
        <v>42</v>
      </c>
      <c r="H1300" s="2" t="s">
        <v>21</v>
      </c>
      <c r="I1300" s="2" t="s">
        <v>3311</v>
      </c>
      <c r="J1300" s="3" t="str">
        <f>HYPERLINK("https://www.boe.es/gazeta/dias/1816/03/09/pdfs/GMD-1816-32.pdf#page=8","Abrir facsímil")</f>
        <v>Abrir facsímil</v>
      </c>
      <c r="K1300" s="3" t="s">
        <v>23</v>
      </c>
    </row>
    <row r="1301" spans="1:11" ht="42" customHeight="1">
      <c r="A1301" s="2" t="s">
        <v>3309</v>
      </c>
      <c r="B1301" s="2" t="s">
        <v>3310</v>
      </c>
      <c r="C1301" s="2" t="s">
        <v>67</v>
      </c>
      <c r="D1301" s="2" t="s">
        <v>18</v>
      </c>
      <c r="E1301" s="5">
        <v>-30552</v>
      </c>
      <c r="F1301" s="3" t="s">
        <v>1842</v>
      </c>
      <c r="G1301" s="3" t="s">
        <v>42</v>
      </c>
      <c r="H1301" s="2" t="s">
        <v>21</v>
      </c>
      <c r="I1301" s="2" t="s">
        <v>3312</v>
      </c>
      <c r="J1301" s="3" t="str">
        <f>HYPERLINK("https://www.boe.es/gazeta/dias/1816/05/07/pdfs/GMD-1816-58.pdf#page=8","Abrir facsímil")</f>
        <v>Abrir facsímil</v>
      </c>
      <c r="K1301" s="3" t="s">
        <v>23</v>
      </c>
    </row>
    <row r="1302" spans="1:11" ht="42" customHeight="1">
      <c r="A1302" s="2" t="s">
        <v>3313</v>
      </c>
      <c r="B1302" s="2" t="s">
        <v>3314</v>
      </c>
      <c r="C1302" s="2" t="s">
        <v>34</v>
      </c>
      <c r="D1302" s="2" t="s">
        <v>56</v>
      </c>
      <c r="E1302" s="5">
        <v>-30393</v>
      </c>
      <c r="F1302" s="3" t="s">
        <v>202</v>
      </c>
      <c r="G1302" s="3" t="s">
        <v>58</v>
      </c>
      <c r="H1302" s="2" t="s">
        <v>21</v>
      </c>
      <c r="I1302" s="2" t="s">
        <v>3315</v>
      </c>
      <c r="J1302" s="3" t="str">
        <f>HYPERLINK("https://www.boe.es/gazeta/dias/1816/10/13/pdfs/GMD-1816-128E.pdf#page=1","Abrir facsímil")</f>
        <v>Abrir facsímil</v>
      </c>
      <c r="K1302" s="3" t="s">
        <v>23</v>
      </c>
    </row>
    <row r="1303" spans="1:11" ht="42" customHeight="1">
      <c r="A1303" s="2" t="s">
        <v>3316</v>
      </c>
      <c r="B1303" s="2" t="s">
        <v>3317</v>
      </c>
      <c r="C1303" s="2" t="s">
        <v>17</v>
      </c>
      <c r="D1303" s="2" t="s">
        <v>18</v>
      </c>
      <c r="E1303" s="5">
        <v>-30632</v>
      </c>
      <c r="F1303" s="3" t="s">
        <v>89</v>
      </c>
      <c r="G1303" s="3" t="s">
        <v>42</v>
      </c>
      <c r="H1303" s="2" t="s">
        <v>21</v>
      </c>
      <c r="I1303" s="2" t="s">
        <v>3318</v>
      </c>
      <c r="J1303" s="3" t="str">
        <f>HYPERLINK("https://www.boe.es/gazeta/dias/1816/02/17/pdfs/GMD-1816-22.pdf#page=8","Abrir facsímil")</f>
        <v>Abrir facsímil</v>
      </c>
      <c r="K1303" s="3" t="s">
        <v>23</v>
      </c>
    </row>
    <row r="1304" spans="1:11" ht="42" customHeight="1">
      <c r="A1304" s="2" t="s">
        <v>3319</v>
      </c>
      <c r="B1304" s="2" t="s">
        <v>3320</v>
      </c>
      <c r="C1304" s="2" t="s">
        <v>34</v>
      </c>
      <c r="D1304" s="2" t="s">
        <v>35</v>
      </c>
      <c r="E1304" s="5">
        <v>-30580</v>
      </c>
      <c r="F1304" s="3" t="s">
        <v>107</v>
      </c>
      <c r="G1304" s="3" t="s">
        <v>28</v>
      </c>
      <c r="H1304" s="2" t="s">
        <v>21</v>
      </c>
      <c r="I1304" s="2" t="s">
        <v>3321</v>
      </c>
      <c r="J1304" s="3" t="str">
        <f>HYPERLINK("https://www.boe.es/gazeta/dias/1816/04/09/pdfs/GMD-1816-46.pdf#page=6","Abrir facsímil")</f>
        <v>Abrir facsímil</v>
      </c>
      <c r="K1304" s="3" t="s">
        <v>23</v>
      </c>
    </row>
    <row r="1305" spans="1:11" ht="42" customHeight="1">
      <c r="A1305" s="2" t="s">
        <v>3322</v>
      </c>
      <c r="B1305" s="2" t="s">
        <v>3323</v>
      </c>
      <c r="C1305" s="2" t="s">
        <v>34</v>
      </c>
      <c r="D1305" s="2" t="s">
        <v>35</v>
      </c>
      <c r="E1305" s="5">
        <v>-30678</v>
      </c>
      <c r="F1305" s="3" t="s">
        <v>76</v>
      </c>
      <c r="G1305" s="3" t="s">
        <v>2221</v>
      </c>
      <c r="H1305" s="2" t="s">
        <v>21</v>
      </c>
      <c r="I1305" s="2" t="s">
        <v>3324</v>
      </c>
      <c r="J1305" s="3" t="str">
        <f>HYPERLINK("https://www.boe.es/gazeta/dias/1816/01/02/pdfs/GMD-1816-1.pdf#page=7","Abrir facsímil")</f>
        <v>Abrir facsímil</v>
      </c>
      <c r="K1305" s="3" t="s">
        <v>23</v>
      </c>
    </row>
    <row r="1306" spans="1:11" ht="42" customHeight="1">
      <c r="A1306" s="2" t="s">
        <v>3325</v>
      </c>
      <c r="B1306" s="2" t="s">
        <v>3326</v>
      </c>
      <c r="C1306" s="2" t="s">
        <v>34</v>
      </c>
      <c r="D1306" s="2" t="s">
        <v>35</v>
      </c>
      <c r="E1306" s="5">
        <v>-30592</v>
      </c>
      <c r="F1306" s="3" t="s">
        <v>236</v>
      </c>
      <c r="G1306" s="3" t="s">
        <v>42</v>
      </c>
      <c r="H1306" s="2" t="s">
        <v>21</v>
      </c>
      <c r="I1306" s="2" t="s">
        <v>3327</v>
      </c>
      <c r="J1306" s="3" t="str">
        <f>HYPERLINK("https://www.boe.es/gazeta/dias/1816/03/28/pdfs/GMD-1816-41.pdf#page=8","Abrir facsímil")</f>
        <v>Abrir facsímil</v>
      </c>
      <c r="K1306" s="3" t="s">
        <v>23</v>
      </c>
    </row>
    <row r="1307" spans="1:11" ht="42" customHeight="1">
      <c r="A1307" s="2" t="s">
        <v>3328</v>
      </c>
      <c r="B1307" s="2" t="s">
        <v>3329</v>
      </c>
      <c r="C1307" s="2" t="s">
        <v>34</v>
      </c>
      <c r="D1307" s="2" t="s">
        <v>35</v>
      </c>
      <c r="E1307" s="5">
        <v>-30594</v>
      </c>
      <c r="F1307" s="3" t="s">
        <v>234</v>
      </c>
      <c r="G1307" s="3" t="s">
        <v>42</v>
      </c>
      <c r="H1307" s="2" t="s">
        <v>21</v>
      </c>
      <c r="I1307" s="2" t="s">
        <v>3330</v>
      </c>
      <c r="J1307" s="3" t="str">
        <f>HYPERLINK("https://www.boe.es/gazeta/dias/1816/03/26/pdfs/GMD-1816-40.pdf#page=8","Abrir facsímil")</f>
        <v>Abrir facsímil</v>
      </c>
      <c r="K1307" s="3" t="s">
        <v>23</v>
      </c>
    </row>
    <row r="1308" spans="1:11" ht="42" customHeight="1">
      <c r="A1308" s="2" t="s">
        <v>3328</v>
      </c>
      <c r="B1308" s="2" t="s">
        <v>3329</v>
      </c>
      <c r="C1308" s="2" t="s">
        <v>34</v>
      </c>
      <c r="D1308" s="2" t="s">
        <v>35</v>
      </c>
      <c r="E1308" s="5">
        <v>-30592</v>
      </c>
      <c r="F1308" s="3" t="s">
        <v>236</v>
      </c>
      <c r="G1308" s="3" t="s">
        <v>28</v>
      </c>
      <c r="H1308" s="2" t="s">
        <v>21</v>
      </c>
      <c r="I1308" s="2" t="s">
        <v>3331</v>
      </c>
      <c r="J1308" s="3" t="str">
        <f>HYPERLINK("https://www.boe.es/gazeta/dias/1816/03/28/pdfs/GMD-1816-41.pdf#page=6","Abrir facsímil")</f>
        <v>Abrir facsímil</v>
      </c>
      <c r="K1308" s="3" t="s">
        <v>23</v>
      </c>
    </row>
    <row r="1309" spans="1:11" ht="42" customHeight="1">
      <c r="A1309" s="2" t="s">
        <v>3332</v>
      </c>
      <c r="B1309" s="2" t="s">
        <v>3333</v>
      </c>
      <c r="C1309" s="2" t="s">
        <v>111</v>
      </c>
      <c r="D1309" s="2" t="s">
        <v>112</v>
      </c>
      <c r="E1309" s="5">
        <v>-30541</v>
      </c>
      <c r="F1309" s="3" t="s">
        <v>96</v>
      </c>
      <c r="G1309" s="3" t="s">
        <v>42</v>
      </c>
      <c r="H1309" s="2" t="s">
        <v>29</v>
      </c>
      <c r="I1309" s="2" t="s">
        <v>3334</v>
      </c>
      <c r="J1309" s="3" t="str">
        <f>HYPERLINK("https://www.boe.es/gazeta/dias/1816/05/18/pdfs/GMD-1816-63.pdf#page=8","Abrir facsímil")</f>
        <v>Abrir facsímil</v>
      </c>
      <c r="K1309" s="3" t="s">
        <v>31</v>
      </c>
    </row>
    <row r="1310" spans="1:11" ht="42" customHeight="1">
      <c r="A1310" s="2" t="s">
        <v>3335</v>
      </c>
      <c r="B1310" s="2" t="s">
        <v>3336</v>
      </c>
      <c r="C1310" s="2" t="s">
        <v>34</v>
      </c>
      <c r="D1310" s="2" t="s">
        <v>35</v>
      </c>
      <c r="E1310" s="5">
        <v>-30501</v>
      </c>
      <c r="F1310" s="3" t="s">
        <v>475</v>
      </c>
      <c r="G1310" s="3" t="s">
        <v>28</v>
      </c>
      <c r="H1310" s="2" t="s">
        <v>21</v>
      </c>
      <c r="I1310" s="2" t="s">
        <v>3337</v>
      </c>
      <c r="J1310" s="3" t="str">
        <f>HYPERLINK("https://www.boe.es/gazeta/dias/1816/06/27/pdfs/GMD-1816-80.pdf#page=6","Abrir facsímil")</f>
        <v>Abrir facsímil</v>
      </c>
      <c r="K1310" s="3" t="s">
        <v>23</v>
      </c>
    </row>
    <row r="1311" spans="1:11" ht="42" customHeight="1">
      <c r="A1311" s="2" t="s">
        <v>3338</v>
      </c>
      <c r="B1311" s="2" t="s">
        <v>3339</v>
      </c>
      <c r="C1311" s="2" t="s">
        <v>34</v>
      </c>
      <c r="D1311" s="2" t="s">
        <v>35</v>
      </c>
      <c r="E1311" s="5">
        <v>-30590</v>
      </c>
      <c r="F1311" s="3" t="s">
        <v>195</v>
      </c>
      <c r="G1311" s="3" t="s">
        <v>103</v>
      </c>
      <c r="H1311" s="2" t="s">
        <v>21</v>
      </c>
      <c r="I1311" s="2" t="s">
        <v>3340</v>
      </c>
      <c r="J1311" s="3" t="str">
        <f>HYPERLINK("https://www.boe.es/gazeta/dias/1816/03/30/pdfs/GMD-1816-42.pdf#page=4","Abrir facsímil")</f>
        <v>Abrir facsímil</v>
      </c>
      <c r="K1311" s="3" t="s">
        <v>23</v>
      </c>
    </row>
    <row r="1312" spans="1:11" ht="42" customHeight="1">
      <c r="A1312" s="2" t="s">
        <v>3341</v>
      </c>
      <c r="B1312" s="2" t="s">
        <v>3342</v>
      </c>
      <c r="C1312" s="2" t="s">
        <v>34</v>
      </c>
      <c r="D1312" s="2" t="s">
        <v>35</v>
      </c>
      <c r="E1312" s="5">
        <v>-30394</v>
      </c>
      <c r="F1312" s="3" t="s">
        <v>589</v>
      </c>
      <c r="G1312" s="3" t="s">
        <v>47</v>
      </c>
      <c r="H1312" s="2" t="s">
        <v>21</v>
      </c>
      <c r="I1312" s="2" t="s">
        <v>3343</v>
      </c>
      <c r="J1312" s="3" t="str">
        <f>HYPERLINK("https://www.boe.es/gazeta/dias/1816/10/12/pdfs/GMD-1816-127.pdf#page=5","Abrir facsímil")</f>
        <v>Abrir facsímil</v>
      </c>
      <c r="K1312" s="3" t="s">
        <v>23</v>
      </c>
    </row>
    <row r="1313" spans="1:11" ht="42" customHeight="1">
      <c r="A1313" s="2" t="s">
        <v>3344</v>
      </c>
      <c r="B1313" s="2" t="s">
        <v>3345</v>
      </c>
      <c r="C1313" s="2" t="s">
        <v>34</v>
      </c>
      <c r="D1313" s="2" t="s">
        <v>35</v>
      </c>
      <c r="E1313" s="5">
        <v>-30433</v>
      </c>
      <c r="F1313" s="3" t="s">
        <v>954</v>
      </c>
      <c r="G1313" s="3" t="s">
        <v>103</v>
      </c>
      <c r="H1313" s="2" t="s">
        <v>21</v>
      </c>
      <c r="I1313" s="2" t="s">
        <v>3346</v>
      </c>
      <c r="J1313" s="3" t="str">
        <f>HYPERLINK("https://www.boe.es/gazeta/dias/1816/09/03/pdfs/GMD-1816-109.pdf#page=4","Abrir facsímil")</f>
        <v>Abrir facsímil</v>
      </c>
      <c r="K1313" s="3" t="s">
        <v>23</v>
      </c>
    </row>
    <row r="1314" spans="1:11" ht="42" customHeight="1">
      <c r="A1314" s="2" t="s">
        <v>3347</v>
      </c>
      <c r="B1314" s="2" t="s">
        <v>3347</v>
      </c>
      <c r="C1314" s="2" t="s">
        <v>34</v>
      </c>
      <c r="D1314" s="2" t="s">
        <v>35</v>
      </c>
      <c r="E1314" s="5">
        <v>-30461</v>
      </c>
      <c r="F1314" s="3" t="s">
        <v>912</v>
      </c>
      <c r="G1314" s="3" t="s">
        <v>3348</v>
      </c>
      <c r="H1314" s="2" t="s">
        <v>21</v>
      </c>
      <c r="I1314" s="2" t="s">
        <v>3349</v>
      </c>
      <c r="J1314" s="3" t="str">
        <f>HYPERLINK("https://www.boe.es/gazeta/dias/1816/08/06/pdfs/GMD-1816-97.pdf#page=2","Abrir facsímil")</f>
        <v>Abrir facsímil</v>
      </c>
      <c r="K1314" s="3" t="s">
        <v>23</v>
      </c>
    </row>
    <row r="1315" spans="1:11" ht="42" customHeight="1">
      <c r="A1315" s="2" t="s">
        <v>3350</v>
      </c>
      <c r="B1315" s="2" t="s">
        <v>3351</v>
      </c>
      <c r="C1315" s="2" t="s">
        <v>111</v>
      </c>
      <c r="D1315" s="2" t="s">
        <v>112</v>
      </c>
      <c r="E1315" s="5">
        <v>-30550</v>
      </c>
      <c r="F1315" s="3" t="s">
        <v>435</v>
      </c>
      <c r="G1315" s="3" t="s">
        <v>42</v>
      </c>
      <c r="H1315" s="2" t="s">
        <v>21</v>
      </c>
      <c r="I1315" s="2" t="s">
        <v>3352</v>
      </c>
      <c r="J1315" s="3" t="str">
        <f>HYPERLINK("https://www.boe.es/gazeta/dias/1816/05/09/pdfs/GMD-1816-59.pdf#page=8","Abrir facsímil")</f>
        <v>Abrir facsímil</v>
      </c>
      <c r="K1315" s="3" t="s">
        <v>23</v>
      </c>
    </row>
    <row r="1316" spans="1:11" ht="42" customHeight="1">
      <c r="A1316" s="2" t="s">
        <v>3353</v>
      </c>
      <c r="B1316" s="2" t="s">
        <v>3354</v>
      </c>
      <c r="C1316" s="2" t="s">
        <v>34</v>
      </c>
      <c r="D1316" s="2" t="s">
        <v>35</v>
      </c>
      <c r="E1316" s="5">
        <v>-30580</v>
      </c>
      <c r="F1316" s="3" t="s">
        <v>107</v>
      </c>
      <c r="G1316" s="3" t="s">
        <v>28</v>
      </c>
      <c r="H1316" s="2" t="s">
        <v>21</v>
      </c>
      <c r="I1316" s="2" t="s">
        <v>3355</v>
      </c>
      <c r="J1316" s="3" t="str">
        <f>HYPERLINK("https://www.boe.es/gazeta/dias/1816/04/09/pdfs/GMD-1816-46.pdf#page=6","Abrir facsímil")</f>
        <v>Abrir facsímil</v>
      </c>
      <c r="K1316" s="3" t="s">
        <v>23</v>
      </c>
    </row>
    <row r="1317" spans="1:11" ht="42" customHeight="1">
      <c r="A1317" s="2" t="s">
        <v>3356</v>
      </c>
      <c r="B1317" s="2" t="s">
        <v>3356</v>
      </c>
      <c r="C1317" s="2" t="s">
        <v>34</v>
      </c>
      <c r="D1317" s="2" t="s">
        <v>35</v>
      </c>
      <c r="E1317" s="5">
        <v>-30618</v>
      </c>
      <c r="F1317" s="3" t="s">
        <v>207</v>
      </c>
      <c r="G1317" s="3" t="s">
        <v>184</v>
      </c>
      <c r="H1317" s="2" t="s">
        <v>21</v>
      </c>
      <c r="I1317" s="2" t="s">
        <v>3357</v>
      </c>
      <c r="J1317" s="3" t="str">
        <f>HYPERLINK("https://www.boe.es/gazeta/dias/1816/03/02/pdfs/GMD-1816-29.pdf#page=3","Abrir facsímil")</f>
        <v>Abrir facsímil</v>
      </c>
      <c r="K1317" s="3" t="s">
        <v>23</v>
      </c>
    </row>
    <row r="1318" spans="1:11" ht="42" customHeight="1">
      <c r="A1318" s="2" t="s">
        <v>3358</v>
      </c>
      <c r="B1318" s="2" t="s">
        <v>3359</v>
      </c>
      <c r="C1318" s="2" t="s">
        <v>26</v>
      </c>
      <c r="D1318" s="2" t="s">
        <v>18</v>
      </c>
      <c r="E1318" s="5">
        <v>-30576</v>
      </c>
      <c r="F1318" s="3" t="s">
        <v>353</v>
      </c>
      <c r="G1318" s="3" t="s">
        <v>72</v>
      </c>
      <c r="H1318" s="2" t="s">
        <v>21</v>
      </c>
      <c r="I1318" s="2" t="s">
        <v>3360</v>
      </c>
      <c r="J1318" s="3" t="str">
        <f>HYPERLINK("https://www.boe.es/gazeta/dias/1816/04/13/pdfs/GMD-1816-48.pdf#page=7","Abrir facsímil")</f>
        <v>Abrir facsímil</v>
      </c>
      <c r="K1318" s="3" t="s">
        <v>23</v>
      </c>
    </row>
    <row r="1319" spans="1:11" ht="42" customHeight="1">
      <c r="A1319" s="2" t="s">
        <v>3361</v>
      </c>
      <c r="B1319" s="2" t="s">
        <v>3362</v>
      </c>
      <c r="C1319" s="2" t="s">
        <v>111</v>
      </c>
      <c r="D1319" s="2" t="s">
        <v>112</v>
      </c>
      <c r="E1319" s="5">
        <v>-30382</v>
      </c>
      <c r="F1319" s="3" t="s">
        <v>326</v>
      </c>
      <c r="G1319" s="3" t="s">
        <v>47</v>
      </c>
      <c r="H1319" s="2" t="s">
        <v>21</v>
      </c>
      <c r="I1319" s="2" t="s">
        <v>3363</v>
      </c>
      <c r="J1319" s="3" t="str">
        <f>HYPERLINK("https://www.boe.es/gazeta/dias/1816/10/24/pdfs/GMD-1816-133.pdf#page=5","Abrir facsímil")</f>
        <v>Abrir facsímil</v>
      </c>
      <c r="K1319" s="3" t="s">
        <v>23</v>
      </c>
    </row>
    <row r="1320" spans="1:11" ht="42" customHeight="1">
      <c r="A1320" s="2" t="s">
        <v>3364</v>
      </c>
      <c r="B1320" s="2" t="s">
        <v>3365</v>
      </c>
      <c r="C1320" s="2" t="s">
        <v>34</v>
      </c>
      <c r="D1320" s="2" t="s">
        <v>35</v>
      </c>
      <c r="E1320" s="5">
        <v>-30387</v>
      </c>
      <c r="F1320" s="3" t="s">
        <v>224</v>
      </c>
      <c r="G1320" s="3" t="s">
        <v>28</v>
      </c>
      <c r="H1320" s="2" t="s">
        <v>21</v>
      </c>
      <c r="I1320" s="2" t="s">
        <v>3366</v>
      </c>
      <c r="J1320" s="3" t="str">
        <f>HYPERLINK("https://www.boe.es/gazeta/dias/1816/10/19/pdfs/GMD-1816-131.pdf#page=6","Abrir facsímil")</f>
        <v>Abrir facsímil</v>
      </c>
      <c r="K1320" s="3" t="s">
        <v>23</v>
      </c>
    </row>
    <row r="1321" spans="1:11" ht="42" customHeight="1">
      <c r="A1321" s="2" t="s">
        <v>3367</v>
      </c>
      <c r="B1321" s="2" t="s">
        <v>3368</v>
      </c>
      <c r="C1321" s="2" t="s">
        <v>34</v>
      </c>
      <c r="D1321" s="2" t="s">
        <v>35</v>
      </c>
      <c r="E1321" s="5">
        <v>-30391</v>
      </c>
      <c r="F1321" s="3" t="s">
        <v>482</v>
      </c>
      <c r="G1321" s="3" t="s">
        <v>28</v>
      </c>
      <c r="H1321" s="2" t="s">
        <v>21</v>
      </c>
      <c r="I1321" s="2" t="s">
        <v>3369</v>
      </c>
      <c r="J1321" s="3" t="str">
        <f>HYPERLINK("https://www.boe.es/gazeta/dias/1816/10/15/pdfs/GMD-1816-129.pdf#page=6","Abrir facsímil")</f>
        <v>Abrir facsímil</v>
      </c>
      <c r="K1321" s="3" t="s">
        <v>23</v>
      </c>
    </row>
    <row r="1322" spans="1:11" ht="42" customHeight="1">
      <c r="A1322" s="2" t="s">
        <v>3370</v>
      </c>
      <c r="B1322" s="2" t="s">
        <v>3371</v>
      </c>
      <c r="C1322" s="2" t="s">
        <v>26</v>
      </c>
      <c r="D1322" s="2" t="s">
        <v>18</v>
      </c>
      <c r="E1322" s="5">
        <v>-30457</v>
      </c>
      <c r="F1322" s="3" t="s">
        <v>539</v>
      </c>
      <c r="G1322" s="3" t="s">
        <v>28</v>
      </c>
      <c r="H1322" s="2" t="s">
        <v>21</v>
      </c>
      <c r="I1322" s="2" t="s">
        <v>3372</v>
      </c>
      <c r="J1322" s="3" t="str">
        <f>HYPERLINK("https://www.boe.es/gazeta/dias/1816/08/10/pdfs/GMD-1816-99.pdf#page=6","Abrir facsímil")</f>
        <v>Abrir facsímil</v>
      </c>
      <c r="K1322" s="3" t="s">
        <v>23</v>
      </c>
    </row>
    <row r="1323" spans="1:11" ht="42" customHeight="1">
      <c r="A1323" s="2" t="s">
        <v>3373</v>
      </c>
      <c r="B1323" s="2" t="s">
        <v>3373</v>
      </c>
      <c r="C1323" s="2" t="s">
        <v>26</v>
      </c>
      <c r="D1323" s="2" t="s">
        <v>18</v>
      </c>
      <c r="E1323" s="5">
        <v>-30391</v>
      </c>
      <c r="F1323" s="3" t="s">
        <v>482</v>
      </c>
      <c r="G1323" s="3" t="s">
        <v>28</v>
      </c>
      <c r="H1323" s="2" t="s">
        <v>21</v>
      </c>
      <c r="I1323" s="2" t="s">
        <v>3374</v>
      </c>
      <c r="J1323" s="3" t="str">
        <f>HYPERLINK("https://www.boe.es/gazeta/dias/1816/10/15/pdfs/GMD-1816-129.pdf#page=6","Abrir facsímil")</f>
        <v>Abrir facsímil</v>
      </c>
      <c r="K1323" s="3" t="s">
        <v>23</v>
      </c>
    </row>
    <row r="1324" spans="1:11" ht="42" customHeight="1">
      <c r="A1324" s="2" t="s">
        <v>3375</v>
      </c>
      <c r="B1324" s="2" t="s">
        <v>3376</v>
      </c>
      <c r="C1324" s="2" t="s">
        <v>34</v>
      </c>
      <c r="D1324" s="2" t="s">
        <v>35</v>
      </c>
      <c r="E1324" s="5">
        <v>-30494</v>
      </c>
      <c r="F1324" s="3" t="s">
        <v>174</v>
      </c>
      <c r="G1324" s="3" t="s">
        <v>42</v>
      </c>
      <c r="H1324" s="2" t="s">
        <v>21</v>
      </c>
      <c r="I1324" s="2" t="s">
        <v>3377</v>
      </c>
      <c r="J1324" s="3" t="str">
        <f>HYPERLINK("https://www.boe.es/gazeta/dias/1816/07/04/pdfs/GMD-1816-83.pdf#page=8","Abrir facsímil")</f>
        <v>Abrir facsímil</v>
      </c>
      <c r="K1324" s="3" t="s">
        <v>23</v>
      </c>
    </row>
    <row r="1325" spans="1:11" ht="42" customHeight="1">
      <c r="A1325" s="2" t="s">
        <v>3378</v>
      </c>
      <c r="B1325" s="2" t="s">
        <v>3379</v>
      </c>
      <c r="C1325" s="2" t="s">
        <v>17</v>
      </c>
      <c r="D1325" s="2" t="s">
        <v>18</v>
      </c>
      <c r="E1325" s="5">
        <v>-30443</v>
      </c>
      <c r="F1325" s="3" t="s">
        <v>259</v>
      </c>
      <c r="G1325" s="3" t="s">
        <v>3380</v>
      </c>
      <c r="H1325" s="2" t="s">
        <v>29</v>
      </c>
      <c r="I1325" s="2" t="s">
        <v>3381</v>
      </c>
      <c r="J1325" s="3" t="str">
        <f>HYPERLINK("https://www.boe.es/gazeta/dias/1816/08/24/pdfs/GMD-1816-105.pdf#page=6","Abrir facsímil")</f>
        <v>Abrir facsímil</v>
      </c>
      <c r="K1325" s="3" t="s">
        <v>31</v>
      </c>
    </row>
    <row r="1326" spans="1:11" ht="42" customHeight="1">
      <c r="A1326" s="2" t="s">
        <v>3382</v>
      </c>
      <c r="B1326" s="2" t="s">
        <v>3383</v>
      </c>
      <c r="C1326" s="2" t="s">
        <v>81</v>
      </c>
      <c r="D1326" s="2" t="s">
        <v>18</v>
      </c>
      <c r="E1326" s="5">
        <v>-30594</v>
      </c>
      <c r="F1326" s="3" t="s">
        <v>234</v>
      </c>
      <c r="G1326" s="3" t="s">
        <v>52</v>
      </c>
      <c r="H1326" s="2" t="s">
        <v>21</v>
      </c>
      <c r="I1326" s="2" t="s">
        <v>3384</v>
      </c>
      <c r="J1326" s="3" t="str">
        <f>HYPERLINK("https://www.boe.es/gazeta/dias/1816/03/26/pdfs/GMD-1816-40.pdf#page=12","Abrir facsímil")</f>
        <v>Abrir facsímil</v>
      </c>
      <c r="K1326" s="3" t="s">
        <v>23</v>
      </c>
    </row>
    <row r="1327" spans="1:11" ht="42" customHeight="1">
      <c r="A1327" s="2" t="s">
        <v>3385</v>
      </c>
      <c r="B1327" s="2" t="s">
        <v>3386</v>
      </c>
      <c r="C1327" s="2" t="s">
        <v>26</v>
      </c>
      <c r="D1327" s="2" t="s">
        <v>18</v>
      </c>
      <c r="E1327" s="5">
        <v>-30478</v>
      </c>
      <c r="F1327" s="3" t="s">
        <v>123</v>
      </c>
      <c r="G1327" s="3" t="s">
        <v>2092</v>
      </c>
      <c r="H1327" s="2" t="s">
        <v>21</v>
      </c>
      <c r="I1327" s="2" t="s">
        <v>3387</v>
      </c>
      <c r="J1327" s="3" t="str">
        <f>HYPERLINK("https://www.boe.es/gazeta/dias/1816/07/20/pdfs/GMD-1816-90.pdf#page=5","Abrir facsímil")</f>
        <v>Abrir facsímil</v>
      </c>
      <c r="K1327" s="3" t="s">
        <v>23</v>
      </c>
    </row>
    <row r="1328" spans="1:11" ht="42" customHeight="1">
      <c r="A1328" s="2" t="s">
        <v>3388</v>
      </c>
      <c r="B1328" s="2" t="s">
        <v>3389</v>
      </c>
      <c r="C1328" s="2" t="s">
        <v>387</v>
      </c>
      <c r="D1328" s="2" t="s">
        <v>18</v>
      </c>
      <c r="E1328" s="5">
        <v>-30424</v>
      </c>
      <c r="F1328" s="3" t="s">
        <v>142</v>
      </c>
      <c r="G1328" s="3" t="s">
        <v>175</v>
      </c>
      <c r="H1328" s="2" t="s">
        <v>29</v>
      </c>
      <c r="I1328" s="2" t="s">
        <v>3390</v>
      </c>
      <c r="J1328" s="3" t="str">
        <f>HYPERLINK("https://www.boe.es/gazeta/dias/1816/09/12/pdfs/GMD-1816-113.pdf#page=11","Abrir facsímil")</f>
        <v>Abrir facsímil</v>
      </c>
      <c r="K1328" s="3" t="s">
        <v>31</v>
      </c>
    </row>
    <row r="1329" spans="1:11" ht="42" customHeight="1">
      <c r="A1329" s="2" t="s">
        <v>3391</v>
      </c>
      <c r="B1329" s="2" t="s">
        <v>3392</v>
      </c>
      <c r="C1329" s="2" t="s">
        <v>111</v>
      </c>
      <c r="D1329" s="2" t="s">
        <v>112</v>
      </c>
      <c r="E1329" s="5">
        <v>-30389</v>
      </c>
      <c r="F1329" s="3" t="s">
        <v>522</v>
      </c>
      <c r="G1329" s="3" t="s">
        <v>1273</v>
      </c>
      <c r="H1329" s="2" t="s">
        <v>29</v>
      </c>
      <c r="I1329" s="2" t="s">
        <v>3393</v>
      </c>
      <c r="J1329" s="3" t="str">
        <f>HYPERLINK("https://www.boe.es/gazeta/dias/1816/10/17/pdfs/GMD-1816-130.pdf#page=4","Abrir facsímil")</f>
        <v>Abrir facsímil</v>
      </c>
      <c r="K1329" s="3" t="s">
        <v>31</v>
      </c>
    </row>
    <row r="1330" spans="1:11" ht="42" customHeight="1">
      <c r="A1330" s="2" t="s">
        <v>3394</v>
      </c>
      <c r="B1330" s="2" t="s">
        <v>3395</v>
      </c>
      <c r="C1330" s="2" t="s">
        <v>67</v>
      </c>
      <c r="D1330" s="2" t="s">
        <v>18</v>
      </c>
      <c r="E1330" s="5">
        <v>-30461</v>
      </c>
      <c r="F1330" s="3" t="s">
        <v>912</v>
      </c>
      <c r="G1330" s="3" t="s">
        <v>42</v>
      </c>
      <c r="H1330" s="2" t="s">
        <v>21</v>
      </c>
      <c r="I1330" s="2" t="s">
        <v>3396</v>
      </c>
      <c r="J1330" s="3" t="str">
        <f>HYPERLINK("https://www.boe.es/gazeta/dias/1816/08/06/pdfs/GMD-1816-97.pdf#page=8","Abrir facsímil")</f>
        <v>Abrir facsímil</v>
      </c>
      <c r="K1330" s="3" t="s">
        <v>23</v>
      </c>
    </row>
    <row r="1331" spans="1:11" ht="42" customHeight="1">
      <c r="A1331" s="2" t="s">
        <v>3397</v>
      </c>
      <c r="B1331" s="2" t="s">
        <v>3397</v>
      </c>
      <c r="C1331" s="2" t="s">
        <v>111</v>
      </c>
      <c r="D1331" s="2" t="s">
        <v>112</v>
      </c>
      <c r="E1331" s="5">
        <v>-30573</v>
      </c>
      <c r="F1331" s="3" t="s">
        <v>840</v>
      </c>
      <c r="G1331" s="3" t="s">
        <v>184</v>
      </c>
      <c r="H1331" s="2" t="s">
        <v>21</v>
      </c>
      <c r="I1331" s="2" t="s">
        <v>3398</v>
      </c>
      <c r="J1331" s="3" t="str">
        <f>HYPERLINK("https://www.boe.es/gazeta/dias/1816/04/16/pdfs/GMD-1816-49.pdf#page=3","Abrir facsímil")</f>
        <v>Abrir facsímil</v>
      </c>
      <c r="K1331" s="3" t="s">
        <v>23</v>
      </c>
    </row>
    <row r="1332" spans="1:11" ht="42" customHeight="1">
      <c r="A1332" s="2" t="s">
        <v>3399</v>
      </c>
      <c r="B1332" s="2" t="s">
        <v>3400</v>
      </c>
      <c r="C1332" s="2" t="s">
        <v>67</v>
      </c>
      <c r="D1332" s="2" t="s">
        <v>18</v>
      </c>
      <c r="E1332" s="5">
        <v>-30464</v>
      </c>
      <c r="F1332" s="3" t="s">
        <v>215</v>
      </c>
      <c r="G1332" s="3" t="s">
        <v>52</v>
      </c>
      <c r="H1332" s="2" t="s">
        <v>29</v>
      </c>
      <c r="I1332" s="2" t="s">
        <v>3401</v>
      </c>
      <c r="J1332" s="3" t="str">
        <f>HYPERLINK("https://www.boe.es/gazeta/dias/1816/08/03/pdfs/GMD-1816-96.pdf#page=12","Abrir facsímil")</f>
        <v>Abrir facsímil</v>
      </c>
      <c r="K1332" s="3" t="s">
        <v>31</v>
      </c>
    </row>
    <row r="1333" spans="1:11" ht="42" customHeight="1">
      <c r="A1333" s="2" t="s">
        <v>3402</v>
      </c>
      <c r="B1333" s="2" t="s">
        <v>3403</v>
      </c>
      <c r="C1333" s="2" t="s">
        <v>111</v>
      </c>
      <c r="D1333" s="2" t="s">
        <v>112</v>
      </c>
      <c r="E1333" s="5">
        <v>-30408</v>
      </c>
      <c r="F1333" s="3" t="s">
        <v>295</v>
      </c>
      <c r="G1333" s="3" t="s">
        <v>42</v>
      </c>
      <c r="H1333" s="2" t="s">
        <v>29</v>
      </c>
      <c r="I1333" s="2" t="s">
        <v>3404</v>
      </c>
      <c r="J1333" s="3" t="str">
        <f>HYPERLINK("https://www.boe.es/gazeta/dias/1816/09/28/pdfs/GMD-1816-120.pdf#page=8","Abrir facsímil")</f>
        <v>Abrir facsímil</v>
      </c>
      <c r="K1333" s="3" t="s">
        <v>31</v>
      </c>
    </row>
    <row r="1334" spans="1:11" ht="42" customHeight="1">
      <c r="A1334" s="2" t="s">
        <v>3405</v>
      </c>
      <c r="B1334" s="2" t="s">
        <v>3406</v>
      </c>
      <c r="C1334" s="2" t="s">
        <v>111</v>
      </c>
      <c r="D1334" s="2" t="s">
        <v>112</v>
      </c>
      <c r="E1334" s="5">
        <v>-30468</v>
      </c>
      <c r="F1334" s="3" t="s">
        <v>383</v>
      </c>
      <c r="G1334" s="3" t="s">
        <v>42</v>
      </c>
      <c r="H1334" s="2" t="s">
        <v>21</v>
      </c>
      <c r="I1334" s="2" t="s">
        <v>3407</v>
      </c>
      <c r="J1334" s="3" t="str">
        <f>HYPERLINK("https://www.boe.es/gazeta/dias/1816/07/30/pdfs/GMD-1816-94.pdf#page=8","Abrir facsímil")</f>
        <v>Abrir facsímil</v>
      </c>
      <c r="K1334" s="3" t="s">
        <v>23</v>
      </c>
    </row>
    <row r="1335" spans="1:11" ht="42" customHeight="1">
      <c r="A1335" s="2" t="s">
        <v>3408</v>
      </c>
      <c r="B1335" s="2" t="s">
        <v>3408</v>
      </c>
      <c r="C1335" s="2" t="s">
        <v>34</v>
      </c>
      <c r="D1335" s="2" t="s">
        <v>56</v>
      </c>
      <c r="E1335" s="5">
        <v>-30393</v>
      </c>
      <c r="F1335" s="3" t="s">
        <v>202</v>
      </c>
      <c r="G1335" s="3" t="s">
        <v>58</v>
      </c>
      <c r="H1335" s="2" t="s">
        <v>21</v>
      </c>
      <c r="I1335" s="2" t="s">
        <v>3409</v>
      </c>
      <c r="J1335" s="3" t="str">
        <f>HYPERLINK("https://www.boe.es/gazeta/dias/1816/10/13/pdfs/GMD-1816-128E.pdf#page=1","Abrir facsímil")</f>
        <v>Abrir facsímil</v>
      </c>
      <c r="K1335" s="3" t="s">
        <v>23</v>
      </c>
    </row>
    <row r="1336" spans="1:11" ht="42" customHeight="1">
      <c r="A1336" s="2" t="s">
        <v>3410</v>
      </c>
      <c r="B1336" s="2" t="s">
        <v>3411</v>
      </c>
      <c r="C1336" s="2" t="s">
        <v>34</v>
      </c>
      <c r="D1336" s="2" t="s">
        <v>35</v>
      </c>
      <c r="E1336" s="5">
        <v>-30331</v>
      </c>
      <c r="F1336" s="3" t="s">
        <v>315</v>
      </c>
      <c r="G1336" s="3" t="s">
        <v>28</v>
      </c>
      <c r="H1336" s="2" t="s">
        <v>21</v>
      </c>
      <c r="I1336" s="2" t="s">
        <v>3412</v>
      </c>
      <c r="J1336" s="3" t="str">
        <f>HYPERLINK("https://www.boe.es/gazeta/dias/1816/12/14/pdfs/GMD-1816-155.pdf#page=6","Abrir facsímil")</f>
        <v>Abrir facsímil</v>
      </c>
      <c r="K1336" s="3" t="s">
        <v>23</v>
      </c>
    </row>
    <row r="1337" spans="1:11" ht="42" customHeight="1">
      <c r="A1337" s="2" t="s">
        <v>3413</v>
      </c>
      <c r="B1337" s="2" t="s">
        <v>3414</v>
      </c>
      <c r="C1337" s="2" t="s">
        <v>67</v>
      </c>
      <c r="D1337" s="2" t="s">
        <v>18</v>
      </c>
      <c r="E1337" s="5">
        <v>-30436</v>
      </c>
      <c r="F1337" s="3" t="s">
        <v>102</v>
      </c>
      <c r="G1337" s="3" t="s">
        <v>175</v>
      </c>
      <c r="H1337" s="2" t="s">
        <v>21</v>
      </c>
      <c r="I1337" s="2" t="s">
        <v>3415</v>
      </c>
      <c r="J1337" s="3" t="str">
        <f>HYPERLINK("https://www.boe.es/gazeta/dias/1816/08/31/pdfs/GMD-1816-108.pdf#page=11","Abrir facsímil")</f>
        <v>Abrir facsímil</v>
      </c>
      <c r="K1337" s="3" t="s">
        <v>23</v>
      </c>
    </row>
    <row r="1338" spans="1:11" ht="42" customHeight="1">
      <c r="A1338" s="2" t="s">
        <v>3416</v>
      </c>
      <c r="B1338" s="2" t="s">
        <v>3417</v>
      </c>
      <c r="C1338" s="2" t="s">
        <v>67</v>
      </c>
      <c r="D1338" s="2" t="s">
        <v>18</v>
      </c>
      <c r="E1338" s="5">
        <v>-30494</v>
      </c>
      <c r="F1338" s="3" t="s">
        <v>174</v>
      </c>
      <c r="G1338" s="3" t="s">
        <v>52</v>
      </c>
      <c r="H1338" s="2" t="s">
        <v>21</v>
      </c>
      <c r="I1338" s="2" t="s">
        <v>3418</v>
      </c>
      <c r="J1338" s="3" t="str">
        <f>HYPERLINK("https://www.boe.es/gazeta/dias/1816/07/04/pdfs/GMD-1816-83.pdf#page=12","Abrir facsímil")</f>
        <v>Abrir facsímil</v>
      </c>
      <c r="K1338" s="3" t="s">
        <v>23</v>
      </c>
    </row>
    <row r="1339" spans="1:11" ht="42" customHeight="1">
      <c r="A1339" s="2" t="s">
        <v>3419</v>
      </c>
      <c r="B1339" s="2" t="s">
        <v>3419</v>
      </c>
      <c r="C1339" s="2" t="s">
        <v>41</v>
      </c>
      <c r="D1339" s="2" t="s">
        <v>18</v>
      </c>
      <c r="E1339" s="5">
        <v>-30398</v>
      </c>
      <c r="F1339" s="3" t="s">
        <v>447</v>
      </c>
      <c r="G1339" s="3" t="s">
        <v>103</v>
      </c>
      <c r="H1339" s="2" t="s">
        <v>21</v>
      </c>
      <c r="I1339" s="2" t="s">
        <v>3420</v>
      </c>
      <c r="J1339" s="3" t="str">
        <f>HYPERLINK("https://www.boe.es/gazeta/dias/1816/10/08/pdfs/GMD-1816-125.pdf#page=4","Abrir facsímil")</f>
        <v>Abrir facsímil</v>
      </c>
      <c r="K1339" s="3" t="s">
        <v>23</v>
      </c>
    </row>
    <row r="1340" spans="1:11" ht="42" customHeight="1">
      <c r="A1340" s="2" t="s">
        <v>3421</v>
      </c>
      <c r="B1340" s="2" t="s">
        <v>3421</v>
      </c>
      <c r="C1340" s="2" t="s">
        <v>34</v>
      </c>
      <c r="D1340" s="2" t="s">
        <v>35</v>
      </c>
      <c r="E1340" s="5">
        <v>-30424</v>
      </c>
      <c r="F1340" s="3" t="s">
        <v>142</v>
      </c>
      <c r="G1340" s="3" t="s">
        <v>184</v>
      </c>
      <c r="H1340" s="2" t="s">
        <v>21</v>
      </c>
      <c r="I1340" s="2" t="s">
        <v>3422</v>
      </c>
      <c r="J1340" s="3" t="str">
        <f>HYPERLINK("https://www.boe.es/gazeta/dias/1816/09/12/pdfs/GMD-1816-113.pdf#page=3","Abrir facsímil")</f>
        <v>Abrir facsímil</v>
      </c>
      <c r="K1340" s="3" t="s">
        <v>23</v>
      </c>
    </row>
    <row r="1341" spans="1:11" ht="42" customHeight="1">
      <c r="A1341" s="2" t="s">
        <v>3423</v>
      </c>
      <c r="B1341" s="2" t="s">
        <v>3424</v>
      </c>
      <c r="C1341" s="2" t="s">
        <v>17</v>
      </c>
      <c r="D1341" s="2" t="s">
        <v>18</v>
      </c>
      <c r="E1341" s="5">
        <v>-30345</v>
      </c>
      <c r="F1341" s="3" t="s">
        <v>1382</v>
      </c>
      <c r="G1341" s="3" t="s">
        <v>72</v>
      </c>
      <c r="H1341" s="2" t="s">
        <v>21</v>
      </c>
      <c r="I1341" s="2" t="s">
        <v>3425</v>
      </c>
      <c r="J1341" s="3" t="str">
        <f>HYPERLINK("https://www.boe.es/gazeta/dias/1816/11/30/pdfs/GMD-1816-149.pdf#page=7","Abrir facsímil")</f>
        <v>Abrir facsímil</v>
      </c>
      <c r="K1341" s="3" t="s">
        <v>23</v>
      </c>
    </row>
    <row r="1342" spans="1:11" ht="42" customHeight="1">
      <c r="A1342" s="2" t="s">
        <v>3423</v>
      </c>
      <c r="B1342" s="2" t="s">
        <v>3424</v>
      </c>
      <c r="C1342" s="2" t="s">
        <v>17</v>
      </c>
      <c r="D1342" s="2" t="s">
        <v>18</v>
      </c>
      <c r="E1342" s="5">
        <v>-30317</v>
      </c>
      <c r="F1342" s="3" t="s">
        <v>1030</v>
      </c>
      <c r="G1342" s="3" t="s">
        <v>1031</v>
      </c>
      <c r="H1342" s="2" t="s">
        <v>21</v>
      </c>
      <c r="I1342" s="2" t="s">
        <v>3426</v>
      </c>
      <c r="J1342" s="3" t="str">
        <f>HYPERLINK("https://www.boe.es/gazeta/dias/1816/12/28/pdfs/GMD-1816-161.pdf#page=6","Abrir facsímil")</f>
        <v>Abrir facsímil</v>
      </c>
      <c r="K1342" s="3" t="s">
        <v>23</v>
      </c>
    </row>
    <row r="1343" spans="1:11" ht="42" customHeight="1">
      <c r="A1343" s="2" t="s">
        <v>3427</v>
      </c>
      <c r="B1343" s="2" t="s">
        <v>3428</v>
      </c>
      <c r="C1343" s="2" t="s">
        <v>111</v>
      </c>
      <c r="D1343" s="2" t="s">
        <v>112</v>
      </c>
      <c r="E1343" s="5">
        <v>-30380</v>
      </c>
      <c r="F1343" s="3" t="s">
        <v>819</v>
      </c>
      <c r="G1343" s="3" t="s">
        <v>47</v>
      </c>
      <c r="H1343" s="2" t="s">
        <v>21</v>
      </c>
      <c r="I1343" s="2" t="s">
        <v>3429</v>
      </c>
      <c r="J1343" s="3" t="str">
        <f>HYPERLINK("https://www.boe.es/gazeta/dias/1816/10/26/pdfs/GMD-1816-134.pdf#page=5","Abrir facsímil")</f>
        <v>Abrir facsímil</v>
      </c>
      <c r="K1343" s="3" t="s">
        <v>23</v>
      </c>
    </row>
    <row r="1344" spans="1:11" ht="42" customHeight="1">
      <c r="A1344" s="2" t="s">
        <v>3430</v>
      </c>
      <c r="B1344" s="2" t="s">
        <v>3430</v>
      </c>
      <c r="C1344" s="2" t="s">
        <v>34</v>
      </c>
      <c r="D1344" s="2" t="s">
        <v>35</v>
      </c>
      <c r="E1344" s="5">
        <v>-30366</v>
      </c>
      <c r="F1344" s="3" t="s">
        <v>179</v>
      </c>
      <c r="G1344" s="3" t="s">
        <v>103</v>
      </c>
      <c r="H1344" s="2" t="s">
        <v>21</v>
      </c>
      <c r="I1344" s="2" t="s">
        <v>3431</v>
      </c>
      <c r="J1344" s="3" t="str">
        <f>HYPERLINK("https://www.boe.es/gazeta/dias/1816/11/09/pdfs/GMD-1816-140.pdf#page=4","Abrir facsímil")</f>
        <v>Abrir facsímil</v>
      </c>
      <c r="K1344" s="3" t="s">
        <v>23</v>
      </c>
    </row>
    <row r="1345" spans="1:11" ht="42" customHeight="1">
      <c r="A1345" s="2" t="s">
        <v>3432</v>
      </c>
      <c r="B1345" s="2" t="s">
        <v>3433</v>
      </c>
      <c r="C1345" s="2" t="s">
        <v>34</v>
      </c>
      <c r="D1345" s="2" t="s">
        <v>35</v>
      </c>
      <c r="E1345" s="5">
        <v>-30331</v>
      </c>
      <c r="F1345" s="3" t="s">
        <v>315</v>
      </c>
      <c r="G1345" s="3" t="s">
        <v>28</v>
      </c>
      <c r="H1345" s="2" t="s">
        <v>21</v>
      </c>
      <c r="I1345" s="2" t="s">
        <v>3434</v>
      </c>
      <c r="J1345" s="3" t="str">
        <f>HYPERLINK("https://www.boe.es/gazeta/dias/1816/12/14/pdfs/GMD-1816-155.pdf#page=6","Abrir facsímil")</f>
        <v>Abrir facsímil</v>
      </c>
      <c r="K1345" s="3" t="s">
        <v>23</v>
      </c>
    </row>
    <row r="1346" spans="1:11" ht="42" customHeight="1">
      <c r="A1346" s="2" t="s">
        <v>3435</v>
      </c>
      <c r="B1346" s="2" t="s">
        <v>3436</v>
      </c>
      <c r="C1346" s="2" t="s">
        <v>41</v>
      </c>
      <c r="D1346" s="2" t="s">
        <v>18</v>
      </c>
      <c r="E1346" s="5">
        <v>-30559</v>
      </c>
      <c r="F1346" s="3" t="s">
        <v>165</v>
      </c>
      <c r="G1346" s="3" t="s">
        <v>166</v>
      </c>
      <c r="H1346" s="2" t="s">
        <v>21</v>
      </c>
      <c r="I1346" s="2" t="s">
        <v>3437</v>
      </c>
      <c r="J1346" s="3" t="str">
        <f>HYPERLINK("https://www.boe.es/gazeta/dias/1816/04/30/pdfs/GMD-1816-55.pdf#page=7","Abrir facsímil")</f>
        <v>Abrir facsímil</v>
      </c>
      <c r="K1346" s="3" t="s">
        <v>23</v>
      </c>
    </row>
    <row r="1347" spans="1:11" ht="42" customHeight="1">
      <c r="A1347" s="2" t="s">
        <v>3438</v>
      </c>
      <c r="B1347" s="2" t="s">
        <v>3439</v>
      </c>
      <c r="C1347" s="2" t="s">
        <v>26</v>
      </c>
      <c r="D1347" s="2" t="s">
        <v>18</v>
      </c>
      <c r="E1347" s="5">
        <v>-30366</v>
      </c>
      <c r="F1347" s="3" t="s">
        <v>179</v>
      </c>
      <c r="G1347" s="3" t="s">
        <v>47</v>
      </c>
      <c r="H1347" s="2" t="s">
        <v>21</v>
      </c>
      <c r="I1347" s="2" t="s">
        <v>3440</v>
      </c>
      <c r="J1347" s="3" t="str">
        <f>HYPERLINK("https://www.boe.es/gazeta/dias/1816/11/09/pdfs/GMD-1816-140.pdf#page=5","Abrir facsímil")</f>
        <v>Abrir facsímil</v>
      </c>
      <c r="K1347" s="3" t="s">
        <v>23</v>
      </c>
    </row>
    <row r="1348" spans="1:11" ht="42" customHeight="1">
      <c r="A1348" s="2" t="s">
        <v>3441</v>
      </c>
      <c r="B1348" s="2" t="s">
        <v>3442</v>
      </c>
      <c r="C1348" s="2" t="s">
        <v>26</v>
      </c>
      <c r="D1348" s="2" t="s">
        <v>18</v>
      </c>
      <c r="E1348" s="5">
        <v>-30391</v>
      </c>
      <c r="F1348" s="3" t="s">
        <v>482</v>
      </c>
      <c r="G1348" s="3" t="s">
        <v>72</v>
      </c>
      <c r="H1348" s="2" t="s">
        <v>21</v>
      </c>
      <c r="I1348" s="2" t="s">
        <v>3443</v>
      </c>
      <c r="J1348" s="3" t="str">
        <f>HYPERLINK("https://www.boe.es/gazeta/dias/1816/10/15/pdfs/GMD-1816-129.pdf#page=7","Abrir facsímil")</f>
        <v>Abrir facsímil</v>
      </c>
      <c r="K1348" s="3" t="s">
        <v>23</v>
      </c>
    </row>
    <row r="1349" spans="1:11" ht="42" customHeight="1">
      <c r="A1349" s="2" t="s">
        <v>3444</v>
      </c>
      <c r="B1349" s="2" t="s">
        <v>3445</v>
      </c>
      <c r="C1349" s="2" t="s">
        <v>81</v>
      </c>
      <c r="D1349" s="2" t="s">
        <v>18</v>
      </c>
      <c r="E1349" s="5">
        <v>-30587</v>
      </c>
      <c r="F1349" s="3" t="s">
        <v>341</v>
      </c>
      <c r="G1349" s="3" t="s">
        <v>42</v>
      </c>
      <c r="H1349" s="2" t="s">
        <v>21</v>
      </c>
      <c r="I1349" s="2" t="s">
        <v>3446</v>
      </c>
      <c r="J1349" s="3" t="str">
        <f>HYPERLINK("https://www.boe.es/gazeta/dias/1816/04/02/pdfs/GMD-1816-43.pdf#page=8","Abrir facsímil")</f>
        <v>Abrir facsímil</v>
      </c>
      <c r="K1349" s="3" t="s">
        <v>23</v>
      </c>
    </row>
    <row r="1350" spans="1:11" ht="42" customHeight="1">
      <c r="A1350" s="2" t="s">
        <v>3447</v>
      </c>
      <c r="B1350" s="2" t="s">
        <v>3448</v>
      </c>
      <c r="C1350" s="2" t="s">
        <v>111</v>
      </c>
      <c r="D1350" s="2" t="s">
        <v>112</v>
      </c>
      <c r="E1350" s="5">
        <v>-30375</v>
      </c>
      <c r="F1350" s="3" t="s">
        <v>404</v>
      </c>
      <c r="G1350" s="3" t="s">
        <v>1276</v>
      </c>
      <c r="H1350" s="2" t="s">
        <v>21</v>
      </c>
      <c r="I1350" s="2" t="s">
        <v>3449</v>
      </c>
      <c r="J1350" s="3" t="str">
        <f>HYPERLINK("https://www.boe.es/gazeta/dias/1816/10/31/pdfs/GMD-1816-136.pdf#page=5","Abrir facsímil")</f>
        <v>Abrir facsímil</v>
      </c>
      <c r="K1350" s="3" t="s">
        <v>23</v>
      </c>
    </row>
    <row r="1351" spans="1:11" ht="42" customHeight="1">
      <c r="A1351" s="2" t="s">
        <v>3450</v>
      </c>
      <c r="B1351" s="2" t="s">
        <v>3451</v>
      </c>
      <c r="C1351" s="2" t="s">
        <v>81</v>
      </c>
      <c r="D1351" s="2" t="s">
        <v>18</v>
      </c>
      <c r="E1351" s="5">
        <v>-30587</v>
      </c>
      <c r="F1351" s="3" t="s">
        <v>341</v>
      </c>
      <c r="G1351" s="3" t="s">
        <v>42</v>
      </c>
      <c r="H1351" s="2" t="s">
        <v>21</v>
      </c>
      <c r="I1351" s="2" t="s">
        <v>3452</v>
      </c>
      <c r="J1351" s="3" t="str">
        <f>HYPERLINK("https://www.boe.es/gazeta/dias/1816/04/02/pdfs/GMD-1816-43.pdf#page=8","Abrir facsímil")</f>
        <v>Abrir facsímil</v>
      </c>
      <c r="K1351" s="3" t="s">
        <v>23</v>
      </c>
    </row>
    <row r="1352" spans="1:11" ht="42" customHeight="1">
      <c r="A1352" s="2" t="s">
        <v>3453</v>
      </c>
      <c r="B1352" s="2" t="s">
        <v>3454</v>
      </c>
      <c r="C1352" s="2" t="s">
        <v>41</v>
      </c>
      <c r="D1352" s="2" t="s">
        <v>18</v>
      </c>
      <c r="E1352" s="5">
        <v>-30387</v>
      </c>
      <c r="F1352" s="3" t="s">
        <v>224</v>
      </c>
      <c r="G1352" s="3" t="s">
        <v>28</v>
      </c>
      <c r="H1352" s="2" t="s">
        <v>21</v>
      </c>
      <c r="I1352" s="2" t="s">
        <v>3455</v>
      </c>
      <c r="J1352" s="3" t="str">
        <f>HYPERLINK("https://www.boe.es/gazeta/dias/1816/10/19/pdfs/GMD-1816-131.pdf#page=6","Abrir facsímil")</f>
        <v>Abrir facsímil</v>
      </c>
      <c r="K1352" s="3" t="s">
        <v>23</v>
      </c>
    </row>
    <row r="1353" spans="1:11" ht="42" customHeight="1">
      <c r="A1353" s="2" t="s">
        <v>3456</v>
      </c>
      <c r="B1353" s="2" t="s">
        <v>3457</v>
      </c>
      <c r="C1353" s="2" t="s">
        <v>41</v>
      </c>
      <c r="D1353" s="2" t="s">
        <v>18</v>
      </c>
      <c r="E1353" s="5">
        <v>-30391</v>
      </c>
      <c r="F1353" s="3" t="s">
        <v>482</v>
      </c>
      <c r="G1353" s="3" t="s">
        <v>28</v>
      </c>
      <c r="H1353" s="2" t="s">
        <v>21</v>
      </c>
      <c r="I1353" s="2" t="s">
        <v>3458</v>
      </c>
      <c r="J1353" s="3" t="str">
        <f>HYPERLINK("https://www.boe.es/gazeta/dias/1816/10/15/pdfs/GMD-1816-129.pdf#page=6","Abrir facsímil")</f>
        <v>Abrir facsímil</v>
      </c>
      <c r="K1353" s="3" t="s">
        <v>23</v>
      </c>
    </row>
    <row r="1354" spans="1:11" ht="42" customHeight="1">
      <c r="A1354" s="2" t="s">
        <v>3459</v>
      </c>
      <c r="B1354" s="2" t="s">
        <v>3459</v>
      </c>
      <c r="C1354" s="2" t="s">
        <v>111</v>
      </c>
      <c r="D1354" s="2" t="s">
        <v>112</v>
      </c>
      <c r="E1354" s="5">
        <v>-30384</v>
      </c>
      <c r="F1354" s="3" t="s">
        <v>460</v>
      </c>
      <c r="G1354" s="3" t="s">
        <v>103</v>
      </c>
      <c r="H1354" s="2" t="s">
        <v>21</v>
      </c>
      <c r="I1354" s="2" t="s">
        <v>3460</v>
      </c>
      <c r="J1354" s="3" t="str">
        <f>HYPERLINK("https://www.boe.es/gazeta/dias/1816/10/22/pdfs/GMD-1816-132.pdf#page=4","Abrir facsímil")</f>
        <v>Abrir facsímil</v>
      </c>
      <c r="K1354" s="3" t="s">
        <v>23</v>
      </c>
    </row>
    <row r="1355" spans="1:11" ht="42" customHeight="1">
      <c r="A1355" s="2" t="s">
        <v>3461</v>
      </c>
      <c r="B1355" s="2" t="s">
        <v>3462</v>
      </c>
      <c r="C1355" s="2" t="s">
        <v>67</v>
      </c>
      <c r="D1355" s="2" t="s">
        <v>18</v>
      </c>
      <c r="E1355" s="5">
        <v>-30352</v>
      </c>
      <c r="F1355" s="3" t="s">
        <v>407</v>
      </c>
      <c r="G1355" s="3" t="s">
        <v>1553</v>
      </c>
      <c r="H1355" s="2" t="s">
        <v>21</v>
      </c>
      <c r="I1355" s="2" t="s">
        <v>3463</v>
      </c>
      <c r="J1355" s="3" t="str">
        <f>HYPERLINK("https://www.boe.es/gazeta/dias/1816/11/23/pdfs/GMD-1816-146.pdf#page=4","Abrir facsímil")</f>
        <v>Abrir facsímil</v>
      </c>
      <c r="K1355" s="3" t="s">
        <v>23</v>
      </c>
    </row>
    <row r="1356" spans="1:11" ht="42" customHeight="1">
      <c r="A1356" s="2" t="s">
        <v>3464</v>
      </c>
      <c r="B1356" s="2" t="s">
        <v>3464</v>
      </c>
      <c r="C1356" s="2" t="s">
        <v>34</v>
      </c>
      <c r="D1356" s="2" t="s">
        <v>56</v>
      </c>
      <c r="E1356" s="5">
        <v>-30622</v>
      </c>
      <c r="F1356" s="3" t="s">
        <v>907</v>
      </c>
      <c r="G1356" s="3" t="s">
        <v>184</v>
      </c>
      <c r="H1356" s="2" t="s">
        <v>21</v>
      </c>
      <c r="I1356" s="2" t="s">
        <v>3465</v>
      </c>
      <c r="J1356" s="3" t="str">
        <f>HYPERLINK("https://www.boe.es/gazeta/dias/1816/02/27/pdfs/GMD-1816-27E.pdf#page=3","Abrir facsímil")</f>
        <v>Abrir facsímil</v>
      </c>
      <c r="K1356" s="3" t="s">
        <v>23</v>
      </c>
    </row>
    <row r="1357" spans="1:11" ht="42" customHeight="1">
      <c r="A1357" s="2" t="s">
        <v>3466</v>
      </c>
      <c r="B1357" s="2" t="s">
        <v>3466</v>
      </c>
      <c r="C1357" s="2" t="s">
        <v>111</v>
      </c>
      <c r="D1357" s="2" t="s">
        <v>112</v>
      </c>
      <c r="E1357" s="5">
        <v>-30550</v>
      </c>
      <c r="F1357" s="3" t="s">
        <v>435</v>
      </c>
      <c r="G1357" s="3" t="s">
        <v>42</v>
      </c>
      <c r="H1357" s="2" t="s">
        <v>21</v>
      </c>
      <c r="I1357" s="2" t="s">
        <v>3467</v>
      </c>
      <c r="J1357" s="3" t="str">
        <f>HYPERLINK("https://www.boe.es/gazeta/dias/1816/05/09/pdfs/GMD-1816-59.pdf#page=8","Abrir facsímil")</f>
        <v>Abrir facsímil</v>
      </c>
      <c r="K1357" s="3" t="s">
        <v>23</v>
      </c>
    </row>
    <row r="1358" spans="1:11" ht="42" customHeight="1">
      <c r="A1358" s="2" t="s">
        <v>3468</v>
      </c>
      <c r="B1358" s="2" t="s">
        <v>3469</v>
      </c>
      <c r="C1358" s="2" t="s">
        <v>34</v>
      </c>
      <c r="D1358" s="2" t="s">
        <v>35</v>
      </c>
      <c r="E1358" s="5">
        <v>-30492</v>
      </c>
      <c r="F1358" s="3" t="s">
        <v>248</v>
      </c>
      <c r="G1358" s="3" t="s">
        <v>175</v>
      </c>
      <c r="H1358" s="2" t="s">
        <v>21</v>
      </c>
      <c r="I1358" s="2" t="s">
        <v>3470</v>
      </c>
      <c r="J1358" s="3" t="str">
        <f>HYPERLINK("https://www.boe.es/gazeta/dias/1816/07/06/pdfs/GMD-1816-84.pdf#page=11","Abrir facsímil")</f>
        <v>Abrir facsímil</v>
      </c>
      <c r="K1358" s="3" t="s">
        <v>23</v>
      </c>
    </row>
    <row r="1359" spans="1:11" ht="42" customHeight="1">
      <c r="A1359" s="2" t="s">
        <v>3471</v>
      </c>
      <c r="B1359" s="2" t="s">
        <v>3472</v>
      </c>
      <c r="C1359" s="2" t="s">
        <v>26</v>
      </c>
      <c r="D1359" s="2" t="s">
        <v>18</v>
      </c>
      <c r="E1359" s="5">
        <v>-30592</v>
      </c>
      <c r="F1359" s="3" t="s">
        <v>236</v>
      </c>
      <c r="G1359" s="3" t="s">
        <v>42</v>
      </c>
      <c r="H1359" s="2" t="s">
        <v>21</v>
      </c>
      <c r="I1359" s="2" t="s">
        <v>3473</v>
      </c>
      <c r="J1359" s="3" t="str">
        <f>HYPERLINK("https://www.boe.es/gazeta/dias/1816/03/28/pdfs/GMD-1816-41.pdf#page=8","Abrir facsímil")</f>
        <v>Abrir facsímil</v>
      </c>
      <c r="K1359" s="3" t="s">
        <v>23</v>
      </c>
    </row>
    <row r="1360" spans="1:11" ht="42" customHeight="1">
      <c r="A1360" s="2" t="s">
        <v>3474</v>
      </c>
      <c r="B1360" s="2" t="s">
        <v>3475</v>
      </c>
      <c r="C1360" s="2" t="s">
        <v>26</v>
      </c>
      <c r="D1360" s="2" t="s">
        <v>18</v>
      </c>
      <c r="E1360" s="5">
        <v>-30580</v>
      </c>
      <c r="F1360" s="3" t="s">
        <v>107</v>
      </c>
      <c r="G1360" s="3" t="s">
        <v>72</v>
      </c>
      <c r="H1360" s="2" t="s">
        <v>21</v>
      </c>
      <c r="I1360" s="2" t="s">
        <v>3476</v>
      </c>
      <c r="J1360" s="3" t="str">
        <f>HYPERLINK("https://www.boe.es/gazeta/dias/1816/04/09/pdfs/GMD-1816-46.pdf#page=7","Abrir facsímil")</f>
        <v>Abrir facsímil</v>
      </c>
      <c r="K1360" s="3" t="s">
        <v>23</v>
      </c>
    </row>
    <row r="1361" spans="1:11" ht="42" customHeight="1">
      <c r="A1361" s="2" t="s">
        <v>3477</v>
      </c>
      <c r="B1361" s="2" t="s">
        <v>3477</v>
      </c>
      <c r="C1361" s="2" t="s">
        <v>34</v>
      </c>
      <c r="D1361" s="2" t="s">
        <v>35</v>
      </c>
      <c r="E1361" s="5">
        <v>-30415</v>
      </c>
      <c r="F1361" s="3" t="s">
        <v>585</v>
      </c>
      <c r="G1361" s="3" t="s">
        <v>58</v>
      </c>
      <c r="H1361" s="2" t="s">
        <v>21</v>
      </c>
      <c r="I1361" s="2" t="s">
        <v>3478</v>
      </c>
      <c r="J1361" s="3" t="str">
        <f>HYPERLINK("https://www.boe.es/gazeta/dias/1816/09/21/pdfs/GMD-1816-117.pdf#page=1","Abrir facsímil")</f>
        <v>Abrir facsímil</v>
      </c>
      <c r="K1361" s="3" t="s">
        <v>23</v>
      </c>
    </row>
    <row r="1362" spans="1:11" ht="42" customHeight="1">
      <c r="A1362" s="2" t="s">
        <v>3479</v>
      </c>
      <c r="B1362" s="2" t="s">
        <v>3480</v>
      </c>
      <c r="C1362" s="2" t="s">
        <v>26</v>
      </c>
      <c r="D1362" s="2" t="s">
        <v>18</v>
      </c>
      <c r="E1362" s="5">
        <v>-30445</v>
      </c>
      <c r="F1362" s="3" t="s">
        <v>51</v>
      </c>
      <c r="G1362" s="3" t="s">
        <v>47</v>
      </c>
      <c r="H1362" s="2" t="s">
        <v>21</v>
      </c>
      <c r="I1362" s="2" t="s">
        <v>3481</v>
      </c>
      <c r="J1362" s="3" t="str">
        <f>HYPERLINK("https://www.boe.es/gazeta/dias/1816/08/22/pdfs/GMD-1816-104.pdf#page=5","Abrir facsímil")</f>
        <v>Abrir facsímil</v>
      </c>
      <c r="K1362" s="3" t="s">
        <v>23</v>
      </c>
    </row>
    <row r="1363" spans="1:11" ht="42" customHeight="1">
      <c r="A1363" s="2" t="s">
        <v>3482</v>
      </c>
      <c r="B1363" s="2" t="s">
        <v>3483</v>
      </c>
      <c r="C1363" s="2" t="s">
        <v>26</v>
      </c>
      <c r="D1363" s="2" t="s">
        <v>18</v>
      </c>
      <c r="E1363" s="5">
        <v>-30622</v>
      </c>
      <c r="F1363" s="3" t="s">
        <v>27</v>
      </c>
      <c r="G1363" s="3" t="s">
        <v>72</v>
      </c>
      <c r="H1363" s="2" t="s">
        <v>29</v>
      </c>
      <c r="I1363" s="2" t="s">
        <v>3484</v>
      </c>
      <c r="J1363" s="3" t="str">
        <f>HYPERLINK("https://www.boe.es/gazeta/dias/1816/02/27/pdfs/GMD-1816-26.pdf#page=7","Abrir facsímil")</f>
        <v>Abrir facsímil</v>
      </c>
      <c r="K1363" s="3" t="s">
        <v>31</v>
      </c>
    </row>
    <row r="1364" spans="1:11" ht="42" customHeight="1">
      <c r="A1364" s="2" t="s">
        <v>3485</v>
      </c>
      <c r="B1364" s="2" t="s">
        <v>3486</v>
      </c>
      <c r="C1364" s="2" t="s">
        <v>26</v>
      </c>
      <c r="D1364" s="2" t="s">
        <v>18</v>
      </c>
      <c r="E1364" s="5">
        <v>-30433</v>
      </c>
      <c r="F1364" s="3" t="s">
        <v>954</v>
      </c>
      <c r="G1364" s="3" t="s">
        <v>955</v>
      </c>
      <c r="H1364" s="2" t="s">
        <v>29</v>
      </c>
      <c r="I1364" s="2" t="s">
        <v>3487</v>
      </c>
      <c r="J1364" s="3" t="str">
        <f>HYPERLINK("https://www.boe.es/gazeta/dias/1816/09/03/pdfs/GMD-1816-109.pdf#page=7","Abrir facsímil")</f>
        <v>Abrir facsímil</v>
      </c>
      <c r="K1364" s="3" t="s">
        <v>31</v>
      </c>
    </row>
    <row r="1365" spans="1:11" ht="42" customHeight="1">
      <c r="A1365" s="2" t="s">
        <v>3488</v>
      </c>
      <c r="B1365" s="2" t="s">
        <v>3489</v>
      </c>
      <c r="C1365" s="2" t="s">
        <v>26</v>
      </c>
      <c r="D1365" s="2" t="s">
        <v>18</v>
      </c>
      <c r="E1365" s="5">
        <v>-30585</v>
      </c>
      <c r="F1365" s="3" t="s">
        <v>633</v>
      </c>
      <c r="G1365" s="3" t="s">
        <v>47</v>
      </c>
      <c r="H1365" s="2" t="s">
        <v>21</v>
      </c>
      <c r="I1365" s="2" t="s">
        <v>3490</v>
      </c>
      <c r="J1365" s="3" t="str">
        <f>HYPERLINK("https://www.boe.es/gazeta/dias/1816/04/04/pdfs/GMD-1816-44.pdf#page=5","Abrir facsímil")</f>
        <v>Abrir facsímil</v>
      </c>
      <c r="K1365" s="3" t="s">
        <v>23</v>
      </c>
    </row>
    <row r="1366" spans="1:11" ht="42" customHeight="1">
      <c r="A1366" s="2" t="s">
        <v>3491</v>
      </c>
      <c r="B1366" s="2" t="s">
        <v>3492</v>
      </c>
      <c r="C1366" s="2" t="s">
        <v>111</v>
      </c>
      <c r="D1366" s="2" t="s">
        <v>112</v>
      </c>
      <c r="E1366" s="5">
        <v>-30333</v>
      </c>
      <c r="F1366" s="3" t="s">
        <v>1005</v>
      </c>
      <c r="G1366" s="3" t="s">
        <v>1006</v>
      </c>
      <c r="H1366" s="2" t="s">
        <v>21</v>
      </c>
      <c r="I1366" s="2" t="s">
        <v>3493</v>
      </c>
      <c r="J1366" s="3" t="str">
        <f>HYPERLINK("https://www.boe.es/gazeta/dias/1816/12/12/pdfs/GMD-1816-154.pdf#page=5","Abrir facsímil")</f>
        <v>Abrir facsímil</v>
      </c>
      <c r="K1366" s="3" t="s">
        <v>23</v>
      </c>
    </row>
    <row r="1367" spans="1:11" ht="42" customHeight="1">
      <c r="A1367" s="2" t="s">
        <v>3494</v>
      </c>
      <c r="B1367" s="2" t="s">
        <v>3495</v>
      </c>
      <c r="C1367" s="2" t="s">
        <v>111</v>
      </c>
      <c r="D1367" s="2" t="s">
        <v>112</v>
      </c>
      <c r="E1367" s="5">
        <v>-30541</v>
      </c>
      <c r="F1367" s="3" t="s">
        <v>96</v>
      </c>
      <c r="G1367" s="3" t="s">
        <v>42</v>
      </c>
      <c r="H1367" s="2" t="s">
        <v>21</v>
      </c>
      <c r="I1367" s="2" t="s">
        <v>3496</v>
      </c>
      <c r="J1367" s="3" t="str">
        <f>HYPERLINK("https://www.boe.es/gazeta/dias/1816/05/18/pdfs/GMD-1816-63.pdf#page=8","Abrir facsímil")</f>
        <v>Abrir facsímil</v>
      </c>
      <c r="K1367" s="3" t="s">
        <v>23</v>
      </c>
    </row>
    <row r="1368" spans="1:11" ht="42" customHeight="1">
      <c r="A1368" s="2" t="s">
        <v>3497</v>
      </c>
      <c r="B1368" s="2" t="s">
        <v>3498</v>
      </c>
      <c r="C1368" s="2" t="s">
        <v>111</v>
      </c>
      <c r="D1368" s="2" t="s">
        <v>112</v>
      </c>
      <c r="E1368" s="5">
        <v>-30669</v>
      </c>
      <c r="F1368" s="3" t="s">
        <v>3499</v>
      </c>
      <c r="G1368" s="3" t="s">
        <v>72</v>
      </c>
      <c r="H1368" s="2" t="s">
        <v>21</v>
      </c>
      <c r="I1368" s="2" t="s">
        <v>3500</v>
      </c>
      <c r="J1368" s="3" t="str">
        <f>HYPERLINK("https://www.boe.es/gazeta/dias/1816/01/11/pdfs/GMD-1816-5.pdf#page=7","Abrir facsímil")</f>
        <v>Abrir facsímil</v>
      </c>
      <c r="K1368" s="3" t="s">
        <v>23</v>
      </c>
    </row>
    <row r="1369" spans="1:11" ht="42" customHeight="1">
      <c r="A1369" s="2" t="s">
        <v>3501</v>
      </c>
      <c r="B1369" s="2" t="s">
        <v>3501</v>
      </c>
      <c r="C1369" s="2" t="s">
        <v>34</v>
      </c>
      <c r="D1369" s="2" t="s">
        <v>35</v>
      </c>
      <c r="E1369" s="5">
        <v>-30629</v>
      </c>
      <c r="F1369" s="3" t="s">
        <v>904</v>
      </c>
      <c r="G1369" s="3" t="s">
        <v>42</v>
      </c>
      <c r="H1369" s="2" t="s">
        <v>21</v>
      </c>
      <c r="I1369" s="2" t="s">
        <v>3502</v>
      </c>
      <c r="J1369" s="3" t="str">
        <f>HYPERLINK("https://www.boe.es/gazeta/dias/1816/02/20/pdfs/GMD-1816-23.pdf#page=8","Abrir facsímil")</f>
        <v>Abrir facsímil</v>
      </c>
      <c r="K1369" s="3" t="s">
        <v>23</v>
      </c>
    </row>
    <row r="1370" spans="1:11" ht="42" customHeight="1">
      <c r="A1370" s="2" t="s">
        <v>3503</v>
      </c>
      <c r="B1370" s="2" t="s">
        <v>3503</v>
      </c>
      <c r="C1370" s="2" t="s">
        <v>111</v>
      </c>
      <c r="D1370" s="2" t="s">
        <v>112</v>
      </c>
      <c r="E1370" s="5">
        <v>-30331</v>
      </c>
      <c r="F1370" s="3" t="s">
        <v>315</v>
      </c>
      <c r="G1370" s="3" t="s">
        <v>270</v>
      </c>
      <c r="H1370" s="2" t="s">
        <v>21</v>
      </c>
      <c r="I1370" s="2" t="s">
        <v>3504</v>
      </c>
      <c r="J1370" s="3" t="str">
        <f>HYPERLINK("https://www.boe.es/gazeta/dias/1816/12/14/pdfs/GMD-1816-155.pdf#page=2","Abrir facsímil")</f>
        <v>Abrir facsímil</v>
      </c>
      <c r="K1370" s="3" t="s">
        <v>23</v>
      </c>
    </row>
    <row r="1371" spans="1:11" ht="42" customHeight="1">
      <c r="A1371" s="2" t="s">
        <v>3505</v>
      </c>
      <c r="B1371" s="2" t="s">
        <v>3505</v>
      </c>
      <c r="C1371" s="2" t="s">
        <v>34</v>
      </c>
      <c r="D1371" s="2" t="s">
        <v>35</v>
      </c>
      <c r="E1371" s="5">
        <v>-30641</v>
      </c>
      <c r="F1371" s="3" t="s">
        <v>192</v>
      </c>
      <c r="G1371" s="3" t="s">
        <v>72</v>
      </c>
      <c r="H1371" s="2" t="s">
        <v>21</v>
      </c>
      <c r="I1371" s="2" t="s">
        <v>3506</v>
      </c>
      <c r="J1371" s="3" t="str">
        <f>HYPERLINK("https://www.boe.es/gazeta/dias/1816/02/08/pdfs/GMD-1816-18.pdf#page=7","Abrir facsímil")</f>
        <v>Abrir facsímil</v>
      </c>
      <c r="K1371" s="3" t="s">
        <v>23</v>
      </c>
    </row>
    <row r="1372" spans="1:11" ht="42" customHeight="1">
      <c r="A1372" s="2" t="s">
        <v>3507</v>
      </c>
      <c r="B1372" s="2" t="s">
        <v>3508</v>
      </c>
      <c r="C1372" s="2" t="s">
        <v>111</v>
      </c>
      <c r="D1372" s="2" t="s">
        <v>112</v>
      </c>
      <c r="E1372" s="5">
        <v>-30632</v>
      </c>
      <c r="F1372" s="3" t="s">
        <v>89</v>
      </c>
      <c r="G1372" s="3" t="s">
        <v>42</v>
      </c>
      <c r="H1372" s="2" t="s">
        <v>21</v>
      </c>
      <c r="I1372" s="2" t="s">
        <v>3509</v>
      </c>
      <c r="J1372" s="3" t="str">
        <f>HYPERLINK("https://www.boe.es/gazeta/dias/1816/02/17/pdfs/GMD-1816-22.pdf#page=8","Abrir facsímil")</f>
        <v>Abrir facsímil</v>
      </c>
      <c r="K1372" s="3" t="s">
        <v>23</v>
      </c>
    </row>
    <row r="1373" spans="1:11" ht="42" customHeight="1">
      <c r="A1373" s="2" t="s">
        <v>3510</v>
      </c>
      <c r="B1373" s="2" t="s">
        <v>3511</v>
      </c>
      <c r="C1373" s="2" t="s">
        <v>67</v>
      </c>
      <c r="D1373" s="2" t="s">
        <v>18</v>
      </c>
      <c r="E1373" s="5">
        <v>-30335</v>
      </c>
      <c r="F1373" s="3" t="s">
        <v>468</v>
      </c>
      <c r="G1373" s="3" t="s">
        <v>47</v>
      </c>
      <c r="H1373" s="2" t="s">
        <v>21</v>
      </c>
      <c r="I1373" s="2" t="s">
        <v>3512</v>
      </c>
      <c r="J1373" s="3" t="str">
        <f>HYPERLINK("https://www.boe.es/gazeta/dias/1816/12/10/pdfs/GMD-1816-153.pdf#page=5","Abrir facsímil")</f>
        <v>Abrir facsímil</v>
      </c>
      <c r="K1373" s="3" t="s">
        <v>23</v>
      </c>
    </row>
    <row r="1374" spans="1:11" ht="42" customHeight="1">
      <c r="A1374" s="2" t="s">
        <v>3513</v>
      </c>
      <c r="B1374" s="2" t="s">
        <v>3513</v>
      </c>
      <c r="C1374" s="2" t="s">
        <v>111</v>
      </c>
      <c r="D1374" s="2" t="s">
        <v>112</v>
      </c>
      <c r="E1374" s="5">
        <v>-30573</v>
      </c>
      <c r="F1374" s="3" t="s">
        <v>840</v>
      </c>
      <c r="G1374" s="3" t="s">
        <v>184</v>
      </c>
      <c r="H1374" s="2" t="s">
        <v>21</v>
      </c>
      <c r="I1374" s="2" t="s">
        <v>3514</v>
      </c>
      <c r="J1374" s="3" t="str">
        <f>HYPERLINK("https://www.boe.es/gazeta/dias/1816/04/16/pdfs/GMD-1816-49.pdf#page=3","Abrir facsímil")</f>
        <v>Abrir facsímil</v>
      </c>
      <c r="K1374" s="3" t="s">
        <v>23</v>
      </c>
    </row>
    <row r="1375" spans="1:11" ht="42" customHeight="1">
      <c r="A1375" s="2" t="s">
        <v>3515</v>
      </c>
      <c r="B1375" s="2" t="s">
        <v>3516</v>
      </c>
      <c r="C1375" s="2" t="s">
        <v>26</v>
      </c>
      <c r="D1375" s="2" t="s">
        <v>18</v>
      </c>
      <c r="E1375" s="5">
        <v>-30608</v>
      </c>
      <c r="F1375" s="3" t="s">
        <v>550</v>
      </c>
      <c r="G1375" s="3" t="s">
        <v>28</v>
      </c>
      <c r="H1375" s="2" t="s">
        <v>21</v>
      </c>
      <c r="I1375" s="2" t="s">
        <v>3517</v>
      </c>
      <c r="J1375" s="3" t="str">
        <f>HYPERLINK("https://www.boe.es/gazeta/dias/1816/03/12/pdfs/GMD-1816-33.pdf#page=6","Abrir facsímil")</f>
        <v>Abrir facsímil</v>
      </c>
      <c r="K1375" s="3" t="s">
        <v>23</v>
      </c>
    </row>
    <row r="1376" spans="1:11" ht="42" customHeight="1">
      <c r="A1376" s="2" t="s">
        <v>3518</v>
      </c>
      <c r="B1376" s="2" t="s">
        <v>3519</v>
      </c>
      <c r="C1376" s="2" t="s">
        <v>111</v>
      </c>
      <c r="D1376" s="2" t="s">
        <v>112</v>
      </c>
      <c r="E1376" s="5">
        <v>-30620</v>
      </c>
      <c r="F1376" s="3" t="s">
        <v>622</v>
      </c>
      <c r="G1376" s="3" t="s">
        <v>28</v>
      </c>
      <c r="H1376" s="2" t="s">
        <v>21</v>
      </c>
      <c r="I1376" s="2" t="s">
        <v>3520</v>
      </c>
      <c r="J1376" s="3" t="str">
        <f>HYPERLINK("https://www.boe.es/gazeta/dias/1816/02/29/pdfs/GMD-1816-28.pdf#page=6","Abrir facsímil")</f>
        <v>Abrir facsímil</v>
      </c>
      <c r="K1376" s="3" t="s">
        <v>23</v>
      </c>
    </row>
    <row r="1377" spans="1:11" ht="42" customHeight="1">
      <c r="A1377" s="2" t="s">
        <v>3521</v>
      </c>
      <c r="B1377" s="2" t="s">
        <v>3521</v>
      </c>
      <c r="C1377" s="2" t="s">
        <v>34</v>
      </c>
      <c r="D1377" s="2" t="s">
        <v>35</v>
      </c>
      <c r="E1377" s="5">
        <v>-30461</v>
      </c>
      <c r="F1377" s="3" t="s">
        <v>912</v>
      </c>
      <c r="G1377" s="3" t="s">
        <v>184</v>
      </c>
      <c r="H1377" s="2" t="s">
        <v>21</v>
      </c>
      <c r="I1377" s="2" t="s">
        <v>3522</v>
      </c>
      <c r="J1377" s="3" t="str">
        <f>HYPERLINK("https://www.boe.es/gazeta/dias/1816/08/06/pdfs/GMD-1816-97.pdf#page=3","Abrir facsímil")</f>
        <v>Abrir facsímil</v>
      </c>
      <c r="K1377" s="3" t="s">
        <v>23</v>
      </c>
    </row>
    <row r="1378" spans="1:11" ht="42" customHeight="1">
      <c r="A1378" s="2" t="s">
        <v>3523</v>
      </c>
      <c r="B1378" s="2" t="s">
        <v>3523</v>
      </c>
      <c r="C1378" s="2" t="s">
        <v>34</v>
      </c>
      <c r="D1378" s="2" t="s">
        <v>35</v>
      </c>
      <c r="E1378" s="5">
        <v>-30324</v>
      </c>
      <c r="F1378" s="3" t="s">
        <v>46</v>
      </c>
      <c r="G1378" s="3" t="s">
        <v>58</v>
      </c>
      <c r="H1378" s="2" t="s">
        <v>21</v>
      </c>
      <c r="I1378" s="2" t="s">
        <v>3524</v>
      </c>
      <c r="J1378" s="3" t="str">
        <f>HYPERLINK("https://www.boe.es/gazeta/dias/1816/12/21/pdfs/GMD-1816-158.pdf#page=1","Abrir facsímil")</f>
        <v>Abrir facsímil</v>
      </c>
      <c r="K1378" s="3" t="s">
        <v>23</v>
      </c>
    </row>
    <row r="1379" spans="1:11" ht="42" customHeight="1">
      <c r="A1379" s="2" t="s">
        <v>3525</v>
      </c>
      <c r="B1379" s="2" t="s">
        <v>3525</v>
      </c>
      <c r="C1379" s="2" t="s">
        <v>34</v>
      </c>
      <c r="D1379" s="2" t="s">
        <v>35</v>
      </c>
      <c r="E1379" s="5">
        <v>-30496</v>
      </c>
      <c r="F1379" s="3" t="s">
        <v>290</v>
      </c>
      <c r="G1379" s="3" t="s">
        <v>58</v>
      </c>
      <c r="H1379" s="2" t="s">
        <v>21</v>
      </c>
      <c r="I1379" s="2" t="s">
        <v>3526</v>
      </c>
      <c r="J1379" s="3" t="str">
        <f>HYPERLINK("https://www.boe.es/gazeta/dias/1816/07/02/pdfs/GMD-1816-82.pdf#page=1","Abrir facsímil")</f>
        <v>Abrir facsímil</v>
      </c>
      <c r="K1379" s="3" t="s">
        <v>23</v>
      </c>
    </row>
    <row r="1380" spans="1:11" ht="42" customHeight="1">
      <c r="A1380" s="2" t="s">
        <v>3527</v>
      </c>
      <c r="B1380" s="2" t="s">
        <v>3528</v>
      </c>
      <c r="C1380" s="2" t="s">
        <v>26</v>
      </c>
      <c r="D1380" s="2" t="s">
        <v>18</v>
      </c>
      <c r="E1380" s="5">
        <v>-30401</v>
      </c>
      <c r="F1380" s="3" t="s">
        <v>652</v>
      </c>
      <c r="G1380" s="3" t="s">
        <v>103</v>
      </c>
      <c r="H1380" s="2" t="s">
        <v>29</v>
      </c>
      <c r="I1380" s="2" t="s">
        <v>3529</v>
      </c>
      <c r="J1380" s="3" t="str">
        <f>HYPERLINK("https://www.boe.es/gazeta/dias/1816/10/05/pdfs/GMD-1816-123.pdf#page=4","Abrir facsímil")</f>
        <v>Abrir facsímil</v>
      </c>
      <c r="K1380" s="3" t="s">
        <v>31</v>
      </c>
    </row>
    <row r="1381" spans="1:11" ht="42" customHeight="1">
      <c r="A1381" s="2" t="s">
        <v>3530</v>
      </c>
      <c r="B1381" s="2" t="s">
        <v>3531</v>
      </c>
      <c r="C1381" s="2" t="s">
        <v>111</v>
      </c>
      <c r="D1381" s="2" t="s">
        <v>112</v>
      </c>
      <c r="E1381" s="5">
        <v>-30471</v>
      </c>
      <c r="F1381" s="3" t="s">
        <v>639</v>
      </c>
      <c r="G1381" s="3" t="s">
        <v>47</v>
      </c>
      <c r="H1381" s="2" t="s">
        <v>29</v>
      </c>
      <c r="I1381" s="2" t="s">
        <v>3532</v>
      </c>
      <c r="J1381" s="3" t="str">
        <f>HYPERLINK("https://www.boe.es/gazeta/dias/1816/07/27/pdfs/GMD-1816-93.pdf#page=5","Abrir facsímil")</f>
        <v>Abrir facsímil</v>
      </c>
      <c r="K1381" s="3" t="s">
        <v>31</v>
      </c>
    </row>
    <row r="1382" spans="1:11" ht="42" customHeight="1">
      <c r="A1382" s="2" t="s">
        <v>3533</v>
      </c>
      <c r="B1382" s="2" t="s">
        <v>3534</v>
      </c>
      <c r="C1382" s="2" t="s">
        <v>111</v>
      </c>
      <c r="D1382" s="2" t="s">
        <v>112</v>
      </c>
      <c r="E1382" s="5">
        <v>-30380</v>
      </c>
      <c r="F1382" s="3" t="s">
        <v>819</v>
      </c>
      <c r="G1382" s="3" t="s">
        <v>47</v>
      </c>
      <c r="H1382" s="2" t="s">
        <v>29</v>
      </c>
      <c r="I1382" s="2" t="s">
        <v>3535</v>
      </c>
      <c r="J1382" s="3" t="str">
        <f>HYPERLINK("https://www.boe.es/gazeta/dias/1816/10/26/pdfs/GMD-1816-134.pdf#page=5","Abrir facsímil")</f>
        <v>Abrir facsímil</v>
      </c>
      <c r="K1382" s="3" t="s">
        <v>31</v>
      </c>
    </row>
    <row r="1383" spans="1:11" ht="42" customHeight="1">
      <c r="A1383" s="2" t="s">
        <v>3536</v>
      </c>
      <c r="B1383" s="2" t="s">
        <v>3537</v>
      </c>
      <c r="C1383" s="2" t="s">
        <v>26</v>
      </c>
      <c r="D1383" s="2" t="s">
        <v>18</v>
      </c>
      <c r="E1383" s="5">
        <v>-30377</v>
      </c>
      <c r="F1383" s="3" t="s">
        <v>138</v>
      </c>
      <c r="G1383" s="3" t="s">
        <v>103</v>
      </c>
      <c r="H1383" s="2" t="s">
        <v>29</v>
      </c>
      <c r="I1383" s="2" t="s">
        <v>3538</v>
      </c>
      <c r="J1383" s="3" t="str">
        <f>HYPERLINK("https://www.boe.es/gazeta/dias/1816/10/29/pdfs/GMD-1816-135.pdf#page=4","Abrir facsímil")</f>
        <v>Abrir facsímil</v>
      </c>
      <c r="K1383" s="3" t="s">
        <v>31</v>
      </c>
    </row>
    <row r="1384" spans="1:11" ht="42" customHeight="1">
      <c r="A1384" s="2" t="s">
        <v>3539</v>
      </c>
      <c r="B1384" s="2" t="s">
        <v>3540</v>
      </c>
      <c r="C1384" s="2" t="s">
        <v>111</v>
      </c>
      <c r="D1384" s="2" t="s">
        <v>112</v>
      </c>
      <c r="E1384" s="5">
        <v>-30482</v>
      </c>
      <c r="F1384" s="3" t="s">
        <v>370</v>
      </c>
      <c r="G1384" s="3" t="s">
        <v>103</v>
      </c>
      <c r="H1384" s="2" t="s">
        <v>29</v>
      </c>
      <c r="I1384" s="2" t="s">
        <v>3541</v>
      </c>
      <c r="J1384" s="3" t="str">
        <f>HYPERLINK("https://www.boe.es/gazeta/dias/1816/07/16/pdfs/GMD-1816-88.pdf#page=4","Abrir facsímil")</f>
        <v>Abrir facsímil</v>
      </c>
      <c r="K1384" s="3" t="s">
        <v>31</v>
      </c>
    </row>
    <row r="1385" spans="1:11" ht="42" customHeight="1">
      <c r="A1385" s="2" t="s">
        <v>3542</v>
      </c>
      <c r="B1385" s="2" t="s">
        <v>3543</v>
      </c>
      <c r="C1385" s="2" t="s">
        <v>387</v>
      </c>
      <c r="D1385" s="2" t="s">
        <v>18</v>
      </c>
      <c r="E1385" s="5">
        <v>-30520</v>
      </c>
      <c r="F1385" s="3" t="s">
        <v>731</v>
      </c>
      <c r="G1385" s="3" t="s">
        <v>47</v>
      </c>
      <c r="H1385" s="2" t="s">
        <v>29</v>
      </c>
      <c r="I1385" s="2" t="s">
        <v>3544</v>
      </c>
      <c r="J1385" s="3" t="str">
        <f>HYPERLINK("https://www.boe.es/gazeta/dias/1816/06/08/pdfs/GMD-1816-72.pdf#page=5","Abrir facsímil")</f>
        <v>Abrir facsímil</v>
      </c>
      <c r="K1385" s="3" t="s">
        <v>31</v>
      </c>
    </row>
    <row r="1386" spans="1:11" ht="42" customHeight="1">
      <c r="A1386" s="2" t="s">
        <v>3542</v>
      </c>
      <c r="B1386" s="2" t="s">
        <v>3543</v>
      </c>
      <c r="C1386" s="2" t="s">
        <v>34</v>
      </c>
      <c r="D1386" s="2" t="s">
        <v>35</v>
      </c>
      <c r="E1386" s="5">
        <v>-30482</v>
      </c>
      <c r="F1386" s="3" t="s">
        <v>370</v>
      </c>
      <c r="G1386" s="3" t="s">
        <v>103</v>
      </c>
      <c r="H1386" s="2" t="s">
        <v>29</v>
      </c>
      <c r="I1386" s="2" t="s">
        <v>3545</v>
      </c>
      <c r="J1386" s="3" t="str">
        <f>HYPERLINK("https://www.boe.es/gazeta/dias/1816/07/16/pdfs/GMD-1816-88.pdf#page=4","Abrir facsímil")</f>
        <v>Abrir facsímil</v>
      </c>
      <c r="K1386" s="3" t="s">
        <v>31</v>
      </c>
    </row>
    <row r="1387" spans="1:11" ht="42" customHeight="1">
      <c r="A1387" s="2" t="s">
        <v>3542</v>
      </c>
      <c r="B1387" s="2" t="s">
        <v>3543</v>
      </c>
      <c r="C1387" s="2" t="s">
        <v>26</v>
      </c>
      <c r="D1387" s="2" t="s">
        <v>18</v>
      </c>
      <c r="E1387" s="5">
        <v>-30452</v>
      </c>
      <c r="F1387" s="3" t="s">
        <v>3546</v>
      </c>
      <c r="G1387" s="3" t="s">
        <v>3547</v>
      </c>
      <c r="H1387" s="2" t="s">
        <v>29</v>
      </c>
      <c r="I1387" s="2" t="s">
        <v>3548</v>
      </c>
      <c r="J1387" s="3" t="str">
        <f>HYPERLINK("https://www.boe.es/gazeta/dias/1816/08/15/pdfs/GMD-1816-101.pdf#page=5","Abrir facsímil")</f>
        <v>Abrir facsímil</v>
      </c>
      <c r="K1387" s="3" t="s">
        <v>31</v>
      </c>
    </row>
    <row r="1388" spans="1:11" ht="42" customHeight="1">
      <c r="A1388" s="2" t="s">
        <v>3542</v>
      </c>
      <c r="B1388" s="2" t="s">
        <v>3543</v>
      </c>
      <c r="C1388" s="2" t="s">
        <v>111</v>
      </c>
      <c r="D1388" s="2" t="s">
        <v>112</v>
      </c>
      <c r="E1388" s="5">
        <v>-30352</v>
      </c>
      <c r="F1388" s="3" t="s">
        <v>407</v>
      </c>
      <c r="G1388" s="3" t="s">
        <v>47</v>
      </c>
      <c r="H1388" s="2" t="s">
        <v>29</v>
      </c>
      <c r="I1388" s="2" t="s">
        <v>3549</v>
      </c>
      <c r="J1388" s="3" t="str">
        <f>HYPERLINK("https://www.boe.es/gazeta/dias/1816/11/23/pdfs/GMD-1816-146.pdf#page=5","Abrir facsímil")</f>
        <v>Abrir facsímil</v>
      </c>
      <c r="K1388" s="3" t="s">
        <v>31</v>
      </c>
    </row>
    <row r="1389" spans="1:11" ht="42" customHeight="1">
      <c r="A1389" s="2" t="s">
        <v>3550</v>
      </c>
      <c r="B1389" s="2" t="s">
        <v>3551</v>
      </c>
      <c r="C1389" s="2" t="s">
        <v>26</v>
      </c>
      <c r="D1389" s="2" t="s">
        <v>18</v>
      </c>
      <c r="E1389" s="5">
        <v>-30517</v>
      </c>
      <c r="F1389" s="3" t="s">
        <v>557</v>
      </c>
      <c r="G1389" s="3" t="s">
        <v>47</v>
      </c>
      <c r="H1389" s="2" t="s">
        <v>29</v>
      </c>
      <c r="I1389" s="2" t="s">
        <v>3552</v>
      </c>
      <c r="J1389" s="3" t="str">
        <f>HYPERLINK("https://www.boe.es/gazeta/dias/1816/06/11/pdfs/GMD-1816-73.pdf#page=5","Abrir facsímil")</f>
        <v>Abrir facsímil</v>
      </c>
      <c r="K1389" s="3" t="s">
        <v>31</v>
      </c>
    </row>
    <row r="1390" spans="1:11" ht="42" customHeight="1">
      <c r="A1390" s="2" t="s">
        <v>3553</v>
      </c>
      <c r="B1390" s="2" t="s">
        <v>3554</v>
      </c>
      <c r="C1390" s="2" t="s">
        <v>34</v>
      </c>
      <c r="D1390" s="2" t="s">
        <v>35</v>
      </c>
      <c r="E1390" s="5">
        <v>-30566</v>
      </c>
      <c r="F1390" s="3" t="s">
        <v>113</v>
      </c>
      <c r="G1390" s="3" t="s">
        <v>28</v>
      </c>
      <c r="H1390" s="2" t="s">
        <v>29</v>
      </c>
      <c r="I1390" s="2" t="s">
        <v>3555</v>
      </c>
      <c r="J1390" s="3" t="str">
        <f>HYPERLINK("https://www.boe.es/gazeta/dias/1816/04/23/pdfs/GMD-1816-52.pdf#page=6","Abrir facsímil")</f>
        <v>Abrir facsímil</v>
      </c>
      <c r="K1390" s="3" t="s">
        <v>31</v>
      </c>
    </row>
    <row r="1391" spans="1:11" ht="42" customHeight="1">
      <c r="A1391" s="2" t="s">
        <v>3556</v>
      </c>
      <c r="B1391" s="2" t="s">
        <v>3557</v>
      </c>
      <c r="C1391" s="2" t="s">
        <v>26</v>
      </c>
      <c r="D1391" s="2" t="s">
        <v>18</v>
      </c>
      <c r="E1391" s="5">
        <v>-30457</v>
      </c>
      <c r="F1391" s="3" t="s">
        <v>539</v>
      </c>
      <c r="G1391" s="3" t="s">
        <v>47</v>
      </c>
      <c r="H1391" s="2" t="s">
        <v>29</v>
      </c>
      <c r="I1391" s="2" t="s">
        <v>3558</v>
      </c>
      <c r="J1391" s="3" t="str">
        <f>HYPERLINK("https://www.boe.es/gazeta/dias/1816/08/10/pdfs/GMD-1816-99.pdf#page=5","Abrir facsímil")</f>
        <v>Abrir facsímil</v>
      </c>
      <c r="K1391" s="3" t="s">
        <v>31</v>
      </c>
    </row>
    <row r="1392" spans="1:11" ht="42" customHeight="1">
      <c r="A1392" s="2" t="s">
        <v>3559</v>
      </c>
      <c r="B1392" s="2" t="s">
        <v>3560</v>
      </c>
      <c r="C1392" s="2" t="s">
        <v>387</v>
      </c>
      <c r="D1392" s="2" t="s">
        <v>18</v>
      </c>
      <c r="E1392" s="5">
        <v>-30557</v>
      </c>
      <c r="F1392" s="3" t="s">
        <v>508</v>
      </c>
      <c r="G1392" s="3" t="s">
        <v>184</v>
      </c>
      <c r="H1392" s="2" t="s">
        <v>29</v>
      </c>
      <c r="I1392" s="2" t="s">
        <v>3561</v>
      </c>
      <c r="J1392" s="3" t="str">
        <f>HYPERLINK("https://www.boe.es/gazeta/dias/1816/05/02/pdfs/GMD-1816-56.pdf#page=3","Abrir facsímil")</f>
        <v>Abrir facsímil</v>
      </c>
      <c r="K1392" s="3" t="s">
        <v>31</v>
      </c>
    </row>
    <row r="1393" spans="1:11" ht="42" customHeight="1">
      <c r="A1393" s="2" t="s">
        <v>3562</v>
      </c>
      <c r="B1393" s="2" t="s">
        <v>3563</v>
      </c>
      <c r="C1393" s="2" t="s">
        <v>26</v>
      </c>
      <c r="D1393" s="2" t="s">
        <v>18</v>
      </c>
      <c r="E1393" s="5">
        <v>-30335</v>
      </c>
      <c r="F1393" s="3" t="s">
        <v>468</v>
      </c>
      <c r="G1393" s="3" t="s">
        <v>103</v>
      </c>
      <c r="H1393" s="2" t="s">
        <v>29</v>
      </c>
      <c r="I1393" s="2" t="s">
        <v>3564</v>
      </c>
      <c r="J1393" s="3" t="str">
        <f>HYPERLINK("https://www.boe.es/gazeta/dias/1816/12/10/pdfs/GMD-1816-153.pdf#page=4","Abrir facsímil")</f>
        <v>Abrir facsímil</v>
      </c>
      <c r="K1393" s="3" t="s">
        <v>31</v>
      </c>
    </row>
    <row r="1394" spans="1:11" ht="42" customHeight="1">
      <c r="A1394" s="2" t="s">
        <v>3565</v>
      </c>
      <c r="B1394" s="2" t="s">
        <v>3566</v>
      </c>
      <c r="C1394" s="2" t="s">
        <v>26</v>
      </c>
      <c r="D1394" s="2" t="s">
        <v>18</v>
      </c>
      <c r="E1394" s="5">
        <v>-30438</v>
      </c>
      <c r="F1394" s="3" t="s">
        <v>299</v>
      </c>
      <c r="G1394" s="3" t="s">
        <v>3567</v>
      </c>
      <c r="H1394" s="2" t="s">
        <v>29</v>
      </c>
      <c r="I1394" s="2" t="s">
        <v>3568</v>
      </c>
      <c r="J1394" s="3" t="str">
        <f>HYPERLINK("https://www.boe.es/gazeta/dias/1816/08/29/pdfs/GMD-1816-107.pdf#page=5","Abrir facsímil")</f>
        <v>Abrir facsímil</v>
      </c>
      <c r="K1394" s="3" t="s">
        <v>31</v>
      </c>
    </row>
    <row r="1395" spans="1:11" ht="42" customHeight="1">
      <c r="A1395" s="2" t="s">
        <v>3569</v>
      </c>
      <c r="B1395" s="2" t="s">
        <v>3569</v>
      </c>
      <c r="C1395" s="2" t="s">
        <v>34</v>
      </c>
      <c r="D1395" s="2" t="s">
        <v>35</v>
      </c>
      <c r="E1395" s="5">
        <v>-30361</v>
      </c>
      <c r="F1395" s="3" t="s">
        <v>1741</v>
      </c>
      <c r="G1395" s="3" t="s">
        <v>184</v>
      </c>
      <c r="H1395" s="2" t="s">
        <v>21</v>
      </c>
      <c r="I1395" s="2" t="s">
        <v>3570</v>
      </c>
      <c r="J1395" s="3" t="str">
        <f>HYPERLINK("https://www.boe.es/gazeta/dias/1816/11/14/pdfs/GMD-1816-142.pdf#page=3","Abrir facsímil")</f>
        <v>Abrir facsímil</v>
      </c>
      <c r="K1395" s="3" t="s">
        <v>23</v>
      </c>
    </row>
    <row r="1396" spans="1:11" ht="42" customHeight="1">
      <c r="A1396" s="2" t="s">
        <v>3571</v>
      </c>
      <c r="B1396" s="2" t="s">
        <v>3571</v>
      </c>
      <c r="C1396" s="2" t="s">
        <v>111</v>
      </c>
      <c r="D1396" s="2" t="s">
        <v>112</v>
      </c>
      <c r="E1396" s="5">
        <v>-30499</v>
      </c>
      <c r="F1396" s="3" t="s">
        <v>971</v>
      </c>
      <c r="G1396" s="3" t="s">
        <v>184</v>
      </c>
      <c r="H1396" s="2" t="s">
        <v>21</v>
      </c>
      <c r="I1396" s="2" t="s">
        <v>3572</v>
      </c>
      <c r="J1396" s="3" t="str">
        <f>HYPERLINK("https://www.boe.es/gazeta/dias/1816/06/29/pdfs/GMD-1816-81.pdf#page=3","Abrir facsímil")</f>
        <v>Abrir facsímil</v>
      </c>
      <c r="K1396" s="3" t="s">
        <v>23</v>
      </c>
    </row>
    <row r="1397" spans="1:11" ht="42" customHeight="1">
      <c r="A1397" s="2" t="s">
        <v>3573</v>
      </c>
      <c r="B1397" s="2" t="s">
        <v>3574</v>
      </c>
      <c r="C1397" s="2" t="s">
        <v>67</v>
      </c>
      <c r="D1397" s="2" t="s">
        <v>18</v>
      </c>
      <c r="E1397" s="5">
        <v>-30452</v>
      </c>
      <c r="F1397" s="3" t="s">
        <v>3546</v>
      </c>
      <c r="G1397" s="3" t="s">
        <v>42</v>
      </c>
      <c r="H1397" s="2" t="s">
        <v>21</v>
      </c>
      <c r="I1397" s="2" t="s">
        <v>3575</v>
      </c>
      <c r="J1397" s="3" t="str">
        <f>HYPERLINK("https://www.boe.es/gazeta/dias/1816/08/15/pdfs/GMD-1816-101.pdf#page=8","Abrir facsímil")</f>
        <v>Abrir facsímil</v>
      </c>
      <c r="K1397" s="3" t="s">
        <v>23</v>
      </c>
    </row>
    <row r="1398" spans="1:11" ht="42" customHeight="1">
      <c r="A1398" s="2" t="s">
        <v>3576</v>
      </c>
      <c r="B1398" s="2" t="s">
        <v>3577</v>
      </c>
      <c r="C1398" s="2" t="s">
        <v>26</v>
      </c>
      <c r="D1398" s="2" t="s">
        <v>18</v>
      </c>
      <c r="E1398" s="5">
        <v>-30629</v>
      </c>
      <c r="F1398" s="3" t="s">
        <v>904</v>
      </c>
      <c r="G1398" s="3" t="s">
        <v>72</v>
      </c>
      <c r="H1398" s="2" t="s">
        <v>29</v>
      </c>
      <c r="I1398" s="2" t="s">
        <v>3578</v>
      </c>
      <c r="J1398" s="3" t="str">
        <f>HYPERLINK("https://www.boe.es/gazeta/dias/1816/02/20/pdfs/GMD-1816-23.pdf#page=7","Abrir facsímil")</f>
        <v>Abrir facsímil</v>
      </c>
      <c r="K1398" s="3" t="s">
        <v>31</v>
      </c>
    </row>
    <row r="1399" spans="1:11" ht="42" customHeight="1">
      <c r="A1399" s="2" t="s">
        <v>3579</v>
      </c>
      <c r="B1399" s="2" t="s">
        <v>3580</v>
      </c>
      <c r="C1399" s="2" t="s">
        <v>34</v>
      </c>
      <c r="D1399" s="2" t="s">
        <v>35</v>
      </c>
      <c r="E1399" s="5">
        <v>-30417</v>
      </c>
      <c r="F1399" s="3" t="s">
        <v>62</v>
      </c>
      <c r="G1399" s="3" t="s">
        <v>103</v>
      </c>
      <c r="H1399" s="2" t="s">
        <v>21</v>
      </c>
      <c r="I1399" s="2" t="s">
        <v>3581</v>
      </c>
      <c r="J1399" s="3" t="str">
        <f>HYPERLINK("https://www.boe.es/gazeta/dias/1816/09/19/pdfs/GMD-1816-116.pdf#page=4","Abrir facsímil")</f>
        <v>Abrir facsímil</v>
      </c>
      <c r="K1399" s="3" t="s">
        <v>23</v>
      </c>
    </row>
    <row r="1400" spans="1:11" ht="42" customHeight="1">
      <c r="A1400" s="2" t="s">
        <v>3582</v>
      </c>
      <c r="B1400" s="2" t="s">
        <v>3583</v>
      </c>
      <c r="C1400" s="2" t="s">
        <v>67</v>
      </c>
      <c r="D1400" s="2" t="s">
        <v>18</v>
      </c>
      <c r="E1400" s="5">
        <v>-30555</v>
      </c>
      <c r="F1400" s="3" t="s">
        <v>345</v>
      </c>
      <c r="G1400" s="3" t="s">
        <v>42</v>
      </c>
      <c r="H1400" s="2" t="s">
        <v>21</v>
      </c>
      <c r="I1400" s="2" t="s">
        <v>3584</v>
      </c>
      <c r="J1400" s="3" t="str">
        <f>HYPERLINK("https://www.boe.es/gazeta/dias/1816/05/04/pdfs/GMD-1816-57.pdf#page=8","Abrir facsímil")</f>
        <v>Abrir facsímil</v>
      </c>
      <c r="K1400" s="3" t="s">
        <v>23</v>
      </c>
    </row>
    <row r="1401" spans="1:11" ht="42" customHeight="1">
      <c r="A1401" s="2" t="s">
        <v>3582</v>
      </c>
      <c r="B1401" s="2" t="s">
        <v>3583</v>
      </c>
      <c r="C1401" s="2" t="s">
        <v>67</v>
      </c>
      <c r="D1401" s="2" t="s">
        <v>18</v>
      </c>
      <c r="E1401" s="5">
        <v>-30426</v>
      </c>
      <c r="F1401" s="3" t="s">
        <v>779</v>
      </c>
      <c r="G1401" s="3" t="s">
        <v>42</v>
      </c>
      <c r="H1401" s="2" t="s">
        <v>21</v>
      </c>
      <c r="I1401" s="2" t="s">
        <v>3585</v>
      </c>
      <c r="J1401" s="3" t="str">
        <f>HYPERLINK("https://www.boe.es/gazeta/dias/1816/09/10/pdfs/GMD-1816-112.pdf#page=8","Abrir facsímil")</f>
        <v>Abrir facsímil</v>
      </c>
      <c r="K1401" s="3" t="s">
        <v>23</v>
      </c>
    </row>
    <row r="1402" spans="1:11" ht="42" customHeight="1">
      <c r="A1402" s="2" t="s">
        <v>3582</v>
      </c>
      <c r="B1402" s="2" t="s">
        <v>3583</v>
      </c>
      <c r="C1402" s="2" t="s">
        <v>67</v>
      </c>
      <c r="D1402" s="2" t="s">
        <v>18</v>
      </c>
      <c r="E1402" s="5">
        <v>-30314</v>
      </c>
      <c r="F1402" s="3" t="s">
        <v>1899</v>
      </c>
      <c r="G1402" s="3" t="s">
        <v>42</v>
      </c>
      <c r="H1402" s="2" t="s">
        <v>21</v>
      </c>
      <c r="I1402" s="2" t="s">
        <v>3586</v>
      </c>
      <c r="J1402" s="3" t="str">
        <f>HYPERLINK("https://www.boe.es/gazeta/dias/1816/12/31/pdfs/GMD-1816-162.pdf#page=8","Abrir facsímil")</f>
        <v>Abrir facsímil</v>
      </c>
      <c r="K1402" s="3" t="s">
        <v>23</v>
      </c>
    </row>
    <row r="1403" spans="1:11" ht="42" customHeight="1">
      <c r="A1403" s="2" t="s">
        <v>3587</v>
      </c>
      <c r="B1403" s="2" t="s">
        <v>3588</v>
      </c>
      <c r="C1403" s="2" t="s">
        <v>111</v>
      </c>
      <c r="D1403" s="2" t="s">
        <v>112</v>
      </c>
      <c r="E1403" s="5">
        <v>-30468</v>
      </c>
      <c r="F1403" s="3" t="s">
        <v>383</v>
      </c>
      <c r="G1403" s="3" t="s">
        <v>42</v>
      </c>
      <c r="H1403" s="2" t="s">
        <v>21</v>
      </c>
      <c r="I1403" s="2" t="s">
        <v>3589</v>
      </c>
      <c r="J1403" s="3" t="str">
        <f>HYPERLINK("https://www.boe.es/gazeta/dias/1816/07/30/pdfs/GMD-1816-94.pdf#page=8","Abrir facsímil")</f>
        <v>Abrir facsímil</v>
      </c>
      <c r="K1403" s="3" t="s">
        <v>23</v>
      </c>
    </row>
    <row r="1404" spans="1:11" ht="42" customHeight="1">
      <c r="A1404" s="2" t="s">
        <v>3590</v>
      </c>
      <c r="B1404" s="2" t="s">
        <v>3591</v>
      </c>
      <c r="C1404" s="2" t="s">
        <v>26</v>
      </c>
      <c r="D1404" s="2" t="s">
        <v>18</v>
      </c>
      <c r="E1404" s="5">
        <v>-30377</v>
      </c>
      <c r="F1404" s="3" t="s">
        <v>138</v>
      </c>
      <c r="G1404" s="3" t="s">
        <v>42</v>
      </c>
      <c r="H1404" s="2" t="s">
        <v>21</v>
      </c>
      <c r="I1404" s="2" t="s">
        <v>3592</v>
      </c>
      <c r="J1404" s="3" t="str">
        <f>HYPERLINK("https://www.boe.es/gazeta/dias/1816/10/29/pdfs/GMD-1816-135.pdf#page=8","Abrir facsímil")</f>
        <v>Abrir facsímil</v>
      </c>
      <c r="K1404" s="3" t="s">
        <v>23</v>
      </c>
    </row>
    <row r="1405" spans="1:11" ht="42" customHeight="1">
      <c r="A1405" s="2" t="s">
        <v>3593</v>
      </c>
      <c r="B1405" s="2" t="s">
        <v>3594</v>
      </c>
      <c r="C1405" s="2" t="s">
        <v>111</v>
      </c>
      <c r="D1405" s="2" t="s">
        <v>112</v>
      </c>
      <c r="E1405" s="5">
        <v>-30543</v>
      </c>
      <c r="F1405" s="3" t="s">
        <v>94</v>
      </c>
      <c r="G1405" s="3" t="s">
        <v>3595</v>
      </c>
      <c r="H1405" s="2" t="s">
        <v>21</v>
      </c>
      <c r="I1405" s="2" t="s">
        <v>3596</v>
      </c>
      <c r="J1405" s="3" t="str">
        <f>HYPERLINK("https://www.boe.es/gazeta/dias/1816/05/16/pdfs/GMD-1816-62.pdf#page=8","Abrir facsímil")</f>
        <v>Abrir facsímil</v>
      </c>
      <c r="K1405" s="3" t="s">
        <v>23</v>
      </c>
    </row>
    <row r="1406" spans="1:11" ht="42" customHeight="1">
      <c r="A1406" s="2" t="s">
        <v>3597</v>
      </c>
      <c r="B1406" s="2" t="s">
        <v>3598</v>
      </c>
      <c r="C1406" s="2" t="s">
        <v>34</v>
      </c>
      <c r="D1406" s="2" t="s">
        <v>35</v>
      </c>
      <c r="E1406" s="5">
        <v>-30347</v>
      </c>
      <c r="F1406" s="3" t="s">
        <v>2994</v>
      </c>
      <c r="G1406" s="3" t="s">
        <v>3599</v>
      </c>
      <c r="H1406" s="2" t="s">
        <v>21</v>
      </c>
      <c r="I1406" s="2" t="s">
        <v>3600</v>
      </c>
      <c r="J1406" s="3" t="str">
        <f>HYPERLINK("https://www.boe.es/gazeta/dias/1816/11/28/pdfs/GMD-1816-148.pdf#page=5","Abrir facsímil")</f>
        <v>Abrir facsímil</v>
      </c>
      <c r="K1406" s="3" t="s">
        <v>23</v>
      </c>
    </row>
    <row r="1407" spans="1:11" ht="42" customHeight="1">
      <c r="A1407" s="2" t="s">
        <v>3601</v>
      </c>
      <c r="B1407" s="2" t="s">
        <v>3602</v>
      </c>
      <c r="C1407" s="2" t="s">
        <v>34</v>
      </c>
      <c r="D1407" s="2" t="s">
        <v>35</v>
      </c>
      <c r="E1407" s="5">
        <v>-30473</v>
      </c>
      <c r="F1407" s="3" t="s">
        <v>336</v>
      </c>
      <c r="G1407" s="3" t="s">
        <v>337</v>
      </c>
      <c r="H1407" s="2" t="s">
        <v>29</v>
      </c>
      <c r="I1407" s="2" t="s">
        <v>3603</v>
      </c>
      <c r="J1407" s="3" t="str">
        <f>HYPERLINK("https://www.boe.es/gazeta/dias/1816/07/25/pdfs/GMD-1816-92.pdf#page=3","Abrir facsímil")</f>
        <v>Abrir facsímil</v>
      </c>
      <c r="K1407" s="3" t="s">
        <v>31</v>
      </c>
    </row>
    <row r="1408" spans="1:11" ht="42" customHeight="1">
      <c r="A1408" s="2" t="s">
        <v>3604</v>
      </c>
      <c r="B1408" s="2" t="s">
        <v>3605</v>
      </c>
      <c r="C1408" s="2" t="s">
        <v>34</v>
      </c>
      <c r="D1408" s="2" t="s">
        <v>35</v>
      </c>
      <c r="E1408" s="5">
        <v>-30634</v>
      </c>
      <c r="F1408" s="3" t="s">
        <v>1104</v>
      </c>
      <c r="G1408" s="3" t="s">
        <v>2234</v>
      </c>
      <c r="H1408" s="2" t="s">
        <v>21</v>
      </c>
      <c r="I1408" s="2" t="s">
        <v>3606</v>
      </c>
      <c r="J1408" s="3" t="str">
        <f>HYPERLINK("https://www.boe.es/gazeta/dias/1816/02/15/pdfs/GMD-1816-21.pdf#page=8","Abrir facsímil")</f>
        <v>Abrir facsímil</v>
      </c>
      <c r="K1408" s="3" t="s">
        <v>23</v>
      </c>
    </row>
    <row r="1409" spans="1:11" ht="42" customHeight="1">
      <c r="A1409" s="2" t="s">
        <v>3607</v>
      </c>
      <c r="B1409" s="2" t="s">
        <v>3607</v>
      </c>
      <c r="C1409" s="2" t="s">
        <v>26</v>
      </c>
      <c r="D1409" s="2" t="s">
        <v>18</v>
      </c>
      <c r="E1409" s="5">
        <v>-30573</v>
      </c>
      <c r="F1409" s="3" t="s">
        <v>840</v>
      </c>
      <c r="G1409" s="3" t="s">
        <v>270</v>
      </c>
      <c r="H1409" s="2" t="s">
        <v>21</v>
      </c>
      <c r="I1409" s="2" t="s">
        <v>3608</v>
      </c>
      <c r="J1409" s="3" t="str">
        <f>HYPERLINK("https://www.boe.es/gazeta/dias/1816/04/16/pdfs/GMD-1816-49.pdf#page=2","Abrir facsímil")</f>
        <v>Abrir facsímil</v>
      </c>
      <c r="K1409" s="3" t="s">
        <v>23</v>
      </c>
    </row>
    <row r="1410" spans="1:11" ht="42" customHeight="1">
      <c r="A1410" s="2" t="s">
        <v>3609</v>
      </c>
      <c r="B1410" s="2" t="s">
        <v>3610</v>
      </c>
      <c r="C1410" s="2" t="s">
        <v>41</v>
      </c>
      <c r="D1410" s="2" t="s">
        <v>18</v>
      </c>
      <c r="E1410" s="5">
        <v>-30559</v>
      </c>
      <c r="F1410" s="3" t="s">
        <v>165</v>
      </c>
      <c r="G1410" s="3" t="s">
        <v>28</v>
      </c>
      <c r="H1410" s="2" t="s">
        <v>21</v>
      </c>
      <c r="I1410" s="2" t="s">
        <v>3611</v>
      </c>
      <c r="J1410" s="3" t="str">
        <f>HYPERLINK("https://www.boe.es/gazeta/dias/1816/04/30/pdfs/GMD-1816-55.pdf#page=6","Abrir facsímil")</f>
        <v>Abrir facsímil</v>
      </c>
      <c r="K1410" s="3" t="s">
        <v>23</v>
      </c>
    </row>
    <row r="1411" spans="1:11" ht="42" customHeight="1">
      <c r="A1411" s="2" t="s">
        <v>3612</v>
      </c>
      <c r="B1411" s="2" t="s">
        <v>3613</v>
      </c>
      <c r="C1411" s="2" t="s">
        <v>81</v>
      </c>
      <c r="D1411" s="2" t="s">
        <v>18</v>
      </c>
      <c r="E1411" s="5">
        <v>-30384</v>
      </c>
      <c r="F1411" s="3" t="s">
        <v>460</v>
      </c>
      <c r="G1411" s="3" t="s">
        <v>932</v>
      </c>
      <c r="H1411" s="2" t="s">
        <v>21</v>
      </c>
      <c r="I1411" s="2" t="s">
        <v>3614</v>
      </c>
      <c r="J1411" s="3" t="str">
        <f>HYPERLINK("https://www.boe.es/gazeta/dias/1816/10/22/pdfs/GMD-1816-132.pdf#page=7","Abrir facsímil")</f>
        <v>Abrir facsímil</v>
      </c>
      <c r="K1411" s="3" t="s">
        <v>23</v>
      </c>
    </row>
    <row r="1412" spans="1:11" ht="42" customHeight="1">
      <c r="A1412" s="2" t="s">
        <v>3615</v>
      </c>
      <c r="B1412" s="2" t="s">
        <v>3616</v>
      </c>
      <c r="C1412" s="2" t="s">
        <v>26</v>
      </c>
      <c r="D1412" s="2" t="s">
        <v>18</v>
      </c>
      <c r="E1412" s="5">
        <v>-30438</v>
      </c>
      <c r="F1412" s="3" t="s">
        <v>299</v>
      </c>
      <c r="G1412" s="3" t="s">
        <v>300</v>
      </c>
      <c r="H1412" s="2" t="s">
        <v>21</v>
      </c>
      <c r="I1412" s="2" t="s">
        <v>3617</v>
      </c>
      <c r="J1412" s="3" t="str">
        <f>HYPERLINK("https://www.boe.es/gazeta/dias/1816/08/29/pdfs/GMD-1816-107.pdf#page=12","Abrir facsímil")</f>
        <v>Abrir facsímil</v>
      </c>
      <c r="K1412" s="3" t="s">
        <v>23</v>
      </c>
    </row>
    <row r="1413" spans="1:11" ht="42" customHeight="1">
      <c r="A1413" s="2" t="s">
        <v>3618</v>
      </c>
      <c r="B1413" s="2" t="s">
        <v>3618</v>
      </c>
      <c r="C1413" s="2" t="s">
        <v>41</v>
      </c>
      <c r="D1413" s="2" t="s">
        <v>18</v>
      </c>
      <c r="E1413" s="5">
        <v>-30629</v>
      </c>
      <c r="F1413" s="3" t="s">
        <v>904</v>
      </c>
      <c r="G1413" s="3" t="s">
        <v>58</v>
      </c>
      <c r="H1413" s="2" t="s">
        <v>21</v>
      </c>
      <c r="I1413" s="2" t="s">
        <v>3619</v>
      </c>
      <c r="J1413" s="3" t="str">
        <f>HYPERLINK("https://www.boe.es/gazeta/dias/1816/02/20/pdfs/GMD-1816-23.pdf#page=1","Abrir facsímil")</f>
        <v>Abrir facsímil</v>
      </c>
      <c r="K1413" s="3" t="s">
        <v>23</v>
      </c>
    </row>
    <row r="1414" spans="1:11" ht="42" customHeight="1">
      <c r="A1414" s="2" t="s">
        <v>3620</v>
      </c>
      <c r="B1414" s="2" t="s">
        <v>3620</v>
      </c>
      <c r="C1414" s="2" t="s">
        <v>34</v>
      </c>
      <c r="D1414" s="2" t="s">
        <v>35</v>
      </c>
      <c r="E1414" s="5">
        <v>-30566</v>
      </c>
      <c r="F1414" s="3" t="s">
        <v>113</v>
      </c>
      <c r="G1414" s="3" t="s">
        <v>3621</v>
      </c>
      <c r="H1414" s="2" t="s">
        <v>21</v>
      </c>
      <c r="I1414" s="2" t="s">
        <v>3622</v>
      </c>
      <c r="J1414" s="3" t="str">
        <f>HYPERLINK("https://www.boe.es/gazeta/dias/1816/04/23/pdfs/GMD-1816-52.pdf#page=3","Abrir facsímil")</f>
        <v>Abrir facsímil</v>
      </c>
      <c r="K1414" s="3" t="s">
        <v>23</v>
      </c>
    </row>
    <row r="1415" spans="1:11" ht="42" customHeight="1">
      <c r="A1415" s="2" t="s">
        <v>3623</v>
      </c>
      <c r="B1415" s="2" t="s">
        <v>3623</v>
      </c>
      <c r="C1415" s="2" t="s">
        <v>111</v>
      </c>
      <c r="D1415" s="2" t="s">
        <v>112</v>
      </c>
      <c r="E1415" s="5">
        <v>-30550</v>
      </c>
      <c r="F1415" s="3" t="s">
        <v>435</v>
      </c>
      <c r="G1415" s="3" t="s">
        <v>28</v>
      </c>
      <c r="H1415" s="2" t="s">
        <v>21</v>
      </c>
      <c r="I1415" s="2" t="s">
        <v>3624</v>
      </c>
      <c r="J1415" s="3" t="str">
        <f>HYPERLINK("https://www.boe.es/gazeta/dias/1816/05/09/pdfs/GMD-1816-59.pdf#page=6","Abrir facsímil")</f>
        <v>Abrir facsímil</v>
      </c>
      <c r="K1415" s="3" t="s">
        <v>23</v>
      </c>
    </row>
    <row r="1416" spans="1:11" ht="42" customHeight="1">
      <c r="A1416" s="2" t="s">
        <v>3623</v>
      </c>
      <c r="B1416" s="2" t="s">
        <v>3623</v>
      </c>
      <c r="C1416" s="2" t="s">
        <v>111</v>
      </c>
      <c r="D1416" s="2" t="s">
        <v>112</v>
      </c>
      <c r="E1416" s="5">
        <v>-30536</v>
      </c>
      <c r="F1416" s="3" t="s">
        <v>580</v>
      </c>
      <c r="G1416" s="3" t="s">
        <v>28</v>
      </c>
      <c r="H1416" s="2" t="s">
        <v>21</v>
      </c>
      <c r="I1416" s="2" t="s">
        <v>3625</v>
      </c>
      <c r="J1416" s="3" t="str">
        <f>HYPERLINK("https://www.boe.es/gazeta/dias/1816/05/23/pdfs/GMD-1816-65.pdf#page=6","Abrir facsímil")</f>
        <v>Abrir facsímil</v>
      </c>
      <c r="K1416" s="3" t="s">
        <v>23</v>
      </c>
    </row>
    <row r="1417" spans="1:11" ht="42" customHeight="1">
      <c r="A1417" s="2" t="s">
        <v>3623</v>
      </c>
      <c r="B1417" s="2" t="s">
        <v>3623</v>
      </c>
      <c r="C1417" s="2" t="s">
        <v>34</v>
      </c>
      <c r="D1417" s="2" t="s">
        <v>35</v>
      </c>
      <c r="E1417" s="5">
        <v>-30471</v>
      </c>
      <c r="F1417" s="3" t="s">
        <v>639</v>
      </c>
      <c r="G1417" s="3" t="s">
        <v>72</v>
      </c>
      <c r="H1417" s="2" t="s">
        <v>21</v>
      </c>
      <c r="I1417" s="2" t="s">
        <v>3626</v>
      </c>
      <c r="J1417" s="3" t="str">
        <f>HYPERLINK("https://www.boe.es/gazeta/dias/1816/07/27/pdfs/GMD-1816-93.pdf#page=7","Abrir facsímil")</f>
        <v>Abrir facsímil</v>
      </c>
      <c r="K1417" s="3" t="s">
        <v>23</v>
      </c>
    </row>
    <row r="1418" spans="1:11" ht="42" customHeight="1">
      <c r="A1418" s="2" t="s">
        <v>3623</v>
      </c>
      <c r="B1418" s="2" t="s">
        <v>3623</v>
      </c>
      <c r="C1418" s="2" t="s">
        <v>111</v>
      </c>
      <c r="D1418" s="2" t="s">
        <v>112</v>
      </c>
      <c r="E1418" s="5">
        <v>-30445</v>
      </c>
      <c r="F1418" s="3" t="s">
        <v>51</v>
      </c>
      <c r="G1418" s="3" t="s">
        <v>180</v>
      </c>
      <c r="H1418" s="2" t="s">
        <v>21</v>
      </c>
      <c r="I1418" s="2" t="s">
        <v>3627</v>
      </c>
      <c r="J1418" s="3" t="str">
        <f>HYPERLINK("https://www.boe.es/gazeta/dias/1816/08/22/pdfs/GMD-1816-104.pdf#page=10","Abrir facsímil")</f>
        <v>Abrir facsímil</v>
      </c>
      <c r="K1418" s="3" t="s">
        <v>23</v>
      </c>
    </row>
    <row r="1419" spans="1:11" ht="42" customHeight="1">
      <c r="A1419" s="2" t="s">
        <v>3628</v>
      </c>
      <c r="B1419" s="2" t="s">
        <v>3628</v>
      </c>
      <c r="C1419" s="2" t="s">
        <v>34</v>
      </c>
      <c r="D1419" s="2" t="s">
        <v>35</v>
      </c>
      <c r="E1419" s="5">
        <v>-30321</v>
      </c>
      <c r="F1419" s="3" t="s">
        <v>1086</v>
      </c>
      <c r="G1419" s="3" t="s">
        <v>58</v>
      </c>
      <c r="H1419" s="2" t="s">
        <v>21</v>
      </c>
      <c r="I1419" s="2" t="s">
        <v>3629</v>
      </c>
      <c r="J1419" s="3" t="str">
        <f>HYPERLINK("https://www.boe.es/gazeta/dias/1816/12/24/pdfs/GMD-1816-159.pdf#page=1","Abrir facsímil")</f>
        <v>Abrir facsímil</v>
      </c>
      <c r="K1419" s="3" t="s">
        <v>23</v>
      </c>
    </row>
    <row r="1420" spans="1:11" ht="42" customHeight="1">
      <c r="A1420" s="2" t="s">
        <v>3630</v>
      </c>
      <c r="B1420" s="2" t="s">
        <v>3630</v>
      </c>
      <c r="C1420" s="2" t="s">
        <v>67</v>
      </c>
      <c r="D1420" s="2" t="s">
        <v>18</v>
      </c>
      <c r="E1420" s="5">
        <v>-30573</v>
      </c>
      <c r="F1420" s="3" t="s">
        <v>840</v>
      </c>
      <c r="G1420" s="3" t="s">
        <v>270</v>
      </c>
      <c r="H1420" s="2" t="s">
        <v>21</v>
      </c>
      <c r="I1420" s="2" t="s">
        <v>3631</v>
      </c>
      <c r="J1420" s="3" t="str">
        <f>HYPERLINK("https://www.boe.es/gazeta/dias/1816/04/16/pdfs/GMD-1816-49.pdf#page=2","Abrir facsímil")</f>
        <v>Abrir facsímil</v>
      </c>
      <c r="K1420" s="3" t="s">
        <v>23</v>
      </c>
    </row>
    <row r="1421" spans="1:11" ht="42" customHeight="1">
      <c r="A1421" s="2" t="s">
        <v>3632</v>
      </c>
      <c r="B1421" s="2" t="s">
        <v>3632</v>
      </c>
      <c r="C1421" s="2" t="s">
        <v>111</v>
      </c>
      <c r="D1421" s="2" t="s">
        <v>112</v>
      </c>
      <c r="E1421" s="5">
        <v>-30573</v>
      </c>
      <c r="F1421" s="3" t="s">
        <v>840</v>
      </c>
      <c r="G1421" s="3" t="s">
        <v>184</v>
      </c>
      <c r="H1421" s="2" t="s">
        <v>21</v>
      </c>
      <c r="I1421" s="2" t="s">
        <v>3633</v>
      </c>
      <c r="J1421" s="3" t="str">
        <f>HYPERLINK("https://www.boe.es/gazeta/dias/1816/04/16/pdfs/GMD-1816-49.pdf#page=3","Abrir facsímil")</f>
        <v>Abrir facsímil</v>
      </c>
      <c r="K1421" s="3" t="s">
        <v>23</v>
      </c>
    </row>
    <row r="1422" spans="1:11" ht="42" customHeight="1">
      <c r="A1422" s="2" t="s">
        <v>3634</v>
      </c>
      <c r="B1422" s="2" t="s">
        <v>3635</v>
      </c>
      <c r="C1422" s="2" t="s">
        <v>81</v>
      </c>
      <c r="D1422" s="2" t="s">
        <v>18</v>
      </c>
      <c r="E1422" s="5">
        <v>-30592</v>
      </c>
      <c r="F1422" s="3" t="s">
        <v>236</v>
      </c>
      <c r="G1422" s="3" t="s">
        <v>92</v>
      </c>
      <c r="H1422" s="2" t="s">
        <v>21</v>
      </c>
      <c r="I1422" s="2" t="s">
        <v>3636</v>
      </c>
      <c r="J1422" s="3" t="str">
        <f>HYPERLINK("https://www.boe.es/gazeta/dias/1816/03/28/pdfs/GMD-1816-41.pdf#page=9","Abrir facsímil")</f>
        <v>Abrir facsímil</v>
      </c>
      <c r="K1422" s="3" t="s">
        <v>23</v>
      </c>
    </row>
    <row r="1423" spans="1:11" ht="42" customHeight="1">
      <c r="A1423" s="2" t="s">
        <v>3637</v>
      </c>
      <c r="B1423" s="2" t="s">
        <v>3638</v>
      </c>
      <c r="C1423" s="2" t="s">
        <v>34</v>
      </c>
      <c r="D1423" s="2" t="s">
        <v>35</v>
      </c>
      <c r="E1423" s="5">
        <v>-30536</v>
      </c>
      <c r="F1423" s="3" t="s">
        <v>580</v>
      </c>
      <c r="G1423" s="3" t="s">
        <v>47</v>
      </c>
      <c r="H1423" s="2" t="s">
        <v>21</v>
      </c>
      <c r="I1423" s="2" t="s">
        <v>3639</v>
      </c>
      <c r="J1423" s="3" t="str">
        <f>HYPERLINK("https://www.boe.es/gazeta/dias/1816/05/23/pdfs/GMD-1816-65.pdf#page=5","Abrir facsímil")</f>
        <v>Abrir facsímil</v>
      </c>
      <c r="K1423" s="3" t="s">
        <v>23</v>
      </c>
    </row>
    <row r="1424" spans="1:11" ht="42" customHeight="1">
      <c r="A1424" s="2" t="s">
        <v>3640</v>
      </c>
      <c r="B1424" s="2" t="s">
        <v>3641</v>
      </c>
      <c r="C1424" s="2" t="s">
        <v>26</v>
      </c>
      <c r="D1424" s="2" t="s">
        <v>18</v>
      </c>
      <c r="E1424" s="5">
        <v>-30391</v>
      </c>
      <c r="F1424" s="3" t="s">
        <v>482</v>
      </c>
      <c r="G1424" s="3" t="s">
        <v>72</v>
      </c>
      <c r="H1424" s="2" t="s">
        <v>21</v>
      </c>
      <c r="I1424" s="2" t="s">
        <v>3642</v>
      </c>
      <c r="J1424" s="3" t="str">
        <f>HYPERLINK("https://www.boe.es/gazeta/dias/1816/10/15/pdfs/GMD-1816-129.pdf#page=7","Abrir facsímil")</f>
        <v>Abrir facsímil</v>
      </c>
      <c r="K1424" s="3" t="s">
        <v>23</v>
      </c>
    </row>
    <row r="1425" spans="1:11" ht="42" customHeight="1">
      <c r="A1425" s="2" t="s">
        <v>3643</v>
      </c>
      <c r="B1425" s="2" t="s">
        <v>3644</v>
      </c>
      <c r="C1425" s="2" t="s">
        <v>34</v>
      </c>
      <c r="D1425" s="2" t="s">
        <v>56</v>
      </c>
      <c r="E1425" s="5">
        <v>-30393</v>
      </c>
      <c r="F1425" s="3" t="s">
        <v>202</v>
      </c>
      <c r="G1425" s="3" t="s">
        <v>270</v>
      </c>
      <c r="H1425" s="2" t="s">
        <v>21</v>
      </c>
      <c r="I1425" s="2" t="s">
        <v>3645</v>
      </c>
      <c r="J1425" s="3" t="str">
        <f>HYPERLINK("https://www.boe.es/gazeta/dias/1816/10/13/pdfs/GMD-1816-128E.pdf#page=2","Abrir facsímil")</f>
        <v>Abrir facsímil</v>
      </c>
      <c r="K1425" s="3" t="s">
        <v>23</v>
      </c>
    </row>
    <row r="1426" spans="1:11" ht="42" customHeight="1">
      <c r="A1426" s="2" t="s">
        <v>3646</v>
      </c>
      <c r="B1426" s="2" t="s">
        <v>3647</v>
      </c>
      <c r="C1426" s="2" t="s">
        <v>34</v>
      </c>
      <c r="D1426" s="2" t="s">
        <v>35</v>
      </c>
      <c r="E1426" s="5">
        <v>-30576</v>
      </c>
      <c r="F1426" s="3" t="s">
        <v>353</v>
      </c>
      <c r="G1426" s="3" t="s">
        <v>72</v>
      </c>
      <c r="H1426" s="2" t="s">
        <v>29</v>
      </c>
      <c r="I1426" s="2" t="s">
        <v>3648</v>
      </c>
      <c r="J1426" s="3" t="str">
        <f>HYPERLINK("https://www.boe.es/gazeta/dias/1816/04/13/pdfs/GMD-1816-48.pdf#page=7","Abrir facsímil")</f>
        <v>Abrir facsímil</v>
      </c>
      <c r="K1426" s="3" t="s">
        <v>31</v>
      </c>
    </row>
    <row r="1427" spans="1:11" ht="42" customHeight="1">
      <c r="A1427" s="2" t="s">
        <v>3649</v>
      </c>
      <c r="B1427" s="2" t="s">
        <v>3650</v>
      </c>
      <c r="C1427" s="2" t="s">
        <v>34</v>
      </c>
      <c r="D1427" s="2" t="s">
        <v>35</v>
      </c>
      <c r="E1427" s="5">
        <v>-30590</v>
      </c>
      <c r="F1427" s="3" t="s">
        <v>195</v>
      </c>
      <c r="G1427" s="3" t="s">
        <v>58</v>
      </c>
      <c r="H1427" s="2" t="s">
        <v>21</v>
      </c>
      <c r="I1427" s="2" t="s">
        <v>3651</v>
      </c>
      <c r="J1427" s="3" t="str">
        <f>HYPERLINK("https://www.boe.es/gazeta/dias/1816/03/30/pdfs/GMD-1816-42.pdf#page=1","Abrir facsímil")</f>
        <v>Abrir facsímil</v>
      </c>
      <c r="K1427" s="3" t="s">
        <v>23</v>
      </c>
    </row>
    <row r="1428" spans="1:11" ht="42" customHeight="1">
      <c r="A1428" s="2" t="s">
        <v>3652</v>
      </c>
      <c r="B1428" s="2" t="s">
        <v>3652</v>
      </c>
      <c r="C1428" s="2" t="s">
        <v>34</v>
      </c>
      <c r="D1428" s="2" t="s">
        <v>35</v>
      </c>
      <c r="E1428" s="5">
        <v>-30622</v>
      </c>
      <c r="F1428" s="3" t="s">
        <v>27</v>
      </c>
      <c r="G1428" s="3" t="s">
        <v>1829</v>
      </c>
      <c r="H1428" s="2" t="s">
        <v>21</v>
      </c>
      <c r="I1428" s="2" t="s">
        <v>3653</v>
      </c>
      <c r="J1428" s="3" t="str">
        <f>HYPERLINK("https://www.boe.es/gazeta/dias/1816/02/27/pdfs/GMD-1816-26.pdf#page=2","Abrir facsímil")</f>
        <v>Abrir facsímil</v>
      </c>
      <c r="K1428" s="3" t="s">
        <v>23</v>
      </c>
    </row>
    <row r="1429" spans="1:11" ht="42" customHeight="1">
      <c r="A1429" s="2" t="s">
        <v>3654</v>
      </c>
      <c r="B1429" s="2" t="s">
        <v>3655</v>
      </c>
      <c r="C1429" s="2" t="s">
        <v>34</v>
      </c>
      <c r="D1429" s="2" t="s">
        <v>35</v>
      </c>
      <c r="E1429" s="5">
        <v>-30639</v>
      </c>
      <c r="F1429" s="3" t="s">
        <v>87</v>
      </c>
      <c r="G1429" s="3" t="s">
        <v>47</v>
      </c>
      <c r="H1429" s="2" t="s">
        <v>21</v>
      </c>
      <c r="I1429" s="2" t="s">
        <v>3656</v>
      </c>
      <c r="J1429" s="3" t="str">
        <f>HYPERLINK("https://www.boe.es/gazeta/dias/1816/02/10/pdfs/GMD-1816-19.pdf#page=5","Abrir facsímil")</f>
        <v>Abrir facsímil</v>
      </c>
      <c r="K1429" s="3" t="s">
        <v>23</v>
      </c>
    </row>
    <row r="1430" spans="1:11" ht="42" customHeight="1">
      <c r="A1430" s="2" t="s">
        <v>3654</v>
      </c>
      <c r="B1430" s="2" t="s">
        <v>3655</v>
      </c>
      <c r="C1430" s="2" t="s">
        <v>34</v>
      </c>
      <c r="D1430" s="2" t="s">
        <v>35</v>
      </c>
      <c r="E1430" s="5">
        <v>-30496</v>
      </c>
      <c r="F1430" s="3" t="s">
        <v>290</v>
      </c>
      <c r="G1430" s="3" t="s">
        <v>3657</v>
      </c>
      <c r="H1430" s="2" t="s">
        <v>21</v>
      </c>
      <c r="I1430" s="2" t="s">
        <v>3658</v>
      </c>
      <c r="J1430" s="3" t="str">
        <f>HYPERLINK("https://www.boe.es/gazeta/dias/1816/07/02/pdfs/GMD-1816-82.pdf#page=6","Abrir facsímil")</f>
        <v>Abrir facsímil</v>
      </c>
      <c r="K1430" s="3" t="s">
        <v>23</v>
      </c>
    </row>
    <row r="1431" spans="1:11" ht="42" customHeight="1">
      <c r="A1431" s="2" t="s">
        <v>3654</v>
      </c>
      <c r="B1431" s="2" t="s">
        <v>3655</v>
      </c>
      <c r="C1431" s="2" t="s">
        <v>34</v>
      </c>
      <c r="D1431" s="2" t="s">
        <v>35</v>
      </c>
      <c r="E1431" s="5">
        <v>-30363</v>
      </c>
      <c r="F1431" s="3" t="s">
        <v>570</v>
      </c>
      <c r="G1431" s="3" t="s">
        <v>942</v>
      </c>
      <c r="H1431" s="2" t="s">
        <v>21</v>
      </c>
      <c r="I1431" s="2" t="s">
        <v>3659</v>
      </c>
      <c r="J1431" s="3" t="str">
        <f>HYPERLINK("https://www.boe.es/gazeta/dias/1816/11/12/pdfs/GMD-1816-141.pdf#page=6","Abrir facsímil")</f>
        <v>Abrir facsímil</v>
      </c>
      <c r="K1431" s="3" t="s">
        <v>23</v>
      </c>
    </row>
    <row r="1432" spans="1:11" ht="42" customHeight="1">
      <c r="A1432" s="2" t="s">
        <v>3654</v>
      </c>
      <c r="B1432" s="2" t="s">
        <v>3655</v>
      </c>
      <c r="C1432" s="2" t="s">
        <v>34</v>
      </c>
      <c r="D1432" s="2" t="s">
        <v>35</v>
      </c>
      <c r="E1432" s="5">
        <v>-30356</v>
      </c>
      <c r="F1432" s="3" t="s">
        <v>824</v>
      </c>
      <c r="G1432" s="3" t="s">
        <v>28</v>
      </c>
      <c r="H1432" s="2" t="s">
        <v>21</v>
      </c>
      <c r="I1432" s="2" t="s">
        <v>3660</v>
      </c>
      <c r="J1432" s="3" t="str">
        <f>HYPERLINK("https://www.boe.es/gazeta/dias/1816/11/19/pdfs/GMD-1816-144.pdf#page=6","Abrir facsímil")</f>
        <v>Abrir facsímil</v>
      </c>
      <c r="K1432" s="3" t="s">
        <v>23</v>
      </c>
    </row>
    <row r="1433" spans="1:11" ht="42" customHeight="1">
      <c r="A1433" s="2" t="s">
        <v>3654</v>
      </c>
      <c r="B1433" s="2" t="s">
        <v>3655</v>
      </c>
      <c r="C1433" s="2" t="s">
        <v>34</v>
      </c>
      <c r="D1433" s="2" t="s">
        <v>35</v>
      </c>
      <c r="E1433" s="5">
        <v>-30338</v>
      </c>
      <c r="F1433" s="3" t="s">
        <v>464</v>
      </c>
      <c r="G1433" s="3" t="s">
        <v>72</v>
      </c>
      <c r="H1433" s="2" t="s">
        <v>21</v>
      </c>
      <c r="I1433" s="2" t="s">
        <v>3661</v>
      </c>
      <c r="J1433" s="3" t="str">
        <f>HYPERLINK("https://www.boe.es/gazeta/dias/1816/12/07/pdfs/GMD-1816-152.pdf#page=7","Abrir facsímil")</f>
        <v>Abrir facsímil</v>
      </c>
      <c r="K1433" s="3" t="s">
        <v>23</v>
      </c>
    </row>
    <row r="1434" spans="1:11" ht="42" customHeight="1">
      <c r="A1434" s="2" t="s">
        <v>3654</v>
      </c>
      <c r="B1434" s="2" t="s">
        <v>3655</v>
      </c>
      <c r="C1434" s="2" t="s">
        <v>34</v>
      </c>
      <c r="D1434" s="2" t="s">
        <v>35</v>
      </c>
      <c r="E1434" s="5">
        <v>-30328</v>
      </c>
      <c r="F1434" s="3" t="s">
        <v>573</v>
      </c>
      <c r="G1434" s="3" t="s">
        <v>28</v>
      </c>
      <c r="H1434" s="2" t="s">
        <v>21</v>
      </c>
      <c r="I1434" s="2" t="s">
        <v>3662</v>
      </c>
      <c r="J1434" s="3" t="str">
        <f>HYPERLINK("https://www.boe.es/gazeta/dias/1816/12/17/pdfs/GMD-1816-156.pdf#page=6","Abrir facsímil")</f>
        <v>Abrir facsímil</v>
      </c>
      <c r="K1434" s="3" t="s">
        <v>23</v>
      </c>
    </row>
    <row r="1435" spans="1:11" ht="42" customHeight="1">
      <c r="A1435" s="2" t="s">
        <v>3654</v>
      </c>
      <c r="B1435" s="2" t="s">
        <v>3655</v>
      </c>
      <c r="C1435" s="2" t="s">
        <v>34</v>
      </c>
      <c r="D1435" s="2" t="s">
        <v>35</v>
      </c>
      <c r="E1435" s="5">
        <v>-30319</v>
      </c>
      <c r="F1435" s="3" t="s">
        <v>131</v>
      </c>
      <c r="G1435" s="3" t="s">
        <v>132</v>
      </c>
      <c r="H1435" s="2" t="s">
        <v>21</v>
      </c>
      <c r="I1435" s="2" t="s">
        <v>3663</v>
      </c>
      <c r="J1435" s="3" t="str">
        <f>HYPERLINK("https://www.boe.es/gazeta/dias/1816/12/26/pdfs/GMD-1816-160.pdf#page=6","Abrir facsímil")</f>
        <v>Abrir facsímil</v>
      </c>
      <c r="K1435" s="3" t="s">
        <v>23</v>
      </c>
    </row>
    <row r="1436" spans="1:11" ht="42" customHeight="1">
      <c r="A1436" s="2" t="s">
        <v>3664</v>
      </c>
      <c r="B1436" s="2" t="s">
        <v>3665</v>
      </c>
      <c r="C1436" s="2" t="s">
        <v>41</v>
      </c>
      <c r="D1436" s="2" t="s">
        <v>18</v>
      </c>
      <c r="E1436" s="5">
        <v>-30359</v>
      </c>
      <c r="F1436" s="3" t="s">
        <v>812</v>
      </c>
      <c r="G1436" s="3" t="s">
        <v>28</v>
      </c>
      <c r="H1436" s="2" t="s">
        <v>21</v>
      </c>
      <c r="I1436" s="2" t="s">
        <v>3666</v>
      </c>
      <c r="J1436" s="3" t="str">
        <f>HYPERLINK("https://www.boe.es/gazeta/dias/1816/11/16/pdfs/GMD-1816-143.pdf#page=6","Abrir facsímil")</f>
        <v>Abrir facsímil</v>
      </c>
      <c r="K1436" s="3" t="s">
        <v>23</v>
      </c>
    </row>
    <row r="1437" spans="1:11" ht="42" customHeight="1">
      <c r="A1437" s="2" t="s">
        <v>3667</v>
      </c>
      <c r="B1437" s="2" t="s">
        <v>3667</v>
      </c>
      <c r="C1437" s="2" t="s">
        <v>26</v>
      </c>
      <c r="D1437" s="2" t="s">
        <v>18</v>
      </c>
      <c r="E1437" s="5">
        <v>-30573</v>
      </c>
      <c r="F1437" s="3" t="s">
        <v>840</v>
      </c>
      <c r="G1437" s="3" t="s">
        <v>270</v>
      </c>
      <c r="H1437" s="2" t="s">
        <v>21</v>
      </c>
      <c r="I1437" s="2" t="s">
        <v>3668</v>
      </c>
      <c r="J1437" s="3" t="str">
        <f>HYPERLINK("https://www.boe.es/gazeta/dias/1816/04/16/pdfs/GMD-1816-49.pdf#page=2","Abrir facsímil")</f>
        <v>Abrir facsímil</v>
      </c>
      <c r="K1437" s="3" t="s">
        <v>23</v>
      </c>
    </row>
    <row r="1438" spans="1:11" ht="42" customHeight="1">
      <c r="A1438" s="2" t="s">
        <v>3669</v>
      </c>
      <c r="B1438" s="2" t="s">
        <v>3669</v>
      </c>
      <c r="C1438" s="2" t="s">
        <v>34</v>
      </c>
      <c r="D1438" s="2" t="s">
        <v>35</v>
      </c>
      <c r="E1438" s="5">
        <v>-30342</v>
      </c>
      <c r="F1438" s="3" t="s">
        <v>116</v>
      </c>
      <c r="G1438" s="3" t="s">
        <v>184</v>
      </c>
      <c r="H1438" s="2" t="s">
        <v>21</v>
      </c>
      <c r="I1438" s="2" t="s">
        <v>3670</v>
      </c>
      <c r="J1438" s="3" t="str">
        <f>HYPERLINK("https://www.boe.es/gazeta/dias/1816/12/03/pdfs/GMD-1816-150.pdf#page=3","Abrir facsímil")</f>
        <v>Abrir facsímil</v>
      </c>
      <c r="K1438" s="3" t="s">
        <v>23</v>
      </c>
    </row>
    <row r="1439" spans="1:11" ht="42" customHeight="1">
      <c r="A1439" s="2" t="s">
        <v>3671</v>
      </c>
      <c r="B1439" s="2" t="s">
        <v>3672</v>
      </c>
      <c r="C1439" s="2" t="s">
        <v>26</v>
      </c>
      <c r="D1439" s="2" t="s">
        <v>18</v>
      </c>
      <c r="E1439" s="5">
        <v>-30445</v>
      </c>
      <c r="F1439" s="3" t="s">
        <v>51</v>
      </c>
      <c r="G1439" s="3" t="s">
        <v>47</v>
      </c>
      <c r="H1439" s="2" t="s">
        <v>21</v>
      </c>
      <c r="I1439" s="2" t="s">
        <v>3673</v>
      </c>
      <c r="J1439" s="3" t="str">
        <f>HYPERLINK("https://www.boe.es/gazeta/dias/1816/08/22/pdfs/GMD-1816-104.pdf#page=5","Abrir facsímil")</f>
        <v>Abrir facsímil</v>
      </c>
      <c r="K1439" s="3" t="s">
        <v>23</v>
      </c>
    </row>
    <row r="1440" spans="1:11" ht="42" customHeight="1">
      <c r="A1440" s="2" t="s">
        <v>3671</v>
      </c>
      <c r="B1440" s="2" t="s">
        <v>3672</v>
      </c>
      <c r="C1440" s="2" t="s">
        <v>26</v>
      </c>
      <c r="D1440" s="2" t="s">
        <v>18</v>
      </c>
      <c r="E1440" s="5">
        <v>-30354</v>
      </c>
      <c r="F1440" s="3" t="s">
        <v>68</v>
      </c>
      <c r="G1440" s="3" t="s">
        <v>42</v>
      </c>
      <c r="H1440" s="2" t="s">
        <v>21</v>
      </c>
      <c r="I1440" s="2" t="s">
        <v>3674</v>
      </c>
      <c r="J1440" s="3" t="str">
        <f>HYPERLINK("https://www.boe.es/gazeta/dias/1816/11/21/pdfs/GMD-1816-145.pdf#page=8","Abrir facsímil")</f>
        <v>Abrir facsímil</v>
      </c>
      <c r="K1440" s="3" t="s">
        <v>23</v>
      </c>
    </row>
    <row r="1441" spans="1:11" ht="42" customHeight="1">
      <c r="A1441" s="2" t="s">
        <v>3675</v>
      </c>
      <c r="B1441" s="2" t="s">
        <v>3676</v>
      </c>
      <c r="C1441" s="2" t="s">
        <v>26</v>
      </c>
      <c r="D1441" s="2" t="s">
        <v>18</v>
      </c>
      <c r="E1441" s="5">
        <v>-30445</v>
      </c>
      <c r="F1441" s="3" t="s">
        <v>51</v>
      </c>
      <c r="G1441" s="3" t="s">
        <v>47</v>
      </c>
      <c r="H1441" s="2" t="s">
        <v>21</v>
      </c>
      <c r="I1441" s="2" t="s">
        <v>3677</v>
      </c>
      <c r="J1441" s="3" t="str">
        <f>HYPERLINK("https://www.boe.es/gazeta/dias/1816/08/22/pdfs/GMD-1816-104.pdf#page=5","Abrir facsímil")</f>
        <v>Abrir facsímil</v>
      </c>
      <c r="K1441" s="3" t="s">
        <v>23</v>
      </c>
    </row>
    <row r="1442" spans="1:11" ht="42" customHeight="1">
      <c r="A1442" s="2" t="s">
        <v>3678</v>
      </c>
      <c r="B1442" s="2" t="s">
        <v>3679</v>
      </c>
      <c r="C1442" s="2" t="s">
        <v>26</v>
      </c>
      <c r="D1442" s="2" t="s">
        <v>18</v>
      </c>
      <c r="E1442" s="5">
        <v>-30354</v>
      </c>
      <c r="F1442" s="3" t="s">
        <v>68</v>
      </c>
      <c r="G1442" s="3" t="s">
        <v>42</v>
      </c>
      <c r="H1442" s="2" t="s">
        <v>21</v>
      </c>
      <c r="I1442" s="2" t="s">
        <v>3680</v>
      </c>
      <c r="J1442" s="3" t="str">
        <f>HYPERLINK("https://www.boe.es/gazeta/dias/1816/11/21/pdfs/GMD-1816-145.pdf#page=8","Abrir facsímil")</f>
        <v>Abrir facsímil</v>
      </c>
      <c r="K1442" s="3" t="s">
        <v>23</v>
      </c>
    </row>
    <row r="1443" spans="1:11" ht="42" customHeight="1">
      <c r="A1443" s="2" t="s">
        <v>3681</v>
      </c>
      <c r="B1443" s="2" t="s">
        <v>3682</v>
      </c>
      <c r="C1443" s="2" t="s">
        <v>26</v>
      </c>
      <c r="D1443" s="2" t="s">
        <v>18</v>
      </c>
      <c r="E1443" s="5">
        <v>-30492</v>
      </c>
      <c r="F1443" s="3" t="s">
        <v>248</v>
      </c>
      <c r="G1443" s="3" t="s">
        <v>92</v>
      </c>
      <c r="H1443" s="2" t="s">
        <v>21</v>
      </c>
      <c r="I1443" s="2" t="s">
        <v>3683</v>
      </c>
      <c r="J1443" s="3" t="str">
        <f>HYPERLINK("https://www.boe.es/gazeta/dias/1816/07/06/pdfs/GMD-1816-84.pdf#page=9","Abrir facsímil")</f>
        <v>Abrir facsímil</v>
      </c>
      <c r="K1443" s="3" t="s">
        <v>23</v>
      </c>
    </row>
    <row r="1444" spans="1:11" ht="42" customHeight="1">
      <c r="A1444" s="2" t="s">
        <v>3684</v>
      </c>
      <c r="B1444" s="2" t="s">
        <v>3685</v>
      </c>
      <c r="C1444" s="2" t="s">
        <v>111</v>
      </c>
      <c r="D1444" s="2" t="s">
        <v>112</v>
      </c>
      <c r="E1444" s="5">
        <v>-30345</v>
      </c>
      <c r="F1444" s="3" t="s">
        <v>1382</v>
      </c>
      <c r="G1444" s="3" t="s">
        <v>42</v>
      </c>
      <c r="H1444" s="2" t="s">
        <v>21</v>
      </c>
      <c r="I1444" s="2" t="s">
        <v>3686</v>
      </c>
      <c r="J1444" s="3" t="str">
        <f>HYPERLINK("https://www.boe.es/gazeta/dias/1816/11/30/pdfs/GMD-1816-149.pdf#page=8","Abrir facsímil")</f>
        <v>Abrir facsímil</v>
      </c>
      <c r="K1444" s="3" t="s">
        <v>23</v>
      </c>
    </row>
    <row r="1445" spans="1:11" ht="42" customHeight="1">
      <c r="A1445" s="2" t="s">
        <v>3687</v>
      </c>
      <c r="B1445" s="2" t="s">
        <v>3688</v>
      </c>
      <c r="C1445" s="2" t="s">
        <v>17</v>
      </c>
      <c r="D1445" s="2" t="s">
        <v>18</v>
      </c>
      <c r="E1445" s="5">
        <v>-30412</v>
      </c>
      <c r="F1445" s="3" t="s">
        <v>388</v>
      </c>
      <c r="G1445" s="3" t="s">
        <v>42</v>
      </c>
      <c r="H1445" s="2" t="s">
        <v>21</v>
      </c>
      <c r="I1445" s="2" t="s">
        <v>3689</v>
      </c>
      <c r="J1445" s="3" t="str">
        <f>HYPERLINK("https://www.boe.es/gazeta/dias/1816/09/24/pdfs/GMD-1816-118.pdf#page=8","Abrir facsímil")</f>
        <v>Abrir facsímil</v>
      </c>
      <c r="K1445" s="3" t="s">
        <v>23</v>
      </c>
    </row>
    <row r="1446" spans="1:11" ht="42" customHeight="1">
      <c r="A1446" s="2" t="s">
        <v>3690</v>
      </c>
      <c r="B1446" s="2" t="s">
        <v>3691</v>
      </c>
      <c r="C1446" s="2" t="s">
        <v>34</v>
      </c>
      <c r="D1446" s="2" t="s">
        <v>35</v>
      </c>
      <c r="E1446" s="5">
        <v>-30375</v>
      </c>
      <c r="F1446" s="3" t="s">
        <v>404</v>
      </c>
      <c r="G1446" s="3" t="s">
        <v>1276</v>
      </c>
      <c r="H1446" s="2" t="s">
        <v>21</v>
      </c>
      <c r="I1446" s="2" t="s">
        <v>3692</v>
      </c>
      <c r="J1446" s="3" t="str">
        <f>HYPERLINK("https://www.boe.es/gazeta/dias/1816/10/31/pdfs/GMD-1816-136.pdf#page=5","Abrir facsímil")</f>
        <v>Abrir facsímil</v>
      </c>
      <c r="K1446" s="3" t="s">
        <v>23</v>
      </c>
    </row>
    <row r="1447" spans="1:11" ht="42" customHeight="1">
      <c r="A1447" s="2" t="s">
        <v>3693</v>
      </c>
      <c r="B1447" s="2" t="s">
        <v>3694</v>
      </c>
      <c r="C1447" s="2" t="s">
        <v>111</v>
      </c>
      <c r="D1447" s="2" t="s">
        <v>112</v>
      </c>
      <c r="E1447" s="5">
        <v>-30394</v>
      </c>
      <c r="F1447" s="3" t="s">
        <v>589</v>
      </c>
      <c r="G1447" s="3" t="s">
        <v>28</v>
      </c>
      <c r="H1447" s="2" t="s">
        <v>21</v>
      </c>
      <c r="I1447" s="2" t="s">
        <v>3695</v>
      </c>
      <c r="J1447" s="3" t="str">
        <f>HYPERLINK("https://www.boe.es/gazeta/dias/1816/10/12/pdfs/GMD-1816-127.pdf#page=6","Abrir facsímil")</f>
        <v>Abrir facsímil</v>
      </c>
      <c r="K1447" s="3" t="s">
        <v>23</v>
      </c>
    </row>
    <row r="1448" spans="1:11" ht="42" customHeight="1">
      <c r="A1448" s="2" t="s">
        <v>3696</v>
      </c>
      <c r="B1448" s="2" t="s">
        <v>3697</v>
      </c>
      <c r="C1448" s="2" t="s">
        <v>67</v>
      </c>
      <c r="D1448" s="2" t="s">
        <v>18</v>
      </c>
      <c r="E1448" s="5">
        <v>-30363</v>
      </c>
      <c r="F1448" s="3" t="s">
        <v>570</v>
      </c>
      <c r="G1448" s="3" t="s">
        <v>942</v>
      </c>
      <c r="H1448" s="2" t="s">
        <v>21</v>
      </c>
      <c r="I1448" s="2" t="s">
        <v>3698</v>
      </c>
      <c r="J1448" s="3" t="str">
        <f>HYPERLINK("https://www.boe.es/gazeta/dias/1816/11/12/pdfs/GMD-1816-141.pdf#page=6","Abrir facsímil")</f>
        <v>Abrir facsímil</v>
      </c>
      <c r="K1448" s="3" t="s">
        <v>23</v>
      </c>
    </row>
    <row r="1449" spans="1:11" ht="42" customHeight="1">
      <c r="A1449" s="2" t="s">
        <v>3699</v>
      </c>
      <c r="B1449" s="2" t="s">
        <v>3700</v>
      </c>
      <c r="C1449" s="2" t="s">
        <v>111</v>
      </c>
      <c r="D1449" s="2" t="s">
        <v>112</v>
      </c>
      <c r="E1449" s="5">
        <v>-30394</v>
      </c>
      <c r="F1449" s="3" t="s">
        <v>589</v>
      </c>
      <c r="G1449" s="3" t="s">
        <v>28</v>
      </c>
      <c r="H1449" s="2" t="s">
        <v>21</v>
      </c>
      <c r="I1449" s="2" t="s">
        <v>3701</v>
      </c>
      <c r="J1449" s="3" t="str">
        <f>HYPERLINK("https://www.boe.es/gazeta/dias/1816/10/12/pdfs/GMD-1816-127.pdf#page=6","Abrir facsímil")</f>
        <v>Abrir facsímil</v>
      </c>
      <c r="K1449" s="3" t="s">
        <v>23</v>
      </c>
    </row>
    <row r="1450" spans="1:11" ht="42" customHeight="1">
      <c r="A1450" s="2" t="s">
        <v>3702</v>
      </c>
      <c r="B1450" s="2" t="s">
        <v>3703</v>
      </c>
      <c r="C1450" s="2" t="s">
        <v>111</v>
      </c>
      <c r="D1450" s="2" t="s">
        <v>112</v>
      </c>
      <c r="E1450" s="5">
        <v>-30517</v>
      </c>
      <c r="F1450" s="3" t="s">
        <v>557</v>
      </c>
      <c r="G1450" s="3" t="s">
        <v>103</v>
      </c>
      <c r="H1450" s="2" t="s">
        <v>21</v>
      </c>
      <c r="I1450" s="2" t="s">
        <v>3704</v>
      </c>
      <c r="J1450" s="3" t="str">
        <f>HYPERLINK("https://www.boe.es/gazeta/dias/1816/06/11/pdfs/GMD-1816-73.pdf#page=4","Abrir facsímil")</f>
        <v>Abrir facsímil</v>
      </c>
      <c r="K1450" s="3" t="s">
        <v>23</v>
      </c>
    </row>
    <row r="1451" spans="1:11" ht="42" customHeight="1">
      <c r="A1451" s="2" t="s">
        <v>3705</v>
      </c>
      <c r="B1451" s="2" t="s">
        <v>3706</v>
      </c>
      <c r="C1451" s="2" t="s">
        <v>34</v>
      </c>
      <c r="D1451" s="2" t="s">
        <v>35</v>
      </c>
      <c r="E1451" s="5">
        <v>-30599</v>
      </c>
      <c r="F1451" s="3" t="s">
        <v>552</v>
      </c>
      <c r="G1451" s="3" t="s">
        <v>103</v>
      </c>
      <c r="H1451" s="2" t="s">
        <v>21</v>
      </c>
      <c r="I1451" s="2" t="s">
        <v>3707</v>
      </c>
      <c r="J1451" s="3" t="str">
        <f>HYPERLINK("https://www.boe.es/gazeta/dias/1816/03/21/pdfs/GMD-1816-38.pdf#page=4","Abrir facsímil")</f>
        <v>Abrir facsímil</v>
      </c>
      <c r="K1451" s="3" t="s">
        <v>23</v>
      </c>
    </row>
    <row r="1452" spans="1:11" ht="42" customHeight="1">
      <c r="A1452" s="2" t="s">
        <v>3705</v>
      </c>
      <c r="B1452" s="2" t="s">
        <v>3706</v>
      </c>
      <c r="C1452" s="2" t="s">
        <v>34</v>
      </c>
      <c r="D1452" s="2" t="s">
        <v>35</v>
      </c>
      <c r="E1452" s="5">
        <v>-30594</v>
      </c>
      <c r="F1452" s="3" t="s">
        <v>234</v>
      </c>
      <c r="G1452" s="3" t="s">
        <v>42</v>
      </c>
      <c r="H1452" s="2" t="s">
        <v>21</v>
      </c>
      <c r="I1452" s="2" t="s">
        <v>3708</v>
      </c>
      <c r="J1452" s="3" t="str">
        <f>HYPERLINK("https://www.boe.es/gazeta/dias/1816/03/26/pdfs/GMD-1816-40.pdf#page=8","Abrir facsímil")</f>
        <v>Abrir facsímil</v>
      </c>
      <c r="K1452" s="3" t="s">
        <v>23</v>
      </c>
    </row>
    <row r="1453" spans="1:11" ht="42" customHeight="1">
      <c r="A1453" s="2" t="s">
        <v>3705</v>
      </c>
      <c r="B1453" s="2" t="s">
        <v>3706</v>
      </c>
      <c r="C1453" s="2" t="s">
        <v>34</v>
      </c>
      <c r="D1453" s="2" t="s">
        <v>35</v>
      </c>
      <c r="E1453" s="5">
        <v>-30580</v>
      </c>
      <c r="F1453" s="3" t="s">
        <v>107</v>
      </c>
      <c r="G1453" s="3" t="s">
        <v>28</v>
      </c>
      <c r="H1453" s="2" t="s">
        <v>21</v>
      </c>
      <c r="I1453" s="2" t="s">
        <v>3709</v>
      </c>
      <c r="J1453" s="3" t="str">
        <f>HYPERLINK("https://www.boe.es/gazeta/dias/1816/04/09/pdfs/GMD-1816-46.pdf#page=6","Abrir facsímil")</f>
        <v>Abrir facsímil</v>
      </c>
      <c r="K1453" s="3" t="s">
        <v>23</v>
      </c>
    </row>
    <row r="1454" spans="1:11" ht="42" customHeight="1">
      <c r="A1454" s="2" t="s">
        <v>3710</v>
      </c>
      <c r="B1454" s="2" t="s">
        <v>3710</v>
      </c>
      <c r="C1454" s="2" t="s">
        <v>81</v>
      </c>
      <c r="D1454" s="2" t="s">
        <v>18</v>
      </c>
      <c r="E1454" s="5">
        <v>-30594</v>
      </c>
      <c r="F1454" s="3" t="s">
        <v>234</v>
      </c>
      <c r="G1454" s="3" t="s">
        <v>52</v>
      </c>
      <c r="H1454" s="2" t="s">
        <v>21</v>
      </c>
      <c r="I1454" s="2" t="s">
        <v>3711</v>
      </c>
      <c r="J1454" s="3" t="str">
        <f>HYPERLINK("https://www.boe.es/gazeta/dias/1816/03/26/pdfs/GMD-1816-40.pdf#page=12","Abrir facsímil")</f>
        <v>Abrir facsímil</v>
      </c>
      <c r="K1454" s="3" t="s">
        <v>23</v>
      </c>
    </row>
    <row r="1455" spans="1:11" ht="42" customHeight="1">
      <c r="A1455" s="2" t="s">
        <v>3710</v>
      </c>
      <c r="B1455" s="2" t="s">
        <v>3710</v>
      </c>
      <c r="C1455" s="2" t="s">
        <v>26</v>
      </c>
      <c r="D1455" s="2" t="s">
        <v>18</v>
      </c>
      <c r="E1455" s="5">
        <v>-30436</v>
      </c>
      <c r="F1455" s="3" t="s">
        <v>102</v>
      </c>
      <c r="G1455" s="3" t="s">
        <v>52</v>
      </c>
      <c r="H1455" s="2" t="s">
        <v>21</v>
      </c>
      <c r="I1455" s="2" t="s">
        <v>3712</v>
      </c>
      <c r="J1455" s="3" t="str">
        <f>HYPERLINK("https://www.boe.es/gazeta/dias/1816/08/31/pdfs/GMD-1816-108.pdf#page=12","Abrir facsímil")</f>
        <v>Abrir facsímil</v>
      </c>
      <c r="K1455" s="3" t="s">
        <v>23</v>
      </c>
    </row>
    <row r="1456" spans="1:11" ht="42" customHeight="1">
      <c r="A1456" s="2" t="s">
        <v>3713</v>
      </c>
      <c r="B1456" s="2" t="s">
        <v>3713</v>
      </c>
      <c r="C1456" s="2" t="s">
        <v>387</v>
      </c>
      <c r="D1456" s="2" t="s">
        <v>18</v>
      </c>
      <c r="E1456" s="5">
        <v>-30646</v>
      </c>
      <c r="F1456" s="3" t="s">
        <v>615</v>
      </c>
      <c r="G1456" s="3" t="s">
        <v>28</v>
      </c>
      <c r="H1456" s="2" t="s">
        <v>21</v>
      </c>
      <c r="I1456" s="2" t="s">
        <v>3714</v>
      </c>
      <c r="J1456" s="3" t="str">
        <f>HYPERLINK("https://www.boe.es/gazeta/dias/1816/02/03/pdfs/GMD-1816-16.pdf#page=6","Abrir facsímil")</f>
        <v>Abrir facsímil</v>
      </c>
      <c r="K1456" s="3" t="s">
        <v>23</v>
      </c>
    </row>
    <row r="1457" spans="1:11" ht="42" customHeight="1">
      <c r="A1457" s="2" t="s">
        <v>3715</v>
      </c>
      <c r="B1457" s="2" t="s">
        <v>3716</v>
      </c>
      <c r="C1457" s="2" t="s">
        <v>34</v>
      </c>
      <c r="D1457" s="2" t="s">
        <v>35</v>
      </c>
      <c r="E1457" s="5">
        <v>-30641</v>
      </c>
      <c r="F1457" s="3" t="s">
        <v>192</v>
      </c>
      <c r="G1457" s="3" t="s">
        <v>42</v>
      </c>
      <c r="H1457" s="2" t="s">
        <v>21</v>
      </c>
      <c r="I1457" s="2" t="s">
        <v>3717</v>
      </c>
      <c r="J1457" s="3" t="str">
        <f>HYPERLINK("https://www.boe.es/gazeta/dias/1816/02/08/pdfs/GMD-1816-18.pdf#page=8","Abrir facsímil")</f>
        <v>Abrir facsímil</v>
      </c>
      <c r="K1457" s="3" t="s">
        <v>23</v>
      </c>
    </row>
    <row r="1458" spans="1:11" ht="42" customHeight="1">
      <c r="A1458" s="2" t="s">
        <v>3718</v>
      </c>
      <c r="B1458" s="2" t="s">
        <v>3719</v>
      </c>
      <c r="C1458" s="2" t="s">
        <v>26</v>
      </c>
      <c r="D1458" s="2" t="s">
        <v>18</v>
      </c>
      <c r="E1458" s="5">
        <v>-30377</v>
      </c>
      <c r="F1458" s="3" t="s">
        <v>138</v>
      </c>
      <c r="G1458" s="3" t="s">
        <v>103</v>
      </c>
      <c r="H1458" s="2" t="s">
        <v>21</v>
      </c>
      <c r="I1458" s="2" t="s">
        <v>3720</v>
      </c>
      <c r="J1458" s="3" t="str">
        <f>HYPERLINK("https://www.boe.es/gazeta/dias/1816/10/29/pdfs/GMD-1816-135.pdf#page=4","Abrir facsímil")</f>
        <v>Abrir facsímil</v>
      </c>
      <c r="K1458" s="3" t="s">
        <v>23</v>
      </c>
    </row>
    <row r="1459" spans="1:11" ht="42" customHeight="1">
      <c r="A1459" s="2" t="s">
        <v>3721</v>
      </c>
      <c r="B1459" s="2" t="s">
        <v>3722</v>
      </c>
      <c r="C1459" s="2" t="s">
        <v>34</v>
      </c>
      <c r="D1459" s="2" t="s">
        <v>35</v>
      </c>
      <c r="E1459" s="5">
        <v>-30573</v>
      </c>
      <c r="F1459" s="3" t="s">
        <v>840</v>
      </c>
      <c r="G1459" s="3" t="s">
        <v>47</v>
      </c>
      <c r="H1459" s="2" t="s">
        <v>21</v>
      </c>
      <c r="I1459" s="2" t="s">
        <v>3723</v>
      </c>
      <c r="J1459" s="3" t="str">
        <f>HYPERLINK("https://www.boe.es/gazeta/dias/1816/04/16/pdfs/GMD-1816-49.pdf#page=5","Abrir facsímil")</f>
        <v>Abrir facsímil</v>
      </c>
      <c r="K1459" s="3" t="s">
        <v>23</v>
      </c>
    </row>
    <row r="1460" spans="1:11" ht="42" customHeight="1">
      <c r="A1460" s="2" t="s">
        <v>3724</v>
      </c>
      <c r="B1460" s="2" t="s">
        <v>3725</v>
      </c>
      <c r="C1460" s="2" t="s">
        <v>111</v>
      </c>
      <c r="D1460" s="2" t="s">
        <v>112</v>
      </c>
      <c r="E1460" s="5">
        <v>-30387</v>
      </c>
      <c r="F1460" s="3" t="s">
        <v>224</v>
      </c>
      <c r="G1460" s="3" t="s">
        <v>184</v>
      </c>
      <c r="H1460" s="2" t="s">
        <v>21</v>
      </c>
      <c r="I1460" s="2" t="s">
        <v>3726</v>
      </c>
      <c r="J1460" s="3" t="str">
        <f>HYPERLINK("https://www.boe.es/gazeta/dias/1816/10/19/pdfs/GMD-1816-131.pdf#page=3","Abrir facsímil")</f>
        <v>Abrir facsímil</v>
      </c>
      <c r="K1460" s="3" t="s">
        <v>23</v>
      </c>
    </row>
    <row r="1461" spans="1:11" ht="42" customHeight="1">
      <c r="A1461" s="2" t="s">
        <v>3727</v>
      </c>
      <c r="B1461" s="2" t="s">
        <v>3727</v>
      </c>
      <c r="C1461" s="2" t="s">
        <v>17</v>
      </c>
      <c r="D1461" s="2" t="s">
        <v>18</v>
      </c>
      <c r="E1461" s="5">
        <v>-30534</v>
      </c>
      <c r="F1461" s="3" t="s">
        <v>274</v>
      </c>
      <c r="G1461" s="3" t="s">
        <v>72</v>
      </c>
      <c r="H1461" s="2" t="s">
        <v>21</v>
      </c>
      <c r="I1461" s="2" t="s">
        <v>3728</v>
      </c>
      <c r="J1461" s="3" t="str">
        <f>HYPERLINK("https://www.boe.es/gazeta/dias/1816/05/25/pdfs/GMD-1816-66.pdf#page=7","Abrir facsímil")</f>
        <v>Abrir facsímil</v>
      </c>
      <c r="K1461" s="3" t="s">
        <v>23</v>
      </c>
    </row>
    <row r="1462" spans="1:11" ht="42" customHeight="1">
      <c r="A1462" s="2" t="s">
        <v>3727</v>
      </c>
      <c r="B1462" s="2" t="s">
        <v>3727</v>
      </c>
      <c r="C1462" s="2" t="s">
        <v>34</v>
      </c>
      <c r="D1462" s="2" t="s">
        <v>35</v>
      </c>
      <c r="E1462" s="5">
        <v>-30527</v>
      </c>
      <c r="F1462" s="3" t="s">
        <v>304</v>
      </c>
      <c r="G1462" s="3" t="s">
        <v>103</v>
      </c>
      <c r="H1462" s="2" t="s">
        <v>21</v>
      </c>
      <c r="I1462" s="2" t="s">
        <v>3729</v>
      </c>
      <c r="J1462" s="3" t="str">
        <f>HYPERLINK("https://www.boe.es/gazeta/dias/1816/06/01/pdfs/GMD-1816-69.pdf#page=4","Abrir facsímil")</f>
        <v>Abrir facsímil</v>
      </c>
      <c r="K1462" s="3" t="s">
        <v>23</v>
      </c>
    </row>
    <row r="1463" spans="1:11" ht="42" customHeight="1">
      <c r="A1463" s="2" t="s">
        <v>3730</v>
      </c>
      <c r="B1463" s="2" t="s">
        <v>3730</v>
      </c>
      <c r="C1463" s="2" t="s">
        <v>111</v>
      </c>
      <c r="D1463" s="2" t="s">
        <v>112</v>
      </c>
      <c r="E1463" s="5">
        <v>-30368</v>
      </c>
      <c r="F1463" s="3" t="s">
        <v>531</v>
      </c>
      <c r="G1463" s="3" t="s">
        <v>72</v>
      </c>
      <c r="H1463" s="2" t="s">
        <v>21</v>
      </c>
      <c r="I1463" s="2" t="s">
        <v>3731</v>
      </c>
      <c r="J1463" s="3" t="str">
        <f>HYPERLINK("https://www.boe.es/gazeta/dias/1816/11/07/pdfs/GMD-1816-139.pdf#page=7","Abrir facsímil")</f>
        <v>Abrir facsímil</v>
      </c>
      <c r="K1463" s="3" t="s">
        <v>23</v>
      </c>
    </row>
    <row r="1464" spans="1:11" ht="42" customHeight="1">
      <c r="A1464" s="2" t="s">
        <v>3732</v>
      </c>
      <c r="B1464" s="2" t="s">
        <v>3732</v>
      </c>
      <c r="C1464" s="2" t="s">
        <v>34</v>
      </c>
      <c r="D1464" s="2" t="s">
        <v>35</v>
      </c>
      <c r="E1464" s="5">
        <v>-30424</v>
      </c>
      <c r="F1464" s="3" t="s">
        <v>142</v>
      </c>
      <c r="G1464" s="3" t="s">
        <v>184</v>
      </c>
      <c r="H1464" s="2" t="s">
        <v>21</v>
      </c>
      <c r="I1464" s="2" t="s">
        <v>3733</v>
      </c>
      <c r="J1464" s="3" t="str">
        <f>HYPERLINK("https://www.boe.es/gazeta/dias/1816/09/12/pdfs/GMD-1816-113.pdf#page=3","Abrir facsímil")</f>
        <v>Abrir facsímil</v>
      </c>
      <c r="K1464" s="3" t="s">
        <v>23</v>
      </c>
    </row>
    <row r="1465" spans="1:11" ht="42" customHeight="1">
      <c r="A1465" s="2" t="s">
        <v>3734</v>
      </c>
      <c r="B1465" s="2" t="s">
        <v>3735</v>
      </c>
      <c r="C1465" s="2" t="s">
        <v>41</v>
      </c>
      <c r="D1465" s="2" t="s">
        <v>18</v>
      </c>
      <c r="E1465" s="5">
        <v>-30527</v>
      </c>
      <c r="F1465" s="3" t="s">
        <v>304</v>
      </c>
      <c r="G1465" s="3" t="s">
        <v>103</v>
      </c>
      <c r="H1465" s="2" t="s">
        <v>29</v>
      </c>
      <c r="I1465" s="2" t="s">
        <v>3736</v>
      </c>
      <c r="J1465" s="3" t="str">
        <f>HYPERLINK("https://www.boe.es/gazeta/dias/1816/06/01/pdfs/GMD-1816-69.pdf#page=4","Abrir facsímil")</f>
        <v>Abrir facsímil</v>
      </c>
      <c r="K1465" s="3" t="s">
        <v>31</v>
      </c>
    </row>
    <row r="1466" spans="1:11" ht="42" customHeight="1">
      <c r="A1466" s="2" t="s">
        <v>3737</v>
      </c>
      <c r="B1466" s="2" t="s">
        <v>3738</v>
      </c>
      <c r="C1466" s="2" t="s">
        <v>34</v>
      </c>
      <c r="D1466" s="2" t="s">
        <v>35</v>
      </c>
      <c r="E1466" s="5">
        <v>-30440</v>
      </c>
      <c r="F1466" s="3" t="s">
        <v>564</v>
      </c>
      <c r="G1466" s="3" t="s">
        <v>565</v>
      </c>
      <c r="H1466" s="2" t="s">
        <v>21</v>
      </c>
      <c r="I1466" s="2" t="s">
        <v>3739</v>
      </c>
      <c r="J1466" s="3" t="str">
        <f>HYPERLINK("https://www.boe.es/gazeta/dias/1816/08/27/pdfs/GMD-1816-106.pdf#page=7","Abrir facsímil")</f>
        <v>Abrir facsímil</v>
      </c>
      <c r="K1466" s="3" t="s">
        <v>23</v>
      </c>
    </row>
    <row r="1467" spans="1:11" ht="42" customHeight="1">
      <c r="A1467" s="2" t="s">
        <v>3740</v>
      </c>
      <c r="B1467" s="2" t="s">
        <v>3740</v>
      </c>
      <c r="C1467" s="2" t="s">
        <v>67</v>
      </c>
      <c r="D1467" s="2" t="s">
        <v>18</v>
      </c>
      <c r="E1467" s="5">
        <v>-30660</v>
      </c>
      <c r="F1467" s="3" t="s">
        <v>809</v>
      </c>
      <c r="G1467" s="3" t="s">
        <v>810</v>
      </c>
      <c r="H1467" s="2" t="s">
        <v>21</v>
      </c>
      <c r="I1467" s="2" t="s">
        <v>3741</v>
      </c>
      <c r="J1467" s="3" t="str">
        <f>HYPERLINK("https://www.boe.es/gazeta/dias/1816/01/20/pdfs/GMD-1816-9.pdf#page=8","Abrir facsímil")</f>
        <v>Abrir facsímil</v>
      </c>
      <c r="K1467" s="3" t="s">
        <v>23</v>
      </c>
    </row>
    <row r="1468" spans="1:11" ht="42" customHeight="1">
      <c r="A1468" s="2" t="s">
        <v>3740</v>
      </c>
      <c r="B1468" s="2" t="s">
        <v>3740</v>
      </c>
      <c r="C1468" s="2" t="s">
        <v>111</v>
      </c>
      <c r="D1468" s="2" t="s">
        <v>112</v>
      </c>
      <c r="E1468" s="5">
        <v>-30529</v>
      </c>
      <c r="F1468" s="3" t="s">
        <v>432</v>
      </c>
      <c r="G1468" s="3" t="s">
        <v>72</v>
      </c>
      <c r="H1468" s="2" t="s">
        <v>21</v>
      </c>
      <c r="I1468" s="2" t="s">
        <v>3742</v>
      </c>
      <c r="J1468" s="3" t="str">
        <f>HYPERLINK("https://www.boe.es/gazeta/dias/1816/05/30/pdfs/GMD-1816-68.pdf#page=7","Abrir facsímil")</f>
        <v>Abrir facsímil</v>
      </c>
      <c r="K1468" s="3" t="s">
        <v>23</v>
      </c>
    </row>
    <row r="1469" spans="1:11" ht="42" customHeight="1">
      <c r="A1469" s="2" t="s">
        <v>3743</v>
      </c>
      <c r="B1469" s="2" t="s">
        <v>3744</v>
      </c>
      <c r="C1469" s="2" t="s">
        <v>26</v>
      </c>
      <c r="D1469" s="2" t="s">
        <v>18</v>
      </c>
      <c r="E1469" s="5">
        <v>-30366</v>
      </c>
      <c r="F1469" s="3" t="s">
        <v>179</v>
      </c>
      <c r="G1469" s="3" t="s">
        <v>47</v>
      </c>
      <c r="H1469" s="2" t="s">
        <v>21</v>
      </c>
      <c r="I1469" s="2" t="s">
        <v>3745</v>
      </c>
      <c r="J1469" s="3" t="str">
        <f>HYPERLINK("https://www.boe.es/gazeta/dias/1816/11/09/pdfs/GMD-1816-140.pdf#page=5","Abrir facsímil")</f>
        <v>Abrir facsímil</v>
      </c>
      <c r="K1469" s="3" t="s">
        <v>23</v>
      </c>
    </row>
    <row r="1470" spans="1:11" ht="42" customHeight="1">
      <c r="A1470" s="2" t="s">
        <v>3746</v>
      </c>
      <c r="B1470" s="2" t="s">
        <v>3747</v>
      </c>
      <c r="C1470" s="2" t="s">
        <v>111</v>
      </c>
      <c r="D1470" s="2" t="s">
        <v>112</v>
      </c>
      <c r="E1470" s="5">
        <v>-30424</v>
      </c>
      <c r="F1470" s="3" t="s">
        <v>142</v>
      </c>
      <c r="G1470" s="3" t="s">
        <v>28</v>
      </c>
      <c r="H1470" s="2" t="s">
        <v>21</v>
      </c>
      <c r="I1470" s="2" t="s">
        <v>3748</v>
      </c>
      <c r="J1470" s="3" t="str">
        <f>HYPERLINK("https://www.boe.es/gazeta/dias/1816/09/12/pdfs/GMD-1816-113.pdf#page=6","Abrir facsímil")</f>
        <v>Abrir facsímil</v>
      </c>
      <c r="K1470" s="3" t="s">
        <v>23</v>
      </c>
    </row>
    <row r="1471" spans="1:11" ht="42" customHeight="1">
      <c r="A1471" s="2" t="s">
        <v>3749</v>
      </c>
      <c r="B1471" s="2" t="s">
        <v>3749</v>
      </c>
      <c r="C1471" s="2" t="s">
        <v>34</v>
      </c>
      <c r="D1471" s="2" t="s">
        <v>35</v>
      </c>
      <c r="E1471" s="5">
        <v>-30527</v>
      </c>
      <c r="F1471" s="3" t="s">
        <v>304</v>
      </c>
      <c r="G1471" s="3" t="s">
        <v>184</v>
      </c>
      <c r="H1471" s="2" t="s">
        <v>21</v>
      </c>
      <c r="I1471" s="2" t="s">
        <v>3750</v>
      </c>
      <c r="J1471" s="3" t="str">
        <f>HYPERLINK("https://www.boe.es/gazeta/dias/1816/06/01/pdfs/GMD-1816-69.pdf#page=3","Abrir facsímil")</f>
        <v>Abrir facsímil</v>
      </c>
      <c r="K1471" s="3" t="s">
        <v>23</v>
      </c>
    </row>
    <row r="1472" spans="1:11" ht="42" customHeight="1">
      <c r="A1472" s="2" t="s">
        <v>3749</v>
      </c>
      <c r="B1472" s="2" t="s">
        <v>3749</v>
      </c>
      <c r="C1472" s="2" t="s">
        <v>34</v>
      </c>
      <c r="D1472" s="2" t="s">
        <v>35</v>
      </c>
      <c r="E1472" s="5">
        <v>-30499</v>
      </c>
      <c r="F1472" s="3" t="s">
        <v>971</v>
      </c>
      <c r="G1472" s="3" t="s">
        <v>270</v>
      </c>
      <c r="H1472" s="2" t="s">
        <v>21</v>
      </c>
      <c r="I1472" s="2" t="s">
        <v>3751</v>
      </c>
      <c r="J1472" s="3" t="str">
        <f>HYPERLINK("https://www.boe.es/gazeta/dias/1816/06/29/pdfs/GMD-1816-81.pdf#page=2","Abrir facsímil")</f>
        <v>Abrir facsímil</v>
      </c>
      <c r="K1472" s="3" t="s">
        <v>23</v>
      </c>
    </row>
    <row r="1473" spans="1:11" ht="42" customHeight="1">
      <c r="A1473" s="2" t="s">
        <v>3749</v>
      </c>
      <c r="B1473" s="2" t="s">
        <v>3749</v>
      </c>
      <c r="C1473" s="2" t="s">
        <v>34</v>
      </c>
      <c r="D1473" s="2" t="s">
        <v>35</v>
      </c>
      <c r="E1473" s="5">
        <v>-30499</v>
      </c>
      <c r="F1473" s="3" t="s">
        <v>971</v>
      </c>
      <c r="G1473" s="3" t="s">
        <v>184</v>
      </c>
      <c r="H1473" s="2" t="s">
        <v>21</v>
      </c>
      <c r="I1473" s="2" t="s">
        <v>3752</v>
      </c>
      <c r="J1473" s="3" t="str">
        <f>HYPERLINK("https://www.boe.es/gazeta/dias/1816/06/29/pdfs/GMD-1816-81.pdf#page=3","Abrir facsímil")</f>
        <v>Abrir facsímil</v>
      </c>
      <c r="K1473" s="3" t="s">
        <v>23</v>
      </c>
    </row>
    <row r="1474" spans="1:11" ht="42" customHeight="1">
      <c r="A1474" s="2" t="s">
        <v>3753</v>
      </c>
      <c r="B1474" s="2" t="s">
        <v>3754</v>
      </c>
      <c r="C1474" s="2" t="s">
        <v>111</v>
      </c>
      <c r="D1474" s="2" t="s">
        <v>112</v>
      </c>
      <c r="E1474" s="5">
        <v>-30562</v>
      </c>
      <c r="F1474" s="3" t="s">
        <v>1664</v>
      </c>
      <c r="G1474" s="3" t="s">
        <v>3755</v>
      </c>
      <c r="H1474" s="2" t="s">
        <v>21</v>
      </c>
      <c r="I1474" s="2" t="s">
        <v>3756</v>
      </c>
      <c r="J1474" s="3" t="str">
        <f>HYPERLINK("https://www.boe.es/gazeta/dias/1816/04/27/pdfs/GMD-1816-54.pdf#page=4","Abrir facsímil")</f>
        <v>Abrir facsímil</v>
      </c>
      <c r="K1474" s="3" t="s">
        <v>23</v>
      </c>
    </row>
    <row r="1475" spans="1:11" ht="42" customHeight="1">
      <c r="A1475" s="2" t="s">
        <v>3757</v>
      </c>
      <c r="B1475" s="2" t="s">
        <v>3757</v>
      </c>
      <c r="C1475" s="2" t="s">
        <v>34</v>
      </c>
      <c r="D1475" s="2" t="s">
        <v>35</v>
      </c>
      <c r="E1475" s="5">
        <v>-30531</v>
      </c>
      <c r="F1475" s="3" t="s">
        <v>535</v>
      </c>
      <c r="G1475" s="3" t="s">
        <v>184</v>
      </c>
      <c r="H1475" s="2" t="s">
        <v>21</v>
      </c>
      <c r="I1475" s="2" t="s">
        <v>3758</v>
      </c>
      <c r="J1475" s="3" t="str">
        <f>HYPERLINK("https://www.boe.es/gazeta/dias/1816/05/28/pdfs/GMD-1816-67.pdf#page=3","Abrir facsímil")</f>
        <v>Abrir facsímil</v>
      </c>
      <c r="K1475" s="3" t="s">
        <v>23</v>
      </c>
    </row>
    <row r="1476" spans="1:11" ht="42" customHeight="1">
      <c r="A1476" s="2" t="s">
        <v>3757</v>
      </c>
      <c r="B1476" s="2" t="s">
        <v>3757</v>
      </c>
      <c r="C1476" s="2" t="s">
        <v>34</v>
      </c>
      <c r="D1476" s="2" t="s">
        <v>35</v>
      </c>
      <c r="E1476" s="5">
        <v>-30531</v>
      </c>
      <c r="F1476" s="3" t="s">
        <v>535</v>
      </c>
      <c r="G1476" s="3" t="s">
        <v>103</v>
      </c>
      <c r="H1476" s="2" t="s">
        <v>21</v>
      </c>
      <c r="I1476" s="2" t="s">
        <v>3759</v>
      </c>
      <c r="J1476" s="3" t="str">
        <f>HYPERLINK("https://www.boe.es/gazeta/dias/1816/05/28/pdfs/GMD-1816-67.pdf#page=4","Abrir facsímil")</f>
        <v>Abrir facsímil</v>
      </c>
      <c r="K1476" s="3" t="s">
        <v>23</v>
      </c>
    </row>
    <row r="1477" spans="1:11" ht="42" customHeight="1">
      <c r="A1477" s="2" t="s">
        <v>3760</v>
      </c>
      <c r="B1477" s="2" t="s">
        <v>3760</v>
      </c>
      <c r="C1477" s="2" t="s">
        <v>34</v>
      </c>
      <c r="D1477" s="2" t="s">
        <v>35</v>
      </c>
      <c r="E1477" s="5">
        <v>-30590</v>
      </c>
      <c r="F1477" s="3" t="s">
        <v>195</v>
      </c>
      <c r="G1477" s="3" t="s">
        <v>270</v>
      </c>
      <c r="H1477" s="2" t="s">
        <v>21</v>
      </c>
      <c r="I1477" s="2" t="s">
        <v>3761</v>
      </c>
      <c r="J1477" s="3" t="str">
        <f>HYPERLINK("https://www.boe.es/gazeta/dias/1816/03/30/pdfs/GMD-1816-42.pdf#page=2","Abrir facsímil")</f>
        <v>Abrir facsímil</v>
      </c>
      <c r="K1477" s="3" t="s">
        <v>23</v>
      </c>
    </row>
    <row r="1478" spans="1:11" ht="42" customHeight="1">
      <c r="A1478" s="2" t="s">
        <v>3762</v>
      </c>
      <c r="B1478" s="2" t="s">
        <v>3763</v>
      </c>
      <c r="C1478" s="2" t="s">
        <v>81</v>
      </c>
      <c r="D1478" s="2" t="s">
        <v>18</v>
      </c>
      <c r="E1478" s="5">
        <v>-30492</v>
      </c>
      <c r="F1478" s="3" t="s">
        <v>248</v>
      </c>
      <c r="G1478" s="3" t="s">
        <v>443</v>
      </c>
      <c r="H1478" s="2" t="s">
        <v>29</v>
      </c>
      <c r="I1478" s="2" t="s">
        <v>3764</v>
      </c>
      <c r="J1478" s="3" t="str">
        <f>HYPERLINK("https://www.boe.es/gazeta/dias/1816/07/06/pdfs/GMD-1816-84.pdf#page=12","Abrir facsímil")</f>
        <v>Abrir facsímil</v>
      </c>
      <c r="K1478" s="3" t="s">
        <v>31</v>
      </c>
    </row>
    <row r="1479" spans="1:11" ht="42" customHeight="1">
      <c r="A1479" s="2" t="s">
        <v>3765</v>
      </c>
      <c r="B1479" s="2" t="s">
        <v>3765</v>
      </c>
      <c r="C1479" s="2" t="s">
        <v>34</v>
      </c>
      <c r="D1479" s="2" t="s">
        <v>35</v>
      </c>
      <c r="E1479" s="5">
        <v>-30461</v>
      </c>
      <c r="F1479" s="3" t="s">
        <v>912</v>
      </c>
      <c r="G1479" s="3" t="s">
        <v>3348</v>
      </c>
      <c r="H1479" s="2" t="s">
        <v>21</v>
      </c>
      <c r="I1479" s="2" t="s">
        <v>3766</v>
      </c>
      <c r="J1479" s="3" t="str">
        <f>HYPERLINK("https://www.boe.es/gazeta/dias/1816/08/06/pdfs/GMD-1816-97.pdf#page=2","Abrir facsímil")</f>
        <v>Abrir facsímil</v>
      </c>
      <c r="K1479" s="3" t="s">
        <v>23</v>
      </c>
    </row>
    <row r="1480" spans="1:11" ht="42" customHeight="1">
      <c r="A1480" s="2" t="s">
        <v>3767</v>
      </c>
      <c r="B1480" s="2" t="s">
        <v>3767</v>
      </c>
      <c r="C1480" s="2" t="s">
        <v>17</v>
      </c>
      <c r="D1480" s="2" t="s">
        <v>18</v>
      </c>
      <c r="E1480" s="5">
        <v>-30548</v>
      </c>
      <c r="F1480" s="3" t="s">
        <v>472</v>
      </c>
      <c r="G1480" s="3" t="s">
        <v>47</v>
      </c>
      <c r="H1480" s="2" t="s">
        <v>21</v>
      </c>
      <c r="I1480" s="2" t="s">
        <v>3768</v>
      </c>
      <c r="J1480" s="3" t="str">
        <f>HYPERLINK("https://www.boe.es/gazeta/dias/1816/05/11/pdfs/GMD-1816-60.pdf#page=5","Abrir facsímil")</f>
        <v>Abrir facsímil</v>
      </c>
      <c r="K1480" s="3" t="s">
        <v>23</v>
      </c>
    </row>
    <row r="1481" spans="1:11" ht="42" customHeight="1">
      <c r="A1481" s="2" t="s">
        <v>3767</v>
      </c>
      <c r="B1481" s="2" t="s">
        <v>3767</v>
      </c>
      <c r="C1481" s="2" t="s">
        <v>26</v>
      </c>
      <c r="D1481" s="2" t="s">
        <v>18</v>
      </c>
      <c r="E1481" s="5">
        <v>-30464</v>
      </c>
      <c r="F1481" s="3" t="s">
        <v>215</v>
      </c>
      <c r="G1481" s="3" t="s">
        <v>175</v>
      </c>
      <c r="H1481" s="2" t="s">
        <v>21</v>
      </c>
      <c r="I1481" s="2" t="s">
        <v>3769</v>
      </c>
      <c r="J1481" s="3" t="str">
        <f>HYPERLINK("https://www.boe.es/gazeta/dias/1816/08/03/pdfs/GMD-1816-96.pdf#page=11","Abrir facsímil")</f>
        <v>Abrir facsímil</v>
      </c>
      <c r="K1481" s="3" t="s">
        <v>23</v>
      </c>
    </row>
    <row r="1482" spans="1:11" ht="42" customHeight="1">
      <c r="A1482" s="2" t="s">
        <v>3767</v>
      </c>
      <c r="B1482" s="2" t="s">
        <v>3767</v>
      </c>
      <c r="C1482" s="2" t="s">
        <v>67</v>
      </c>
      <c r="D1482" s="2" t="s">
        <v>18</v>
      </c>
      <c r="E1482" s="5">
        <v>-30445</v>
      </c>
      <c r="F1482" s="3" t="s">
        <v>51</v>
      </c>
      <c r="G1482" s="3" t="s">
        <v>175</v>
      </c>
      <c r="H1482" s="2" t="s">
        <v>21</v>
      </c>
      <c r="I1482" s="2" t="s">
        <v>3770</v>
      </c>
      <c r="J1482" s="3" t="str">
        <f>HYPERLINK("https://www.boe.es/gazeta/dias/1816/08/22/pdfs/GMD-1816-104.pdf#page=11","Abrir facsímil")</f>
        <v>Abrir facsímil</v>
      </c>
      <c r="K1482" s="3" t="s">
        <v>23</v>
      </c>
    </row>
    <row r="1483" spans="1:11" ht="42" customHeight="1">
      <c r="A1483" s="2" t="s">
        <v>3767</v>
      </c>
      <c r="B1483" s="2" t="s">
        <v>3767</v>
      </c>
      <c r="C1483" s="2" t="s">
        <v>67</v>
      </c>
      <c r="D1483" s="2" t="s">
        <v>18</v>
      </c>
      <c r="E1483" s="5">
        <v>-30324</v>
      </c>
      <c r="F1483" s="3" t="s">
        <v>46</v>
      </c>
      <c r="G1483" s="3" t="s">
        <v>72</v>
      </c>
      <c r="H1483" s="2" t="s">
        <v>21</v>
      </c>
      <c r="I1483" s="2" t="s">
        <v>3771</v>
      </c>
      <c r="J1483" s="3" t="str">
        <f>HYPERLINK("https://www.boe.es/gazeta/dias/1816/12/21/pdfs/GMD-1816-158.pdf#page=7","Abrir facsímil")</f>
        <v>Abrir facsímil</v>
      </c>
      <c r="K1483" s="3" t="s">
        <v>23</v>
      </c>
    </row>
    <row r="1484" spans="1:11" ht="42" customHeight="1">
      <c r="A1484" s="2" t="s">
        <v>3772</v>
      </c>
      <c r="B1484" s="2" t="s">
        <v>3773</v>
      </c>
      <c r="C1484" s="2" t="s">
        <v>26</v>
      </c>
      <c r="D1484" s="2" t="s">
        <v>18</v>
      </c>
      <c r="E1484" s="5">
        <v>-30473</v>
      </c>
      <c r="F1484" s="3" t="s">
        <v>336</v>
      </c>
      <c r="G1484" s="3" t="s">
        <v>47</v>
      </c>
      <c r="H1484" s="2" t="s">
        <v>21</v>
      </c>
      <c r="I1484" s="2" t="s">
        <v>3774</v>
      </c>
      <c r="J1484" s="3" t="str">
        <f>HYPERLINK("https://www.boe.es/gazeta/dias/1816/07/25/pdfs/GMD-1816-92.pdf#page=5","Abrir facsímil")</f>
        <v>Abrir facsímil</v>
      </c>
      <c r="K1484" s="3" t="s">
        <v>23</v>
      </c>
    </row>
    <row r="1485" spans="1:11" ht="42" customHeight="1">
      <c r="A1485" s="2" t="s">
        <v>3775</v>
      </c>
      <c r="B1485" s="2" t="s">
        <v>3776</v>
      </c>
      <c r="C1485" s="2" t="s">
        <v>34</v>
      </c>
      <c r="D1485" s="2" t="s">
        <v>35</v>
      </c>
      <c r="E1485" s="5">
        <v>-30450</v>
      </c>
      <c r="F1485" s="3" t="s">
        <v>349</v>
      </c>
      <c r="G1485" s="3" t="s">
        <v>42</v>
      </c>
      <c r="H1485" s="2" t="s">
        <v>21</v>
      </c>
      <c r="I1485" s="2" t="s">
        <v>3777</v>
      </c>
      <c r="J1485" s="3" t="str">
        <f>HYPERLINK("https://www.boe.es/gazeta/dias/1816/08/17/pdfs/GMD-1816-102.pdf#page=8","Abrir facsímil")</f>
        <v>Abrir facsímil</v>
      </c>
      <c r="K1485" s="3" t="s">
        <v>23</v>
      </c>
    </row>
    <row r="1486" spans="1:11" ht="42" customHeight="1">
      <c r="A1486" s="2" t="s">
        <v>3778</v>
      </c>
      <c r="B1486" s="2" t="s">
        <v>3779</v>
      </c>
      <c r="C1486" s="2" t="s">
        <v>26</v>
      </c>
      <c r="D1486" s="2" t="s">
        <v>18</v>
      </c>
      <c r="E1486" s="5">
        <v>-30618</v>
      </c>
      <c r="F1486" s="3" t="s">
        <v>207</v>
      </c>
      <c r="G1486" s="3" t="s">
        <v>42</v>
      </c>
      <c r="H1486" s="2" t="s">
        <v>21</v>
      </c>
      <c r="I1486" s="2" t="s">
        <v>3780</v>
      </c>
      <c r="J1486" s="3" t="str">
        <f>HYPERLINK("https://www.boe.es/gazeta/dias/1816/03/02/pdfs/GMD-1816-29.pdf#page=8","Abrir facsímil")</f>
        <v>Abrir facsímil</v>
      </c>
      <c r="K1486" s="3" t="s">
        <v>23</v>
      </c>
    </row>
    <row r="1487" spans="1:11" ht="42" customHeight="1">
      <c r="A1487" s="2" t="s">
        <v>3781</v>
      </c>
      <c r="B1487" s="2" t="s">
        <v>3781</v>
      </c>
      <c r="C1487" s="2" t="s">
        <v>26</v>
      </c>
      <c r="D1487" s="2" t="s">
        <v>18</v>
      </c>
      <c r="E1487" s="5">
        <v>-30394</v>
      </c>
      <c r="F1487" s="3" t="s">
        <v>589</v>
      </c>
      <c r="G1487" s="3" t="s">
        <v>72</v>
      </c>
      <c r="H1487" s="2" t="s">
        <v>21</v>
      </c>
      <c r="I1487" s="2" t="s">
        <v>3782</v>
      </c>
      <c r="J1487" s="3" t="str">
        <f>HYPERLINK("https://www.boe.es/gazeta/dias/1816/10/12/pdfs/GMD-1816-127.pdf#page=7","Abrir facsímil")</f>
        <v>Abrir facsímil</v>
      </c>
      <c r="K1487" s="3" t="s">
        <v>23</v>
      </c>
    </row>
    <row r="1488" spans="1:11" ht="42" customHeight="1">
      <c r="A1488" s="2" t="s">
        <v>3783</v>
      </c>
      <c r="B1488" s="2" t="s">
        <v>3783</v>
      </c>
      <c r="C1488" s="2" t="s">
        <v>34</v>
      </c>
      <c r="D1488" s="2" t="s">
        <v>35</v>
      </c>
      <c r="E1488" s="5">
        <v>-30398</v>
      </c>
      <c r="F1488" s="3" t="s">
        <v>447</v>
      </c>
      <c r="G1488" s="3" t="s">
        <v>270</v>
      </c>
      <c r="H1488" s="2" t="s">
        <v>21</v>
      </c>
      <c r="I1488" s="2" t="s">
        <v>3784</v>
      </c>
      <c r="J1488" s="3" t="str">
        <f>HYPERLINK("https://www.boe.es/gazeta/dias/1816/10/08/pdfs/GMD-1816-125.pdf#page=2","Abrir facsímil")</f>
        <v>Abrir facsímil</v>
      </c>
      <c r="K1488" s="3" t="s">
        <v>23</v>
      </c>
    </row>
    <row r="1489" spans="1:11" ht="42" customHeight="1">
      <c r="A1489" s="2" t="s">
        <v>3785</v>
      </c>
      <c r="B1489" s="2" t="s">
        <v>3785</v>
      </c>
      <c r="C1489" s="2" t="s">
        <v>34</v>
      </c>
      <c r="D1489" s="2" t="s">
        <v>35</v>
      </c>
      <c r="E1489" s="5">
        <v>-30361</v>
      </c>
      <c r="F1489" s="3" t="s">
        <v>1741</v>
      </c>
      <c r="G1489" s="3" t="s">
        <v>103</v>
      </c>
      <c r="H1489" s="2" t="s">
        <v>21</v>
      </c>
      <c r="I1489" s="2" t="s">
        <v>3786</v>
      </c>
      <c r="J1489" s="3" t="str">
        <f>HYPERLINK("https://www.boe.es/gazeta/dias/1816/11/14/pdfs/GMD-1816-142.pdf#page=4","Abrir facsímil")</f>
        <v>Abrir facsímil</v>
      </c>
      <c r="K1489" s="3" t="s">
        <v>23</v>
      </c>
    </row>
    <row r="1490" spans="1:11" ht="42" customHeight="1">
      <c r="A1490" s="2" t="s">
        <v>3787</v>
      </c>
      <c r="B1490" s="2" t="s">
        <v>3787</v>
      </c>
      <c r="C1490" s="2" t="s">
        <v>111</v>
      </c>
      <c r="D1490" s="2" t="s">
        <v>112</v>
      </c>
      <c r="E1490" s="5">
        <v>-30667</v>
      </c>
      <c r="F1490" s="3" t="s">
        <v>659</v>
      </c>
      <c r="G1490" s="3" t="s">
        <v>3788</v>
      </c>
      <c r="H1490" s="2" t="s">
        <v>21</v>
      </c>
      <c r="I1490" s="2" t="s">
        <v>3789</v>
      </c>
      <c r="J1490" s="3" t="str">
        <f>HYPERLINK("https://www.boe.es/gazeta/dias/1816/01/13/pdfs/GMD-1816-6.pdf#page=5","Abrir facsímil")</f>
        <v>Abrir facsímil</v>
      </c>
      <c r="K1490" s="3" t="s">
        <v>23</v>
      </c>
    </row>
    <row r="1491" spans="1:11" ht="42" customHeight="1">
      <c r="A1491" s="2" t="s">
        <v>3787</v>
      </c>
      <c r="B1491" s="2" t="s">
        <v>3787</v>
      </c>
      <c r="C1491" s="2" t="s">
        <v>111</v>
      </c>
      <c r="D1491" s="2" t="s">
        <v>112</v>
      </c>
      <c r="E1491" s="5">
        <v>-30578</v>
      </c>
      <c r="F1491" s="3" t="s">
        <v>91</v>
      </c>
      <c r="G1491" s="3" t="s">
        <v>72</v>
      </c>
      <c r="H1491" s="2" t="s">
        <v>21</v>
      </c>
      <c r="I1491" s="2" t="s">
        <v>3790</v>
      </c>
      <c r="J1491" s="3" t="str">
        <f>HYPERLINK("https://www.boe.es/gazeta/dias/1816/04/11/pdfs/GMD-1816-47.pdf#page=7","Abrir facsímil")</f>
        <v>Abrir facsímil</v>
      </c>
      <c r="K1491" s="3" t="s">
        <v>23</v>
      </c>
    </row>
    <row r="1492" spans="1:11" ht="42" customHeight="1">
      <c r="A1492" s="2" t="s">
        <v>3787</v>
      </c>
      <c r="B1492" s="2" t="s">
        <v>3787</v>
      </c>
      <c r="C1492" s="2" t="s">
        <v>26</v>
      </c>
      <c r="D1492" s="2" t="s">
        <v>18</v>
      </c>
      <c r="E1492" s="5">
        <v>-30422</v>
      </c>
      <c r="F1492" s="3" t="s">
        <v>803</v>
      </c>
      <c r="G1492" s="3" t="s">
        <v>28</v>
      </c>
      <c r="H1492" s="2" t="s">
        <v>21</v>
      </c>
      <c r="I1492" s="2" t="s">
        <v>3791</v>
      </c>
      <c r="J1492" s="3" t="str">
        <f>HYPERLINK("https://www.boe.es/gazeta/dias/1816/09/14/pdfs/GMD-1816-114.pdf#page=6","Abrir facsímil")</f>
        <v>Abrir facsímil</v>
      </c>
      <c r="K1492" s="3" t="s">
        <v>23</v>
      </c>
    </row>
    <row r="1493" spans="1:11" ht="42" customHeight="1">
      <c r="A1493" s="2" t="s">
        <v>3792</v>
      </c>
      <c r="B1493" s="2" t="s">
        <v>3793</v>
      </c>
      <c r="C1493" s="2" t="s">
        <v>111</v>
      </c>
      <c r="D1493" s="2" t="s">
        <v>112</v>
      </c>
      <c r="E1493" s="5">
        <v>-30387</v>
      </c>
      <c r="F1493" s="3" t="s">
        <v>224</v>
      </c>
      <c r="G1493" s="3" t="s">
        <v>72</v>
      </c>
      <c r="H1493" s="2" t="s">
        <v>21</v>
      </c>
      <c r="I1493" s="2" t="s">
        <v>3794</v>
      </c>
      <c r="J1493" s="3" t="str">
        <f>HYPERLINK("https://www.boe.es/gazeta/dias/1816/10/19/pdfs/GMD-1816-131.pdf#page=7","Abrir facsímil")</f>
        <v>Abrir facsímil</v>
      </c>
      <c r="K1493" s="3" t="s">
        <v>23</v>
      </c>
    </row>
    <row r="1494" spans="1:11" ht="42" customHeight="1">
      <c r="A1494" s="2" t="s">
        <v>3795</v>
      </c>
      <c r="B1494" s="2" t="s">
        <v>3796</v>
      </c>
      <c r="C1494" s="2" t="s">
        <v>41</v>
      </c>
      <c r="D1494" s="2" t="s">
        <v>18</v>
      </c>
      <c r="E1494" s="5">
        <v>-30648</v>
      </c>
      <c r="F1494" s="3" t="s">
        <v>872</v>
      </c>
      <c r="G1494" s="3" t="s">
        <v>42</v>
      </c>
      <c r="H1494" s="2" t="s">
        <v>21</v>
      </c>
      <c r="I1494" s="2" t="s">
        <v>3797</v>
      </c>
      <c r="J1494" s="3" t="str">
        <f>HYPERLINK("https://www.boe.es/gazeta/dias/1816/02/01/pdfs/GMD-1816-15.pdf#page=8","Abrir facsímil")</f>
        <v>Abrir facsímil</v>
      </c>
      <c r="K1494" s="3" t="s">
        <v>23</v>
      </c>
    </row>
    <row r="1495" spans="1:11" ht="42" customHeight="1">
      <c r="A1495" s="2" t="s">
        <v>3798</v>
      </c>
      <c r="B1495" s="2" t="s">
        <v>3799</v>
      </c>
      <c r="C1495" s="2" t="s">
        <v>41</v>
      </c>
      <c r="D1495" s="2" t="s">
        <v>18</v>
      </c>
      <c r="E1495" s="5">
        <v>-30662</v>
      </c>
      <c r="F1495" s="3" t="s">
        <v>485</v>
      </c>
      <c r="G1495" s="3" t="s">
        <v>42</v>
      </c>
      <c r="H1495" s="2" t="s">
        <v>21</v>
      </c>
      <c r="I1495" s="2" t="s">
        <v>3800</v>
      </c>
      <c r="J1495" s="3" t="str">
        <f>HYPERLINK("https://www.boe.es/gazeta/dias/1816/01/18/pdfs/GMD-1816-8.pdf#page=8","Abrir facsímil")</f>
        <v>Abrir facsímil</v>
      </c>
      <c r="K1495" s="3" t="s">
        <v>23</v>
      </c>
    </row>
    <row r="1496" spans="1:11" ht="42" customHeight="1">
      <c r="A1496" s="2" t="s">
        <v>3801</v>
      </c>
      <c r="B1496" s="2" t="s">
        <v>3802</v>
      </c>
      <c r="C1496" s="2" t="s">
        <v>17</v>
      </c>
      <c r="D1496" s="2" t="s">
        <v>56</v>
      </c>
      <c r="E1496" s="5">
        <v>-30393</v>
      </c>
      <c r="F1496" s="3" t="s">
        <v>202</v>
      </c>
      <c r="G1496" s="3" t="s">
        <v>270</v>
      </c>
      <c r="H1496" s="2" t="s">
        <v>21</v>
      </c>
      <c r="I1496" s="2" t="s">
        <v>3803</v>
      </c>
      <c r="J1496" s="3" t="str">
        <f>HYPERLINK("https://www.boe.es/gazeta/dias/1816/10/13/pdfs/GMD-1816-128E.pdf#page=2","Abrir facsímil")</f>
        <v>Abrir facsímil</v>
      </c>
      <c r="K1496" s="3" t="s">
        <v>23</v>
      </c>
    </row>
    <row r="1497" spans="1:11" ht="42" customHeight="1">
      <c r="A1497" s="2" t="s">
        <v>3804</v>
      </c>
      <c r="B1497" s="2" t="s">
        <v>3804</v>
      </c>
      <c r="C1497" s="2" t="s">
        <v>34</v>
      </c>
      <c r="D1497" s="2" t="s">
        <v>35</v>
      </c>
      <c r="E1497" s="5">
        <v>-30629</v>
      </c>
      <c r="F1497" s="3" t="s">
        <v>904</v>
      </c>
      <c r="G1497" s="3" t="s">
        <v>103</v>
      </c>
      <c r="H1497" s="2" t="s">
        <v>21</v>
      </c>
      <c r="I1497" s="2" t="s">
        <v>3805</v>
      </c>
      <c r="J1497" s="3" t="str">
        <f>HYPERLINK("https://www.boe.es/gazeta/dias/1816/02/20/pdfs/GMD-1816-23.pdf#page=4","Abrir facsímil")</f>
        <v>Abrir facsímil</v>
      </c>
      <c r="K1497" s="3" t="s">
        <v>23</v>
      </c>
    </row>
    <row r="1498" spans="1:11" ht="42" customHeight="1">
      <c r="A1498" s="2" t="s">
        <v>3806</v>
      </c>
      <c r="B1498" s="2" t="s">
        <v>3807</v>
      </c>
      <c r="C1498" s="2" t="s">
        <v>34</v>
      </c>
      <c r="D1498" s="2" t="s">
        <v>35</v>
      </c>
      <c r="E1498" s="5">
        <v>-30401</v>
      </c>
      <c r="F1498" s="3" t="s">
        <v>652</v>
      </c>
      <c r="G1498" s="3" t="s">
        <v>72</v>
      </c>
      <c r="H1498" s="2" t="s">
        <v>21</v>
      </c>
      <c r="I1498" s="2" t="s">
        <v>3808</v>
      </c>
      <c r="J1498" s="3" t="str">
        <f>HYPERLINK("https://www.boe.es/gazeta/dias/1816/10/05/pdfs/GMD-1816-123.pdf#page=7","Abrir facsímil")</f>
        <v>Abrir facsímil</v>
      </c>
      <c r="K1498" s="3" t="s">
        <v>23</v>
      </c>
    </row>
    <row r="1499" spans="1:11" ht="42" customHeight="1">
      <c r="A1499" s="2" t="s">
        <v>3806</v>
      </c>
      <c r="B1499" s="2" t="s">
        <v>3807</v>
      </c>
      <c r="C1499" s="2" t="s">
        <v>34</v>
      </c>
      <c r="D1499" s="2" t="s">
        <v>35</v>
      </c>
      <c r="E1499" s="5">
        <v>-30401</v>
      </c>
      <c r="F1499" s="3" t="s">
        <v>652</v>
      </c>
      <c r="G1499" s="3" t="s">
        <v>42</v>
      </c>
      <c r="H1499" s="2" t="s">
        <v>21</v>
      </c>
      <c r="I1499" s="2" t="s">
        <v>3809</v>
      </c>
      <c r="J1499" s="3" t="str">
        <f>HYPERLINK("https://www.boe.es/gazeta/dias/1816/10/05/pdfs/GMD-1816-123.pdf#page=8","Abrir facsímil")</f>
        <v>Abrir facsímil</v>
      </c>
      <c r="K1499" s="3" t="s">
        <v>23</v>
      </c>
    </row>
    <row r="1500" spans="1:11" ht="42" customHeight="1">
      <c r="A1500" s="2" t="s">
        <v>3810</v>
      </c>
      <c r="B1500" s="2" t="s">
        <v>3811</v>
      </c>
      <c r="C1500" s="2" t="s">
        <v>111</v>
      </c>
      <c r="D1500" s="2" t="s">
        <v>112</v>
      </c>
      <c r="E1500" s="5">
        <v>-30487</v>
      </c>
      <c r="F1500" s="3" t="s">
        <v>397</v>
      </c>
      <c r="G1500" s="3" t="s">
        <v>92</v>
      </c>
      <c r="H1500" s="2" t="s">
        <v>29</v>
      </c>
      <c r="I1500" s="2" t="s">
        <v>3812</v>
      </c>
      <c r="J1500" s="3" t="str">
        <f>HYPERLINK("https://www.boe.es/gazeta/dias/1816/07/11/pdfs/GMD-1816-86.pdf#page=9","Abrir facsímil")</f>
        <v>Abrir facsímil</v>
      </c>
      <c r="K1500" s="3" t="s">
        <v>31</v>
      </c>
    </row>
    <row r="1501" spans="1:11" ht="42" customHeight="1">
      <c r="A1501" s="2" t="s">
        <v>3813</v>
      </c>
      <c r="B1501" s="2" t="s">
        <v>3814</v>
      </c>
      <c r="C1501" s="2" t="s">
        <v>111</v>
      </c>
      <c r="D1501" s="2" t="s">
        <v>112</v>
      </c>
      <c r="E1501" s="5">
        <v>-30436</v>
      </c>
      <c r="F1501" s="3" t="s">
        <v>102</v>
      </c>
      <c r="G1501" s="3" t="s">
        <v>175</v>
      </c>
      <c r="H1501" s="2" t="s">
        <v>29</v>
      </c>
      <c r="I1501" s="2" t="s">
        <v>3815</v>
      </c>
      <c r="J1501" s="3" t="str">
        <f>HYPERLINK("https://www.boe.es/gazeta/dias/1816/08/31/pdfs/GMD-1816-108.pdf#page=11","Abrir facsímil")</f>
        <v>Abrir facsímil</v>
      </c>
      <c r="K1501" s="3" t="s">
        <v>31</v>
      </c>
    </row>
    <row r="1502" spans="1:11" ht="42" customHeight="1">
      <c r="A1502" s="2" t="s">
        <v>3816</v>
      </c>
      <c r="B1502" s="2" t="s">
        <v>3817</v>
      </c>
      <c r="C1502" s="2" t="s">
        <v>34</v>
      </c>
      <c r="D1502" s="2" t="s">
        <v>35</v>
      </c>
      <c r="E1502" s="5">
        <v>-30452</v>
      </c>
      <c r="F1502" s="3" t="s">
        <v>3546</v>
      </c>
      <c r="G1502" s="3" t="s">
        <v>103</v>
      </c>
      <c r="H1502" s="2" t="s">
        <v>21</v>
      </c>
      <c r="I1502" s="2" t="s">
        <v>3818</v>
      </c>
      <c r="J1502" s="3" t="str">
        <f>HYPERLINK("https://www.boe.es/gazeta/dias/1816/08/15/pdfs/GMD-1816-101.pdf#page=4","Abrir facsímil")</f>
        <v>Abrir facsímil</v>
      </c>
      <c r="K1502" s="3" t="s">
        <v>23</v>
      </c>
    </row>
    <row r="1503" spans="1:11" ht="42" customHeight="1">
      <c r="A1503" s="2" t="s">
        <v>3819</v>
      </c>
      <c r="B1503" s="2" t="s">
        <v>3820</v>
      </c>
      <c r="C1503" s="2" t="s">
        <v>34</v>
      </c>
      <c r="D1503" s="2" t="s">
        <v>35</v>
      </c>
      <c r="E1503" s="5">
        <v>-30608</v>
      </c>
      <c r="F1503" s="3" t="s">
        <v>550</v>
      </c>
      <c r="G1503" s="3" t="s">
        <v>103</v>
      </c>
      <c r="H1503" s="2" t="s">
        <v>21</v>
      </c>
      <c r="I1503" s="2" t="s">
        <v>3821</v>
      </c>
      <c r="J1503" s="3" t="str">
        <f>HYPERLINK("https://www.boe.es/gazeta/dias/1816/03/12/pdfs/GMD-1816-33.pdf#page=4","Abrir facsímil")</f>
        <v>Abrir facsímil</v>
      </c>
      <c r="K1503" s="3" t="s">
        <v>23</v>
      </c>
    </row>
    <row r="1504" spans="1:11" ht="42" customHeight="1">
      <c r="A1504" s="2" t="s">
        <v>3819</v>
      </c>
      <c r="B1504" s="2" t="s">
        <v>3820</v>
      </c>
      <c r="C1504" s="2" t="s">
        <v>34</v>
      </c>
      <c r="D1504" s="2" t="s">
        <v>35</v>
      </c>
      <c r="E1504" s="5">
        <v>-30457</v>
      </c>
      <c r="F1504" s="3" t="s">
        <v>539</v>
      </c>
      <c r="G1504" s="3" t="s">
        <v>184</v>
      </c>
      <c r="H1504" s="2" t="s">
        <v>21</v>
      </c>
      <c r="I1504" s="2" t="s">
        <v>3822</v>
      </c>
      <c r="J1504" s="3" t="str">
        <f>HYPERLINK("https://www.boe.es/gazeta/dias/1816/08/10/pdfs/GMD-1816-99.pdf#page=3","Abrir facsímil")</f>
        <v>Abrir facsímil</v>
      </c>
      <c r="K1504" s="3" t="s">
        <v>23</v>
      </c>
    </row>
    <row r="1505" spans="1:11" ht="42" customHeight="1">
      <c r="A1505" s="2" t="s">
        <v>3823</v>
      </c>
      <c r="B1505" s="2" t="s">
        <v>3823</v>
      </c>
      <c r="C1505" s="2" t="s">
        <v>34</v>
      </c>
      <c r="D1505" s="2" t="s">
        <v>35</v>
      </c>
      <c r="E1505" s="5">
        <v>-30587</v>
      </c>
      <c r="F1505" s="3" t="s">
        <v>341</v>
      </c>
      <c r="G1505" s="3" t="s">
        <v>3824</v>
      </c>
      <c r="H1505" s="2" t="s">
        <v>21</v>
      </c>
      <c r="I1505" s="2" t="s">
        <v>3825</v>
      </c>
      <c r="J1505" s="3" t="str">
        <f>HYPERLINK("https://www.boe.es/gazeta/dias/1816/04/02/pdfs/GMD-1816-43.pdf#page=2","Abrir facsímil")</f>
        <v>Abrir facsímil</v>
      </c>
      <c r="K1505" s="3" t="s">
        <v>23</v>
      </c>
    </row>
    <row r="1506" spans="1:11" ht="42" customHeight="1">
      <c r="A1506" s="2" t="s">
        <v>3826</v>
      </c>
      <c r="B1506" s="2" t="s">
        <v>3826</v>
      </c>
      <c r="C1506" s="2" t="s">
        <v>34</v>
      </c>
      <c r="D1506" s="2" t="s">
        <v>35</v>
      </c>
      <c r="E1506" s="5">
        <v>-30662</v>
      </c>
      <c r="F1506" s="3" t="s">
        <v>485</v>
      </c>
      <c r="G1506" s="3" t="s">
        <v>72</v>
      </c>
      <c r="H1506" s="2" t="s">
        <v>21</v>
      </c>
      <c r="I1506" s="2" t="s">
        <v>3827</v>
      </c>
      <c r="J1506" s="3" t="str">
        <f>HYPERLINK("https://www.boe.es/gazeta/dias/1816/01/18/pdfs/GMD-1816-8.pdf#page=7","Abrir facsímil")</f>
        <v>Abrir facsímil</v>
      </c>
      <c r="K1506" s="3" t="s">
        <v>23</v>
      </c>
    </row>
    <row r="1507" spans="1:11" ht="42" customHeight="1">
      <c r="A1507" s="2" t="s">
        <v>3828</v>
      </c>
      <c r="B1507" s="2" t="s">
        <v>3829</v>
      </c>
      <c r="C1507" s="2" t="s">
        <v>111</v>
      </c>
      <c r="D1507" s="2" t="s">
        <v>112</v>
      </c>
      <c r="E1507" s="5">
        <v>-30345</v>
      </c>
      <c r="F1507" s="3" t="s">
        <v>1382</v>
      </c>
      <c r="G1507" s="3" t="s">
        <v>47</v>
      </c>
      <c r="H1507" s="2" t="s">
        <v>21</v>
      </c>
      <c r="I1507" s="2" t="s">
        <v>3830</v>
      </c>
      <c r="J1507" s="3" t="str">
        <f>HYPERLINK("https://www.boe.es/gazeta/dias/1816/11/30/pdfs/GMD-1816-149.pdf#page=5","Abrir facsímil")</f>
        <v>Abrir facsímil</v>
      </c>
      <c r="K1507" s="3" t="s">
        <v>23</v>
      </c>
    </row>
    <row r="1508" spans="1:11" ht="42" customHeight="1">
      <c r="A1508" s="2" t="s">
        <v>3831</v>
      </c>
      <c r="B1508" s="2" t="s">
        <v>3832</v>
      </c>
      <c r="C1508" s="2" t="s">
        <v>111</v>
      </c>
      <c r="D1508" s="2" t="s">
        <v>112</v>
      </c>
      <c r="E1508" s="5">
        <v>-30541</v>
      </c>
      <c r="F1508" s="3" t="s">
        <v>96</v>
      </c>
      <c r="G1508" s="3" t="s">
        <v>42</v>
      </c>
      <c r="H1508" s="2" t="s">
        <v>21</v>
      </c>
      <c r="I1508" s="2" t="s">
        <v>3833</v>
      </c>
      <c r="J1508" s="3" t="str">
        <f>HYPERLINK("https://www.boe.es/gazeta/dias/1816/05/18/pdfs/GMD-1816-63.pdf#page=8","Abrir facsímil")</f>
        <v>Abrir facsímil</v>
      </c>
      <c r="K1508" s="3" t="s">
        <v>23</v>
      </c>
    </row>
    <row r="1509" spans="1:11" ht="42" customHeight="1">
      <c r="A1509" s="2" t="s">
        <v>3834</v>
      </c>
      <c r="B1509" s="2" t="s">
        <v>3835</v>
      </c>
      <c r="C1509" s="2" t="s">
        <v>26</v>
      </c>
      <c r="D1509" s="2" t="s">
        <v>18</v>
      </c>
      <c r="E1509" s="5">
        <v>-30576</v>
      </c>
      <c r="F1509" s="3" t="s">
        <v>353</v>
      </c>
      <c r="G1509" s="3" t="s">
        <v>72</v>
      </c>
      <c r="H1509" s="2" t="s">
        <v>21</v>
      </c>
      <c r="I1509" s="2" t="s">
        <v>3836</v>
      </c>
      <c r="J1509" s="3" t="str">
        <f>HYPERLINK("https://www.boe.es/gazeta/dias/1816/04/13/pdfs/GMD-1816-48.pdf#page=7","Abrir facsímil")</f>
        <v>Abrir facsímil</v>
      </c>
      <c r="K1509" s="3" t="s">
        <v>23</v>
      </c>
    </row>
    <row r="1510" spans="1:11" ht="42" customHeight="1">
      <c r="A1510" s="2" t="s">
        <v>3837</v>
      </c>
      <c r="B1510" s="2" t="s">
        <v>3838</v>
      </c>
      <c r="C1510" s="2" t="s">
        <v>26</v>
      </c>
      <c r="D1510" s="2" t="s">
        <v>18</v>
      </c>
      <c r="E1510" s="5">
        <v>-30559</v>
      </c>
      <c r="F1510" s="3" t="s">
        <v>165</v>
      </c>
      <c r="G1510" s="3" t="s">
        <v>166</v>
      </c>
      <c r="H1510" s="2" t="s">
        <v>21</v>
      </c>
      <c r="I1510" s="2" t="s">
        <v>3839</v>
      </c>
      <c r="J1510" s="3" t="str">
        <f>HYPERLINK("https://www.boe.es/gazeta/dias/1816/04/30/pdfs/GMD-1816-55.pdf#page=7","Abrir facsímil")</f>
        <v>Abrir facsímil</v>
      </c>
      <c r="K1510" s="3" t="s">
        <v>23</v>
      </c>
    </row>
    <row r="1511" spans="1:11" ht="42" customHeight="1">
      <c r="A1511" s="2" t="s">
        <v>3840</v>
      </c>
      <c r="B1511" s="2" t="s">
        <v>3841</v>
      </c>
      <c r="C1511" s="2" t="s">
        <v>111</v>
      </c>
      <c r="D1511" s="2" t="s">
        <v>112</v>
      </c>
      <c r="E1511" s="5">
        <v>-30611</v>
      </c>
      <c r="F1511" s="3" t="s">
        <v>211</v>
      </c>
      <c r="G1511" s="3" t="s">
        <v>28</v>
      </c>
      <c r="H1511" s="2" t="s">
        <v>29</v>
      </c>
      <c r="I1511" s="2" t="s">
        <v>3842</v>
      </c>
      <c r="J1511" s="3" t="str">
        <f>HYPERLINK("https://www.boe.es/gazeta/dias/1816/03/09/pdfs/GMD-1816-32.pdf#page=6","Abrir facsímil")</f>
        <v>Abrir facsímil</v>
      </c>
      <c r="K1511" s="3" t="s">
        <v>31</v>
      </c>
    </row>
    <row r="1512" spans="1:11" ht="42" customHeight="1">
      <c r="A1512" s="2" t="s">
        <v>3843</v>
      </c>
      <c r="B1512" s="2" t="s">
        <v>3844</v>
      </c>
      <c r="C1512" s="2" t="s">
        <v>26</v>
      </c>
      <c r="D1512" s="2" t="s">
        <v>18</v>
      </c>
      <c r="E1512" s="5">
        <v>-30370</v>
      </c>
      <c r="F1512" s="3" t="s">
        <v>669</v>
      </c>
      <c r="G1512" s="3" t="s">
        <v>28</v>
      </c>
      <c r="H1512" s="2" t="s">
        <v>21</v>
      </c>
      <c r="I1512" s="2" t="s">
        <v>3845</v>
      </c>
      <c r="J1512" s="3" t="str">
        <f>HYPERLINK("https://www.boe.es/gazeta/dias/1816/11/05/pdfs/GMD-1816-138.pdf#page=6","Abrir facsímil")</f>
        <v>Abrir facsímil</v>
      </c>
      <c r="K1512" s="3" t="s">
        <v>23</v>
      </c>
    </row>
    <row r="1513" spans="1:11" ht="42" customHeight="1">
      <c r="A1513" s="2" t="s">
        <v>3846</v>
      </c>
      <c r="B1513" s="2" t="s">
        <v>3847</v>
      </c>
      <c r="C1513" s="2" t="s">
        <v>34</v>
      </c>
      <c r="D1513" s="2" t="s">
        <v>56</v>
      </c>
      <c r="E1513" s="5">
        <v>-30393</v>
      </c>
      <c r="F1513" s="3" t="s">
        <v>202</v>
      </c>
      <c r="G1513" s="3" t="s">
        <v>184</v>
      </c>
      <c r="H1513" s="2" t="s">
        <v>21</v>
      </c>
      <c r="I1513" s="2" t="s">
        <v>3848</v>
      </c>
      <c r="J1513" s="3" t="str">
        <f>HYPERLINK("https://www.boe.es/gazeta/dias/1816/10/13/pdfs/GMD-1816-128E.pdf#page=3","Abrir facsímil")</f>
        <v>Abrir facsímil</v>
      </c>
      <c r="K1513" s="3" t="s">
        <v>23</v>
      </c>
    </row>
    <row r="1514" spans="1:11" ht="42" customHeight="1">
      <c r="A1514" s="2" t="s">
        <v>3849</v>
      </c>
      <c r="B1514" s="2" t="s">
        <v>3849</v>
      </c>
      <c r="C1514" s="2" t="s">
        <v>26</v>
      </c>
      <c r="D1514" s="2" t="s">
        <v>18</v>
      </c>
      <c r="E1514" s="5">
        <v>-30508</v>
      </c>
      <c r="F1514" s="3" t="s">
        <v>36</v>
      </c>
      <c r="G1514" s="3" t="s">
        <v>42</v>
      </c>
      <c r="H1514" s="2" t="s">
        <v>21</v>
      </c>
      <c r="I1514" s="2" t="s">
        <v>3850</v>
      </c>
      <c r="J1514" s="3" t="str">
        <f>HYPERLINK("https://www.boe.es/gazeta/dias/1816/06/20/pdfs/GMD-1816-77.pdf#page=8","Abrir facsímil")</f>
        <v>Abrir facsímil</v>
      </c>
      <c r="K1514" s="3" t="s">
        <v>23</v>
      </c>
    </row>
    <row r="1515" spans="1:11" ht="42" customHeight="1">
      <c r="A1515" s="2" t="s">
        <v>3849</v>
      </c>
      <c r="B1515" s="2" t="s">
        <v>3849</v>
      </c>
      <c r="C1515" s="2" t="s">
        <v>26</v>
      </c>
      <c r="D1515" s="2" t="s">
        <v>18</v>
      </c>
      <c r="E1515" s="5">
        <v>-30454</v>
      </c>
      <c r="F1515" s="3" t="s">
        <v>188</v>
      </c>
      <c r="G1515" s="3" t="s">
        <v>52</v>
      </c>
      <c r="H1515" s="2" t="s">
        <v>21</v>
      </c>
      <c r="I1515" s="2" t="s">
        <v>3851</v>
      </c>
      <c r="J1515" s="3" t="str">
        <f>HYPERLINK("https://www.boe.es/gazeta/dias/1816/08/13/pdfs/GMD-1816-100.pdf#page=12","Abrir facsímil")</f>
        <v>Abrir facsímil</v>
      </c>
      <c r="K1515" s="3" t="s">
        <v>23</v>
      </c>
    </row>
    <row r="1516" spans="1:11" ht="42" customHeight="1">
      <c r="A1516" s="2" t="s">
        <v>3852</v>
      </c>
      <c r="B1516" s="2" t="s">
        <v>3852</v>
      </c>
      <c r="C1516" s="2" t="s">
        <v>34</v>
      </c>
      <c r="D1516" s="2" t="s">
        <v>35</v>
      </c>
      <c r="E1516" s="5">
        <v>-30643</v>
      </c>
      <c r="F1516" s="3" t="s">
        <v>620</v>
      </c>
      <c r="G1516" s="3" t="s">
        <v>103</v>
      </c>
      <c r="H1516" s="2" t="s">
        <v>21</v>
      </c>
      <c r="I1516" s="2" t="s">
        <v>3853</v>
      </c>
      <c r="J1516" s="3" t="str">
        <f>HYPERLINK("https://www.boe.es/gazeta/dias/1816/02/06/pdfs/GMD-1816-17.pdf#page=4","Abrir facsímil")</f>
        <v>Abrir facsímil</v>
      </c>
      <c r="K1516" s="3" t="s">
        <v>23</v>
      </c>
    </row>
    <row r="1517" spans="1:11" ht="42" customHeight="1">
      <c r="A1517" s="2" t="s">
        <v>3854</v>
      </c>
      <c r="B1517" s="2" t="s">
        <v>3855</v>
      </c>
      <c r="C1517" s="2" t="s">
        <v>34</v>
      </c>
      <c r="D1517" s="2" t="s">
        <v>35</v>
      </c>
      <c r="E1517" s="5">
        <v>-30529</v>
      </c>
      <c r="F1517" s="3" t="s">
        <v>432</v>
      </c>
      <c r="G1517" s="3" t="s">
        <v>28</v>
      </c>
      <c r="H1517" s="2" t="s">
        <v>21</v>
      </c>
      <c r="I1517" s="2" t="s">
        <v>3856</v>
      </c>
      <c r="J1517" s="3" t="str">
        <f>HYPERLINK("https://www.boe.es/gazeta/dias/1816/05/30/pdfs/GMD-1816-68.pdf#page=6","Abrir facsímil")</f>
        <v>Abrir facsímil</v>
      </c>
      <c r="K1517" s="3" t="s">
        <v>23</v>
      </c>
    </row>
    <row r="1518" spans="1:11" ht="42" customHeight="1">
      <c r="A1518" s="2" t="s">
        <v>3857</v>
      </c>
      <c r="B1518" s="2" t="s">
        <v>3858</v>
      </c>
      <c r="C1518" s="2" t="s">
        <v>34</v>
      </c>
      <c r="D1518" s="2" t="s">
        <v>35</v>
      </c>
      <c r="E1518" s="5">
        <v>-30529</v>
      </c>
      <c r="F1518" s="3" t="s">
        <v>432</v>
      </c>
      <c r="G1518" s="3" t="s">
        <v>28</v>
      </c>
      <c r="H1518" s="2" t="s">
        <v>21</v>
      </c>
      <c r="I1518" s="2" t="s">
        <v>3859</v>
      </c>
      <c r="J1518" s="3" t="str">
        <f>HYPERLINK("https://www.boe.es/gazeta/dias/1816/05/30/pdfs/GMD-1816-68.pdf#page=6","Abrir facsímil")</f>
        <v>Abrir facsímil</v>
      </c>
      <c r="K1518" s="3" t="s">
        <v>23</v>
      </c>
    </row>
    <row r="1519" spans="1:11" ht="42" customHeight="1">
      <c r="A1519" s="2" t="s">
        <v>3860</v>
      </c>
      <c r="B1519" s="2" t="s">
        <v>3861</v>
      </c>
      <c r="C1519" s="2" t="s">
        <v>34</v>
      </c>
      <c r="D1519" s="2" t="s">
        <v>35</v>
      </c>
      <c r="E1519" s="5">
        <v>-30655</v>
      </c>
      <c r="F1519" s="3" t="s">
        <v>170</v>
      </c>
      <c r="G1519" s="3" t="s">
        <v>72</v>
      </c>
      <c r="H1519" s="2" t="s">
        <v>21</v>
      </c>
      <c r="I1519" s="2" t="s">
        <v>3862</v>
      </c>
      <c r="J1519" s="3" t="str">
        <f>HYPERLINK("https://www.boe.es/gazeta/dias/1816/01/25/pdfs/GMD-1816-11.pdf#page=7","Abrir facsímil")</f>
        <v>Abrir facsímil</v>
      </c>
      <c r="K1519" s="3" t="s">
        <v>23</v>
      </c>
    </row>
    <row r="1520" spans="1:11" ht="42" customHeight="1">
      <c r="A1520" s="2" t="s">
        <v>3863</v>
      </c>
      <c r="B1520" s="2" t="s">
        <v>3863</v>
      </c>
      <c r="C1520" s="2" t="s">
        <v>34</v>
      </c>
      <c r="D1520" s="2" t="s">
        <v>35</v>
      </c>
      <c r="E1520" s="5">
        <v>-30660</v>
      </c>
      <c r="F1520" s="3" t="s">
        <v>809</v>
      </c>
      <c r="G1520" s="3" t="s">
        <v>72</v>
      </c>
      <c r="H1520" s="2" t="s">
        <v>21</v>
      </c>
      <c r="I1520" s="2" t="s">
        <v>3864</v>
      </c>
      <c r="J1520" s="3" t="str">
        <f>HYPERLINK("https://www.boe.es/gazeta/dias/1816/01/20/pdfs/GMD-1816-9.pdf#page=7","Abrir facsímil")</f>
        <v>Abrir facsímil</v>
      </c>
      <c r="K1520" s="3" t="s">
        <v>23</v>
      </c>
    </row>
    <row r="1521" spans="1:11" ht="42" customHeight="1">
      <c r="A1521" s="2" t="s">
        <v>3865</v>
      </c>
      <c r="B1521" s="2" t="s">
        <v>3866</v>
      </c>
      <c r="C1521" s="2" t="s">
        <v>26</v>
      </c>
      <c r="D1521" s="2" t="s">
        <v>18</v>
      </c>
      <c r="E1521" s="5">
        <v>-30482</v>
      </c>
      <c r="F1521" s="3" t="s">
        <v>370</v>
      </c>
      <c r="G1521" s="3" t="s">
        <v>175</v>
      </c>
      <c r="H1521" s="2" t="s">
        <v>21</v>
      </c>
      <c r="I1521" s="2" t="s">
        <v>3867</v>
      </c>
      <c r="J1521" s="3" t="str">
        <f>HYPERLINK("https://www.boe.es/gazeta/dias/1816/07/16/pdfs/GMD-1816-88.pdf#page=11","Abrir facsímil")</f>
        <v>Abrir facsímil</v>
      </c>
      <c r="K1521" s="3" t="s">
        <v>23</v>
      </c>
    </row>
    <row r="1522" spans="1:11" ht="42" customHeight="1">
      <c r="A1522" s="2" t="s">
        <v>3868</v>
      </c>
      <c r="B1522" s="2" t="s">
        <v>3869</v>
      </c>
      <c r="C1522" s="2" t="s">
        <v>34</v>
      </c>
      <c r="D1522" s="2" t="s">
        <v>35</v>
      </c>
      <c r="E1522" s="5">
        <v>-30436</v>
      </c>
      <c r="F1522" s="3" t="s">
        <v>102</v>
      </c>
      <c r="G1522" s="3" t="s">
        <v>28</v>
      </c>
      <c r="H1522" s="2" t="s">
        <v>29</v>
      </c>
      <c r="I1522" s="2" t="s">
        <v>3870</v>
      </c>
      <c r="J1522" s="3" t="str">
        <f>HYPERLINK("https://www.boe.es/gazeta/dias/1816/08/31/pdfs/GMD-1816-108.pdf#page=6","Abrir facsímil")</f>
        <v>Abrir facsímil</v>
      </c>
      <c r="K1522" s="3" t="s">
        <v>31</v>
      </c>
    </row>
    <row r="1523" spans="1:11" ht="42" customHeight="1">
      <c r="A1523" s="2" t="s">
        <v>3871</v>
      </c>
      <c r="B1523" s="2" t="s">
        <v>3871</v>
      </c>
      <c r="C1523" s="2" t="s">
        <v>387</v>
      </c>
      <c r="D1523" s="2" t="s">
        <v>18</v>
      </c>
      <c r="E1523" s="5">
        <v>-30557</v>
      </c>
      <c r="F1523" s="3" t="s">
        <v>508</v>
      </c>
      <c r="G1523" s="3" t="s">
        <v>184</v>
      </c>
      <c r="H1523" s="2" t="s">
        <v>21</v>
      </c>
      <c r="I1523" s="2" t="s">
        <v>3872</v>
      </c>
      <c r="J1523" s="3" t="str">
        <f>HYPERLINK("https://www.boe.es/gazeta/dias/1816/05/02/pdfs/GMD-1816-56.pdf#page=3","Abrir facsímil")</f>
        <v>Abrir facsímil</v>
      </c>
      <c r="K1523" s="3" t="s">
        <v>23</v>
      </c>
    </row>
    <row r="1524" spans="1:11" ht="42" customHeight="1">
      <c r="A1524" s="2" t="s">
        <v>3871</v>
      </c>
      <c r="B1524" s="2" t="s">
        <v>3871</v>
      </c>
      <c r="C1524" s="2" t="s">
        <v>387</v>
      </c>
      <c r="D1524" s="2" t="s">
        <v>18</v>
      </c>
      <c r="E1524" s="5">
        <v>-30501</v>
      </c>
      <c r="F1524" s="3" t="s">
        <v>475</v>
      </c>
      <c r="G1524" s="3" t="s">
        <v>3873</v>
      </c>
      <c r="H1524" s="2" t="s">
        <v>21</v>
      </c>
      <c r="I1524" s="2" t="s">
        <v>3874</v>
      </c>
      <c r="J1524" s="3" t="str">
        <f>HYPERLINK("https://www.boe.es/gazeta/dias/1816/06/27/pdfs/GMD-1816-80.pdf#page=2","Abrir facsímil")</f>
        <v>Abrir facsímil</v>
      </c>
      <c r="K1524" s="3" t="s">
        <v>23</v>
      </c>
    </row>
    <row r="1525" spans="1:11" ht="42" customHeight="1">
      <c r="A1525" s="2" t="s">
        <v>3875</v>
      </c>
      <c r="B1525" s="2" t="s">
        <v>3876</v>
      </c>
      <c r="C1525" s="2" t="s">
        <v>34</v>
      </c>
      <c r="D1525" s="2" t="s">
        <v>35</v>
      </c>
      <c r="E1525" s="5">
        <v>-30671</v>
      </c>
      <c r="F1525" s="3" t="s">
        <v>2049</v>
      </c>
      <c r="G1525" s="3" t="s">
        <v>47</v>
      </c>
      <c r="H1525" s="2" t="s">
        <v>21</v>
      </c>
      <c r="I1525" s="2" t="s">
        <v>3877</v>
      </c>
      <c r="J1525" s="3" t="str">
        <f>HYPERLINK("https://www.boe.es/gazeta/dias/1816/01/09/pdfs/GMD-1816-4.pdf#page=5","Abrir facsímil")</f>
        <v>Abrir facsímil</v>
      </c>
      <c r="K1525" s="3" t="s">
        <v>23</v>
      </c>
    </row>
    <row r="1526" spans="1:11" ht="42" customHeight="1">
      <c r="A1526" s="2" t="s">
        <v>3878</v>
      </c>
      <c r="B1526" s="2" t="s">
        <v>3879</v>
      </c>
      <c r="C1526" s="2" t="s">
        <v>41</v>
      </c>
      <c r="D1526" s="2" t="s">
        <v>18</v>
      </c>
      <c r="E1526" s="5">
        <v>-30671</v>
      </c>
      <c r="F1526" s="3" t="s">
        <v>2049</v>
      </c>
      <c r="G1526" s="3" t="s">
        <v>47</v>
      </c>
      <c r="H1526" s="2" t="s">
        <v>21</v>
      </c>
      <c r="I1526" s="2" t="s">
        <v>3880</v>
      </c>
      <c r="J1526" s="3" t="str">
        <f>HYPERLINK("https://www.boe.es/gazeta/dias/1816/01/09/pdfs/GMD-1816-4.pdf#page=5","Abrir facsímil")</f>
        <v>Abrir facsímil</v>
      </c>
      <c r="K1526" s="3" t="s">
        <v>23</v>
      </c>
    </row>
    <row r="1527" spans="1:11" ht="42" customHeight="1">
      <c r="A1527" s="2" t="s">
        <v>3881</v>
      </c>
      <c r="B1527" s="2" t="s">
        <v>3882</v>
      </c>
      <c r="C1527" s="2" t="s">
        <v>34</v>
      </c>
      <c r="D1527" s="2" t="s">
        <v>35</v>
      </c>
      <c r="E1527" s="5">
        <v>-30513</v>
      </c>
      <c r="F1527" s="3" t="s">
        <v>582</v>
      </c>
      <c r="G1527" s="3" t="s">
        <v>28</v>
      </c>
      <c r="H1527" s="2" t="s">
        <v>21</v>
      </c>
      <c r="I1527" s="2" t="s">
        <v>3883</v>
      </c>
      <c r="J1527" s="3" t="str">
        <f>HYPERLINK("https://www.boe.es/gazeta/dias/1816/06/15/pdfs/GMD-1816-75.pdf#page=6","Abrir facsímil")</f>
        <v>Abrir facsímil</v>
      </c>
      <c r="K1527" s="3" t="s">
        <v>23</v>
      </c>
    </row>
    <row r="1528" spans="1:11" ht="42" customHeight="1">
      <c r="A1528" s="2" t="s">
        <v>3884</v>
      </c>
      <c r="B1528" s="2" t="s">
        <v>3884</v>
      </c>
      <c r="C1528" s="2" t="s">
        <v>111</v>
      </c>
      <c r="D1528" s="2" t="s">
        <v>112</v>
      </c>
      <c r="E1528" s="5">
        <v>-30655</v>
      </c>
      <c r="F1528" s="3" t="s">
        <v>170</v>
      </c>
      <c r="G1528" s="3" t="s">
        <v>184</v>
      </c>
      <c r="H1528" s="2" t="s">
        <v>21</v>
      </c>
      <c r="I1528" s="2" t="s">
        <v>3885</v>
      </c>
      <c r="J1528" s="3" t="str">
        <f>HYPERLINK("https://www.boe.es/gazeta/dias/1816/01/25/pdfs/GMD-1816-11.pdf#page=3","Abrir facsímil")</f>
        <v>Abrir facsímil</v>
      </c>
      <c r="K1528" s="3" t="s">
        <v>23</v>
      </c>
    </row>
    <row r="1529" spans="1:11" ht="42" customHeight="1">
      <c r="A1529" s="2" t="s">
        <v>3886</v>
      </c>
      <c r="B1529" s="2" t="s">
        <v>3887</v>
      </c>
      <c r="C1529" s="2" t="s">
        <v>34</v>
      </c>
      <c r="D1529" s="2" t="s">
        <v>35</v>
      </c>
      <c r="E1529" s="5">
        <v>-30506</v>
      </c>
      <c r="F1529" s="3" t="s">
        <v>220</v>
      </c>
      <c r="G1529" s="3" t="s">
        <v>103</v>
      </c>
      <c r="H1529" s="2" t="s">
        <v>21</v>
      </c>
      <c r="I1529" s="2" t="s">
        <v>3888</v>
      </c>
      <c r="J1529" s="3" t="str">
        <f>HYPERLINK("https://www.boe.es/gazeta/dias/1816/06/22/pdfs/GMD-1816-78.pdf#page=4","Abrir facsímil")</f>
        <v>Abrir facsímil</v>
      </c>
      <c r="K1529" s="3" t="s">
        <v>23</v>
      </c>
    </row>
    <row r="1530" spans="1:11" ht="42" customHeight="1">
      <c r="A1530" s="2" t="s">
        <v>3889</v>
      </c>
      <c r="B1530" s="2" t="s">
        <v>3890</v>
      </c>
      <c r="C1530" s="2" t="s">
        <v>111</v>
      </c>
      <c r="D1530" s="2" t="s">
        <v>112</v>
      </c>
      <c r="E1530" s="5">
        <v>-30394</v>
      </c>
      <c r="F1530" s="3" t="s">
        <v>589</v>
      </c>
      <c r="G1530" s="3" t="s">
        <v>58</v>
      </c>
      <c r="H1530" s="2" t="s">
        <v>21</v>
      </c>
      <c r="I1530" s="2" t="s">
        <v>3891</v>
      </c>
      <c r="J1530" s="3" t="str">
        <f>HYPERLINK("https://www.boe.es/gazeta/dias/1816/10/12/pdfs/GMD-1816-127.pdf#page=1","Abrir facsímil")</f>
        <v>Abrir facsímil</v>
      </c>
      <c r="K1530" s="3" t="s">
        <v>23</v>
      </c>
    </row>
    <row r="1531" spans="1:11" ht="42" customHeight="1">
      <c r="A1531" s="2" t="s">
        <v>3892</v>
      </c>
      <c r="B1531" s="2" t="s">
        <v>3892</v>
      </c>
      <c r="C1531" s="2" t="s">
        <v>26</v>
      </c>
      <c r="D1531" s="2" t="s">
        <v>18</v>
      </c>
      <c r="E1531" s="5">
        <v>-30494</v>
      </c>
      <c r="F1531" s="3" t="s">
        <v>174</v>
      </c>
      <c r="G1531" s="3" t="s">
        <v>72</v>
      </c>
      <c r="H1531" s="2" t="s">
        <v>21</v>
      </c>
      <c r="I1531" s="2" t="s">
        <v>3893</v>
      </c>
      <c r="J1531" s="3" t="str">
        <f>HYPERLINK("https://www.boe.es/gazeta/dias/1816/07/04/pdfs/GMD-1816-83.pdf#page=7","Abrir facsímil")</f>
        <v>Abrir facsímil</v>
      </c>
      <c r="K1531" s="3" t="s">
        <v>23</v>
      </c>
    </row>
    <row r="1532" spans="1:11" ht="42" customHeight="1">
      <c r="A1532" s="2" t="s">
        <v>3892</v>
      </c>
      <c r="B1532" s="2" t="s">
        <v>3892</v>
      </c>
      <c r="C1532" s="2" t="s">
        <v>34</v>
      </c>
      <c r="D1532" s="2" t="s">
        <v>35</v>
      </c>
      <c r="E1532" s="5">
        <v>-30394</v>
      </c>
      <c r="F1532" s="3" t="s">
        <v>589</v>
      </c>
      <c r="G1532" s="3" t="s">
        <v>72</v>
      </c>
      <c r="H1532" s="2" t="s">
        <v>21</v>
      </c>
      <c r="I1532" s="2" t="s">
        <v>3894</v>
      </c>
      <c r="J1532" s="3" t="str">
        <f>HYPERLINK("https://www.boe.es/gazeta/dias/1816/10/12/pdfs/GMD-1816-127.pdf#page=7","Abrir facsímil")</f>
        <v>Abrir facsímil</v>
      </c>
      <c r="K1532" s="3" t="s">
        <v>23</v>
      </c>
    </row>
    <row r="1533" spans="1:11" ht="42" customHeight="1">
      <c r="A1533" s="2" t="s">
        <v>3895</v>
      </c>
      <c r="B1533" s="2" t="s">
        <v>3896</v>
      </c>
      <c r="C1533" s="2" t="s">
        <v>111</v>
      </c>
      <c r="D1533" s="2" t="s">
        <v>112</v>
      </c>
      <c r="E1533" s="5">
        <v>-30391</v>
      </c>
      <c r="F1533" s="3" t="s">
        <v>482</v>
      </c>
      <c r="G1533" s="3" t="s">
        <v>72</v>
      </c>
      <c r="H1533" s="2" t="s">
        <v>21</v>
      </c>
      <c r="I1533" s="2" t="s">
        <v>3897</v>
      </c>
      <c r="J1533" s="3" t="str">
        <f>HYPERLINK("https://www.boe.es/gazeta/dias/1816/10/15/pdfs/GMD-1816-129.pdf#page=7","Abrir facsímil")</f>
        <v>Abrir facsímil</v>
      </c>
      <c r="K1533" s="3" t="s">
        <v>23</v>
      </c>
    </row>
    <row r="1534" spans="1:11" ht="42" customHeight="1">
      <c r="A1534" s="2" t="s">
        <v>3898</v>
      </c>
      <c r="B1534" s="2" t="s">
        <v>3899</v>
      </c>
      <c r="C1534" s="2" t="s">
        <v>34</v>
      </c>
      <c r="D1534" s="2" t="s">
        <v>35</v>
      </c>
      <c r="E1534" s="5">
        <v>-30501</v>
      </c>
      <c r="F1534" s="3" t="s">
        <v>475</v>
      </c>
      <c r="G1534" s="3" t="s">
        <v>1735</v>
      </c>
      <c r="H1534" s="2" t="s">
        <v>29</v>
      </c>
      <c r="I1534" s="2" t="s">
        <v>3900</v>
      </c>
      <c r="J1534" s="3" t="str">
        <f>HYPERLINK("https://www.boe.es/gazeta/dias/1816/06/27/pdfs/GMD-1816-80.pdf#page=8","Abrir facsímil")</f>
        <v>Abrir facsímil</v>
      </c>
      <c r="K1534" s="3" t="s">
        <v>31</v>
      </c>
    </row>
    <row r="1535" spans="1:11" ht="42" customHeight="1">
      <c r="A1535" s="2" t="s">
        <v>3901</v>
      </c>
      <c r="B1535" s="2" t="s">
        <v>3902</v>
      </c>
      <c r="C1535" s="2" t="s">
        <v>34</v>
      </c>
      <c r="D1535" s="2" t="s">
        <v>35</v>
      </c>
      <c r="E1535" s="5">
        <v>-30443</v>
      </c>
      <c r="F1535" s="3" t="s">
        <v>259</v>
      </c>
      <c r="G1535" s="3" t="s">
        <v>260</v>
      </c>
      <c r="H1535" s="2" t="s">
        <v>21</v>
      </c>
      <c r="I1535" s="2" t="s">
        <v>3903</v>
      </c>
      <c r="J1535" s="3" t="str">
        <f>HYPERLINK("https://www.boe.es/gazeta/dias/1816/08/24/pdfs/GMD-1816-105.pdf#page=8","Abrir facsímil")</f>
        <v>Abrir facsímil</v>
      </c>
      <c r="K1535" s="3" t="s">
        <v>23</v>
      </c>
    </row>
    <row r="1536" spans="1:11" ht="42" customHeight="1">
      <c r="A1536" s="2" t="s">
        <v>3904</v>
      </c>
      <c r="B1536" s="2" t="s">
        <v>3905</v>
      </c>
      <c r="C1536" s="2" t="s">
        <v>34</v>
      </c>
      <c r="D1536" s="2" t="s">
        <v>35</v>
      </c>
      <c r="E1536" s="5">
        <v>-30440</v>
      </c>
      <c r="F1536" s="3" t="s">
        <v>564</v>
      </c>
      <c r="G1536" s="3" t="s">
        <v>565</v>
      </c>
      <c r="H1536" s="2" t="s">
        <v>21</v>
      </c>
      <c r="I1536" s="2" t="s">
        <v>3906</v>
      </c>
      <c r="J1536" s="3" t="str">
        <f>HYPERLINK("https://www.boe.es/gazeta/dias/1816/08/27/pdfs/GMD-1816-106.pdf#page=7","Abrir facsímil")</f>
        <v>Abrir facsímil</v>
      </c>
      <c r="K1536" s="3" t="s">
        <v>23</v>
      </c>
    </row>
    <row r="1537" spans="1:11" ht="42" customHeight="1">
      <c r="A1537" s="2" t="s">
        <v>3907</v>
      </c>
      <c r="B1537" s="2" t="s">
        <v>3908</v>
      </c>
      <c r="C1537" s="2" t="s">
        <v>111</v>
      </c>
      <c r="D1537" s="2" t="s">
        <v>112</v>
      </c>
      <c r="E1537" s="5">
        <v>-30447</v>
      </c>
      <c r="F1537" s="3" t="s">
        <v>151</v>
      </c>
      <c r="G1537" s="3" t="s">
        <v>152</v>
      </c>
      <c r="H1537" s="2" t="s">
        <v>21</v>
      </c>
      <c r="I1537" s="2" t="s">
        <v>3909</v>
      </c>
      <c r="J1537" s="3" t="str">
        <f>HYPERLINK("https://www.boe.es/gazeta/dias/1816/08/20/pdfs/GMD-1816-103.pdf#page=8","Abrir facsímil")</f>
        <v>Abrir facsímil</v>
      </c>
      <c r="K1537" s="3" t="s">
        <v>23</v>
      </c>
    </row>
    <row r="1538" spans="1:11" ht="42" customHeight="1">
      <c r="A1538" s="2" t="s">
        <v>3910</v>
      </c>
      <c r="B1538" s="2" t="s">
        <v>3911</v>
      </c>
      <c r="C1538" s="2" t="s">
        <v>34</v>
      </c>
      <c r="D1538" s="2" t="s">
        <v>35</v>
      </c>
      <c r="E1538" s="5">
        <v>-30443</v>
      </c>
      <c r="F1538" s="3" t="s">
        <v>259</v>
      </c>
      <c r="G1538" s="3" t="s">
        <v>260</v>
      </c>
      <c r="H1538" s="2" t="s">
        <v>21</v>
      </c>
      <c r="I1538" s="2" t="s">
        <v>3912</v>
      </c>
      <c r="J1538" s="3" t="str">
        <f>HYPERLINK("https://www.boe.es/gazeta/dias/1816/08/24/pdfs/GMD-1816-105.pdf#page=8","Abrir facsímil")</f>
        <v>Abrir facsímil</v>
      </c>
      <c r="K1538" s="3" t="s">
        <v>23</v>
      </c>
    </row>
    <row r="1539" spans="1:11" ht="42" customHeight="1">
      <c r="A1539" s="2" t="s">
        <v>3913</v>
      </c>
      <c r="B1539" s="2" t="s">
        <v>3913</v>
      </c>
      <c r="C1539" s="2" t="s">
        <v>34</v>
      </c>
      <c r="D1539" s="2" t="s">
        <v>35</v>
      </c>
      <c r="E1539" s="5">
        <v>-30594</v>
      </c>
      <c r="F1539" s="3" t="s">
        <v>234</v>
      </c>
      <c r="G1539" s="3" t="s">
        <v>28</v>
      </c>
      <c r="H1539" s="2" t="s">
        <v>21</v>
      </c>
      <c r="I1539" s="2" t="s">
        <v>3914</v>
      </c>
      <c r="J1539" s="3" t="str">
        <f>HYPERLINK("https://www.boe.es/gazeta/dias/1816/03/26/pdfs/GMD-1816-40.pdf#page=6","Abrir facsímil")</f>
        <v>Abrir facsímil</v>
      </c>
      <c r="K1539" s="3" t="s">
        <v>23</v>
      </c>
    </row>
    <row r="1540" spans="1:11" ht="42" customHeight="1">
      <c r="A1540" s="2" t="s">
        <v>3913</v>
      </c>
      <c r="B1540" s="2" t="s">
        <v>3913</v>
      </c>
      <c r="C1540" s="2" t="s">
        <v>34</v>
      </c>
      <c r="D1540" s="2" t="s">
        <v>35</v>
      </c>
      <c r="E1540" s="5">
        <v>-30592</v>
      </c>
      <c r="F1540" s="3" t="s">
        <v>236</v>
      </c>
      <c r="G1540" s="3" t="s">
        <v>2199</v>
      </c>
      <c r="H1540" s="2" t="s">
        <v>21</v>
      </c>
      <c r="I1540" s="2" t="s">
        <v>3915</v>
      </c>
      <c r="J1540" s="3" t="str">
        <f>HYPERLINK("https://www.boe.es/gazeta/dias/1816/03/28/pdfs/GMD-1816-41.pdf#page=10","Abrir facsímil")</f>
        <v>Abrir facsímil</v>
      </c>
      <c r="K1540" s="3" t="s">
        <v>23</v>
      </c>
    </row>
    <row r="1541" spans="1:11" ht="42" customHeight="1">
      <c r="A1541" s="2" t="s">
        <v>3916</v>
      </c>
      <c r="B1541" s="2" t="s">
        <v>3917</v>
      </c>
      <c r="C1541" s="2" t="s">
        <v>34</v>
      </c>
      <c r="D1541" s="2" t="s">
        <v>35</v>
      </c>
      <c r="E1541" s="5">
        <v>-30580</v>
      </c>
      <c r="F1541" s="3" t="s">
        <v>107</v>
      </c>
      <c r="G1541" s="3" t="s">
        <v>72</v>
      </c>
      <c r="H1541" s="2" t="s">
        <v>29</v>
      </c>
      <c r="I1541" s="2" t="s">
        <v>3918</v>
      </c>
      <c r="J1541" s="3" t="str">
        <f>HYPERLINK("https://www.boe.es/gazeta/dias/1816/04/09/pdfs/GMD-1816-46.pdf#page=7","Abrir facsímil")</f>
        <v>Abrir facsímil</v>
      </c>
      <c r="K1541" s="3" t="s">
        <v>31</v>
      </c>
    </row>
    <row r="1542" spans="1:11" ht="42" customHeight="1">
      <c r="A1542" s="2" t="s">
        <v>3919</v>
      </c>
      <c r="B1542" s="2" t="s">
        <v>3920</v>
      </c>
      <c r="C1542" s="2" t="s">
        <v>34</v>
      </c>
      <c r="D1542" s="2" t="s">
        <v>56</v>
      </c>
      <c r="E1542" s="5">
        <v>-30603</v>
      </c>
      <c r="F1542" s="3" t="s">
        <v>503</v>
      </c>
      <c r="G1542" s="3" t="s">
        <v>58</v>
      </c>
      <c r="H1542" s="2" t="s">
        <v>21</v>
      </c>
      <c r="I1542" s="2" t="s">
        <v>3921</v>
      </c>
      <c r="J1542" s="3" t="str">
        <f>HYPERLINK("https://www.boe.es/gazeta/dias/1816/03/17/pdfs/GMD-1816-36E.pdf#page=1","Abrir facsímil")</f>
        <v>Abrir facsímil</v>
      </c>
      <c r="K1542" s="3" t="s">
        <v>23</v>
      </c>
    </row>
    <row r="1543" spans="1:11" ht="42" customHeight="1">
      <c r="A1543" s="2" t="s">
        <v>3919</v>
      </c>
      <c r="B1543" s="2" t="s">
        <v>3920</v>
      </c>
      <c r="C1543" s="2" t="s">
        <v>34</v>
      </c>
      <c r="D1543" s="2" t="s">
        <v>35</v>
      </c>
      <c r="E1543" s="5">
        <v>-30594</v>
      </c>
      <c r="F1543" s="3" t="s">
        <v>234</v>
      </c>
      <c r="G1543" s="3" t="s">
        <v>72</v>
      </c>
      <c r="H1543" s="2" t="s">
        <v>21</v>
      </c>
      <c r="I1543" s="2" t="s">
        <v>3922</v>
      </c>
      <c r="J1543" s="3" t="str">
        <f>HYPERLINK("https://www.boe.es/gazeta/dias/1816/03/26/pdfs/GMD-1816-40.pdf#page=7","Abrir facsímil")</f>
        <v>Abrir facsímil</v>
      </c>
      <c r="K1543" s="3" t="s">
        <v>23</v>
      </c>
    </row>
    <row r="1544" spans="1:11" ht="42" customHeight="1">
      <c r="A1544" s="2" t="s">
        <v>3919</v>
      </c>
      <c r="B1544" s="2" t="s">
        <v>3920</v>
      </c>
      <c r="C1544" s="2" t="s">
        <v>34</v>
      </c>
      <c r="D1544" s="2" t="s">
        <v>35</v>
      </c>
      <c r="E1544" s="5">
        <v>-30592</v>
      </c>
      <c r="F1544" s="3" t="s">
        <v>236</v>
      </c>
      <c r="G1544" s="3" t="s">
        <v>103</v>
      </c>
      <c r="H1544" s="2" t="s">
        <v>21</v>
      </c>
      <c r="I1544" s="2" t="s">
        <v>3923</v>
      </c>
      <c r="J1544" s="3" t="str">
        <f>HYPERLINK("https://www.boe.es/gazeta/dias/1816/03/28/pdfs/GMD-1816-41.pdf#page=4","Abrir facsímil")</f>
        <v>Abrir facsímil</v>
      </c>
      <c r="K1544" s="3" t="s">
        <v>23</v>
      </c>
    </row>
    <row r="1545" spans="1:11" ht="42" customHeight="1">
      <c r="A1545" s="2" t="s">
        <v>3919</v>
      </c>
      <c r="B1545" s="2" t="s">
        <v>3920</v>
      </c>
      <c r="C1545" s="2" t="s">
        <v>34</v>
      </c>
      <c r="D1545" s="2" t="s">
        <v>35</v>
      </c>
      <c r="E1545" s="5">
        <v>-30592</v>
      </c>
      <c r="F1545" s="3" t="s">
        <v>236</v>
      </c>
      <c r="G1545" s="3" t="s">
        <v>28</v>
      </c>
      <c r="H1545" s="2" t="s">
        <v>21</v>
      </c>
      <c r="I1545" s="2" t="s">
        <v>3924</v>
      </c>
      <c r="J1545" s="3" t="str">
        <f>HYPERLINK("https://www.boe.es/gazeta/dias/1816/03/28/pdfs/GMD-1816-41.pdf#page=6","Abrir facsímil")</f>
        <v>Abrir facsímil</v>
      </c>
      <c r="K1545" s="3" t="s">
        <v>23</v>
      </c>
    </row>
    <row r="1546" spans="1:11" ht="42" customHeight="1">
      <c r="A1546" s="2" t="s">
        <v>3919</v>
      </c>
      <c r="B1546" s="2" t="s">
        <v>3920</v>
      </c>
      <c r="C1546" s="2" t="s">
        <v>41</v>
      </c>
      <c r="D1546" s="2" t="s">
        <v>18</v>
      </c>
      <c r="E1546" s="5">
        <v>-30580</v>
      </c>
      <c r="F1546" s="3" t="s">
        <v>107</v>
      </c>
      <c r="G1546" s="3" t="s">
        <v>28</v>
      </c>
      <c r="H1546" s="2" t="s">
        <v>21</v>
      </c>
      <c r="I1546" s="2" t="s">
        <v>3925</v>
      </c>
      <c r="J1546" s="3" t="str">
        <f>HYPERLINK("https://www.boe.es/gazeta/dias/1816/04/09/pdfs/GMD-1816-46.pdf#page=6","Abrir facsímil")</f>
        <v>Abrir facsímil</v>
      </c>
      <c r="K1546" s="3" t="s">
        <v>23</v>
      </c>
    </row>
    <row r="1547" spans="1:11" ht="42" customHeight="1">
      <c r="A1547" s="2" t="s">
        <v>3919</v>
      </c>
      <c r="B1547" s="2" t="s">
        <v>3920</v>
      </c>
      <c r="C1547" s="2" t="s">
        <v>34</v>
      </c>
      <c r="D1547" s="2" t="s">
        <v>35</v>
      </c>
      <c r="E1547" s="5">
        <v>-30545</v>
      </c>
      <c r="F1547" s="3" t="s">
        <v>127</v>
      </c>
      <c r="G1547" s="3" t="s">
        <v>72</v>
      </c>
      <c r="H1547" s="2" t="s">
        <v>21</v>
      </c>
      <c r="I1547" s="2" t="s">
        <v>3926</v>
      </c>
      <c r="J1547" s="3" t="str">
        <f>HYPERLINK("https://www.boe.es/gazeta/dias/1816/05/14/pdfs/GMD-1816-61.pdf#page=7","Abrir facsímil")</f>
        <v>Abrir facsímil</v>
      </c>
      <c r="K1547" s="3" t="s">
        <v>23</v>
      </c>
    </row>
    <row r="1548" spans="1:11" ht="42" customHeight="1">
      <c r="A1548" s="2" t="s">
        <v>3927</v>
      </c>
      <c r="B1548" s="2" t="s">
        <v>3928</v>
      </c>
      <c r="C1548" s="2" t="s">
        <v>111</v>
      </c>
      <c r="D1548" s="2" t="s">
        <v>112</v>
      </c>
      <c r="E1548" s="5">
        <v>-30438</v>
      </c>
      <c r="F1548" s="3" t="s">
        <v>299</v>
      </c>
      <c r="G1548" s="3" t="s">
        <v>300</v>
      </c>
      <c r="H1548" s="2" t="s">
        <v>21</v>
      </c>
      <c r="I1548" s="2" t="s">
        <v>3929</v>
      </c>
      <c r="J1548" s="3" t="str">
        <f>HYPERLINK("https://www.boe.es/gazeta/dias/1816/08/29/pdfs/GMD-1816-107.pdf#page=12","Abrir facsímil")</f>
        <v>Abrir facsímil</v>
      </c>
      <c r="K1548" s="3" t="s">
        <v>23</v>
      </c>
    </row>
    <row r="1549" spans="1:11" ht="42" customHeight="1">
      <c r="A1549" s="2" t="s">
        <v>3930</v>
      </c>
      <c r="B1549" s="2" t="s">
        <v>3931</v>
      </c>
      <c r="C1549" s="2" t="s">
        <v>41</v>
      </c>
      <c r="D1549" s="2" t="s">
        <v>18</v>
      </c>
      <c r="E1549" s="5">
        <v>-30328</v>
      </c>
      <c r="F1549" s="3" t="s">
        <v>573</v>
      </c>
      <c r="G1549" s="3" t="s">
        <v>42</v>
      </c>
      <c r="H1549" s="2" t="s">
        <v>29</v>
      </c>
      <c r="I1549" s="2" t="s">
        <v>3932</v>
      </c>
      <c r="J1549" s="3" t="str">
        <f>HYPERLINK("https://www.boe.es/gazeta/dias/1816/12/17/pdfs/GMD-1816-156.pdf#page=8","Abrir facsímil")</f>
        <v>Abrir facsímil</v>
      </c>
      <c r="K1549" s="3" t="s">
        <v>31</v>
      </c>
    </row>
    <row r="1550" spans="1:11" ht="42" customHeight="1">
      <c r="A1550" s="2" t="s">
        <v>3933</v>
      </c>
      <c r="B1550" s="2" t="s">
        <v>3934</v>
      </c>
      <c r="C1550" s="2" t="s">
        <v>26</v>
      </c>
      <c r="D1550" s="2" t="s">
        <v>18</v>
      </c>
      <c r="E1550" s="5">
        <v>-30438</v>
      </c>
      <c r="F1550" s="3" t="s">
        <v>299</v>
      </c>
      <c r="G1550" s="3" t="s">
        <v>300</v>
      </c>
      <c r="H1550" s="2" t="s">
        <v>21</v>
      </c>
      <c r="I1550" s="2" t="s">
        <v>3935</v>
      </c>
      <c r="J1550" s="3" t="str">
        <f>HYPERLINK("https://www.boe.es/gazeta/dias/1816/08/29/pdfs/GMD-1816-107.pdf#page=12","Abrir facsímil")</f>
        <v>Abrir facsímil</v>
      </c>
      <c r="K1550" s="3" t="s">
        <v>23</v>
      </c>
    </row>
    <row r="1551" spans="1:11" ht="42" customHeight="1">
      <c r="A1551" s="2" t="s">
        <v>3936</v>
      </c>
      <c r="B1551" s="2" t="s">
        <v>3937</v>
      </c>
      <c r="C1551" s="2" t="s">
        <v>34</v>
      </c>
      <c r="D1551" s="2" t="s">
        <v>35</v>
      </c>
      <c r="E1551" s="5">
        <v>-30678</v>
      </c>
      <c r="F1551" s="3" t="s">
        <v>76</v>
      </c>
      <c r="G1551" s="3" t="s">
        <v>2221</v>
      </c>
      <c r="H1551" s="2" t="s">
        <v>29</v>
      </c>
      <c r="I1551" s="2" t="s">
        <v>3938</v>
      </c>
      <c r="J1551" s="3" t="str">
        <f>HYPERLINK("https://www.boe.es/gazeta/dias/1816/01/02/pdfs/GMD-1816-1.pdf#page=7","Abrir facsímil")</f>
        <v>Abrir facsímil</v>
      </c>
      <c r="K1551" s="3" t="s">
        <v>31</v>
      </c>
    </row>
    <row r="1552" spans="1:11" ht="42" customHeight="1">
      <c r="A1552" s="2" t="s">
        <v>3939</v>
      </c>
      <c r="B1552" s="2" t="s">
        <v>3940</v>
      </c>
      <c r="C1552" s="2" t="s">
        <v>17</v>
      </c>
      <c r="D1552" s="2" t="s">
        <v>18</v>
      </c>
      <c r="E1552" s="5">
        <v>-30419</v>
      </c>
      <c r="F1552" s="3" t="s">
        <v>1256</v>
      </c>
      <c r="G1552" s="3" t="s">
        <v>103</v>
      </c>
      <c r="H1552" s="2" t="s">
        <v>21</v>
      </c>
      <c r="I1552" s="2" t="s">
        <v>3941</v>
      </c>
      <c r="J1552" s="3" t="str">
        <f>HYPERLINK("https://www.boe.es/gazeta/dias/1816/09/17/pdfs/GMD-1816-115.pdf#page=4","Abrir facsímil")</f>
        <v>Abrir facsímil</v>
      </c>
      <c r="K1552" s="3" t="s">
        <v>23</v>
      </c>
    </row>
    <row r="1553" spans="1:11" ht="42" customHeight="1">
      <c r="A1553" s="2" t="s">
        <v>3942</v>
      </c>
      <c r="B1553" s="2" t="s">
        <v>3943</v>
      </c>
      <c r="C1553" s="2" t="s">
        <v>111</v>
      </c>
      <c r="D1553" s="2" t="s">
        <v>112</v>
      </c>
      <c r="E1553" s="5">
        <v>-30473</v>
      </c>
      <c r="F1553" s="3" t="s">
        <v>336</v>
      </c>
      <c r="G1553" s="3" t="s">
        <v>3077</v>
      </c>
      <c r="H1553" s="2" t="s">
        <v>21</v>
      </c>
      <c r="I1553" s="2" t="s">
        <v>3944</v>
      </c>
      <c r="J1553" s="3" t="str">
        <f>HYPERLINK("https://www.boe.es/gazeta/dias/1816/07/25/pdfs/GMD-1816-92.pdf#page=15","Abrir facsímil")</f>
        <v>Abrir facsímil</v>
      </c>
      <c r="K1553" s="3" t="s">
        <v>23</v>
      </c>
    </row>
    <row r="1554" spans="1:11" ht="42" customHeight="1">
      <c r="A1554" s="2" t="s">
        <v>3945</v>
      </c>
      <c r="B1554" s="2" t="s">
        <v>3946</v>
      </c>
      <c r="C1554" s="2" t="s">
        <v>41</v>
      </c>
      <c r="D1554" s="2" t="s">
        <v>18</v>
      </c>
      <c r="E1554" s="5">
        <v>-30494</v>
      </c>
      <c r="F1554" s="3" t="s">
        <v>174</v>
      </c>
      <c r="G1554" s="3" t="s">
        <v>175</v>
      </c>
      <c r="H1554" s="2" t="s">
        <v>21</v>
      </c>
      <c r="I1554" s="2" t="s">
        <v>3947</v>
      </c>
      <c r="J1554" s="3" t="str">
        <f>HYPERLINK("https://www.boe.es/gazeta/dias/1816/07/04/pdfs/GMD-1816-83.pdf#page=11","Abrir facsímil")</f>
        <v>Abrir facsímil</v>
      </c>
      <c r="K1554" s="3" t="s">
        <v>23</v>
      </c>
    </row>
    <row r="1555" spans="1:11" ht="42" customHeight="1">
      <c r="A1555" s="2" t="s">
        <v>3948</v>
      </c>
      <c r="B1555" s="2" t="s">
        <v>3949</v>
      </c>
      <c r="C1555" s="2" t="s">
        <v>34</v>
      </c>
      <c r="D1555" s="2" t="s">
        <v>35</v>
      </c>
      <c r="E1555" s="5">
        <v>-30531</v>
      </c>
      <c r="F1555" s="3" t="s">
        <v>535</v>
      </c>
      <c r="G1555" s="3" t="s">
        <v>47</v>
      </c>
      <c r="H1555" s="2" t="s">
        <v>21</v>
      </c>
      <c r="I1555" s="2" t="s">
        <v>3950</v>
      </c>
      <c r="J1555" s="3" t="str">
        <f>HYPERLINK("https://www.boe.es/gazeta/dias/1816/05/28/pdfs/GMD-1816-67.pdf#page=5","Abrir facsímil")</f>
        <v>Abrir facsímil</v>
      </c>
      <c r="K1555" s="3" t="s">
        <v>23</v>
      </c>
    </row>
    <row r="1556" spans="1:11" ht="42" customHeight="1">
      <c r="A1556" s="2" t="s">
        <v>3951</v>
      </c>
      <c r="B1556" s="2" t="s">
        <v>3952</v>
      </c>
      <c r="C1556" s="2" t="s">
        <v>111</v>
      </c>
      <c r="D1556" s="2" t="s">
        <v>112</v>
      </c>
      <c r="E1556" s="5">
        <v>-30342</v>
      </c>
      <c r="F1556" s="3" t="s">
        <v>116</v>
      </c>
      <c r="G1556" s="3" t="s">
        <v>42</v>
      </c>
      <c r="H1556" s="2" t="s">
        <v>21</v>
      </c>
      <c r="I1556" s="2" t="s">
        <v>3953</v>
      </c>
      <c r="J1556" s="3" t="str">
        <f>HYPERLINK("https://www.boe.es/gazeta/dias/1816/12/03/pdfs/GMD-1816-150.pdf#page=8","Abrir facsímil")</f>
        <v>Abrir facsímil</v>
      </c>
      <c r="K1556" s="3" t="s">
        <v>23</v>
      </c>
    </row>
    <row r="1557" spans="1:11" ht="42" customHeight="1">
      <c r="A1557" s="2" t="s">
        <v>3954</v>
      </c>
      <c r="B1557" s="2" t="s">
        <v>3955</v>
      </c>
      <c r="C1557" s="2" t="s">
        <v>26</v>
      </c>
      <c r="D1557" s="2" t="s">
        <v>18</v>
      </c>
      <c r="E1557" s="5">
        <v>-30391</v>
      </c>
      <c r="F1557" s="3" t="s">
        <v>482</v>
      </c>
      <c r="G1557" s="3" t="s">
        <v>3258</v>
      </c>
      <c r="H1557" s="2" t="s">
        <v>21</v>
      </c>
      <c r="I1557" s="2" t="s">
        <v>3956</v>
      </c>
      <c r="J1557" s="3" t="str">
        <f>HYPERLINK("https://www.boe.es/gazeta/dias/1816/10/15/pdfs/GMD-1816-129.pdf#page=8","Abrir facsímil")</f>
        <v>Abrir facsímil</v>
      </c>
      <c r="K1557" s="3" t="s">
        <v>23</v>
      </c>
    </row>
    <row r="1558" spans="1:11" ht="42" customHeight="1">
      <c r="A1558" s="2" t="s">
        <v>3957</v>
      </c>
      <c r="B1558" s="2" t="s">
        <v>3958</v>
      </c>
      <c r="C1558" s="2" t="s">
        <v>41</v>
      </c>
      <c r="D1558" s="2" t="s">
        <v>18</v>
      </c>
      <c r="E1558" s="5">
        <v>-30587</v>
      </c>
      <c r="F1558" s="3" t="s">
        <v>341</v>
      </c>
      <c r="G1558" s="3" t="s">
        <v>42</v>
      </c>
      <c r="H1558" s="2" t="s">
        <v>21</v>
      </c>
      <c r="I1558" s="2" t="s">
        <v>3959</v>
      </c>
      <c r="J1558" s="3" t="str">
        <f>HYPERLINK("https://www.boe.es/gazeta/dias/1816/04/02/pdfs/GMD-1816-43.pdf#page=8","Abrir facsímil")</f>
        <v>Abrir facsímil</v>
      </c>
      <c r="K1558" s="3" t="s">
        <v>23</v>
      </c>
    </row>
    <row r="1559" spans="1:11" ht="42" customHeight="1">
      <c r="A1559" s="2" t="s">
        <v>3960</v>
      </c>
      <c r="B1559" s="2" t="s">
        <v>3961</v>
      </c>
      <c r="C1559" s="2" t="s">
        <v>26</v>
      </c>
      <c r="D1559" s="2" t="s">
        <v>18</v>
      </c>
      <c r="E1559" s="5">
        <v>-30494</v>
      </c>
      <c r="F1559" s="3" t="s">
        <v>174</v>
      </c>
      <c r="G1559" s="3" t="s">
        <v>175</v>
      </c>
      <c r="H1559" s="2" t="s">
        <v>21</v>
      </c>
      <c r="I1559" s="2" t="s">
        <v>3962</v>
      </c>
      <c r="J1559" s="3" t="str">
        <f>HYPERLINK("https://www.boe.es/gazeta/dias/1816/07/04/pdfs/GMD-1816-83.pdf#page=11","Abrir facsímil")</f>
        <v>Abrir facsímil</v>
      </c>
      <c r="K1559" s="3" t="s">
        <v>23</v>
      </c>
    </row>
    <row r="1560" spans="1:11" ht="42" customHeight="1">
      <c r="A1560" s="2" t="s">
        <v>3963</v>
      </c>
      <c r="B1560" s="2" t="s">
        <v>3964</v>
      </c>
      <c r="C1560" s="2" t="s">
        <v>26</v>
      </c>
      <c r="D1560" s="2" t="s">
        <v>18</v>
      </c>
      <c r="E1560" s="5">
        <v>-30576</v>
      </c>
      <c r="F1560" s="3" t="s">
        <v>353</v>
      </c>
      <c r="G1560" s="3" t="s">
        <v>72</v>
      </c>
      <c r="H1560" s="2" t="s">
        <v>21</v>
      </c>
      <c r="I1560" s="2" t="s">
        <v>3965</v>
      </c>
      <c r="J1560" s="3" t="str">
        <f>HYPERLINK("https://www.boe.es/gazeta/dias/1816/04/13/pdfs/GMD-1816-48.pdf#page=7","Abrir facsímil")</f>
        <v>Abrir facsímil</v>
      </c>
      <c r="K1560" s="3" t="s">
        <v>23</v>
      </c>
    </row>
    <row r="1561" spans="1:11" ht="42" customHeight="1">
      <c r="A1561" s="2" t="s">
        <v>3966</v>
      </c>
      <c r="B1561" s="2" t="s">
        <v>3967</v>
      </c>
      <c r="C1561" s="2" t="s">
        <v>26</v>
      </c>
      <c r="D1561" s="2" t="s">
        <v>18</v>
      </c>
      <c r="E1561" s="5">
        <v>-30366</v>
      </c>
      <c r="F1561" s="3" t="s">
        <v>179</v>
      </c>
      <c r="G1561" s="3" t="s">
        <v>103</v>
      </c>
      <c r="H1561" s="2" t="s">
        <v>21</v>
      </c>
      <c r="I1561" s="2" t="s">
        <v>3968</v>
      </c>
      <c r="J1561" s="3" t="str">
        <f>HYPERLINK("https://www.boe.es/gazeta/dias/1816/11/09/pdfs/GMD-1816-140.pdf#page=4","Abrir facsímil")</f>
        <v>Abrir facsímil</v>
      </c>
      <c r="K1561" s="3" t="s">
        <v>23</v>
      </c>
    </row>
    <row r="1562" spans="1:11" ht="42" customHeight="1">
      <c r="A1562" s="2" t="s">
        <v>3969</v>
      </c>
      <c r="B1562" s="2" t="s">
        <v>3970</v>
      </c>
      <c r="C1562" s="2" t="s">
        <v>34</v>
      </c>
      <c r="D1562" s="2" t="s">
        <v>35</v>
      </c>
      <c r="E1562" s="5">
        <v>-30594</v>
      </c>
      <c r="F1562" s="3" t="s">
        <v>234</v>
      </c>
      <c r="G1562" s="3" t="s">
        <v>42</v>
      </c>
      <c r="H1562" s="2" t="s">
        <v>21</v>
      </c>
      <c r="I1562" s="2" t="s">
        <v>3971</v>
      </c>
      <c r="J1562" s="3" t="str">
        <f>HYPERLINK("https://www.boe.es/gazeta/dias/1816/03/26/pdfs/GMD-1816-40.pdf#page=8","Abrir facsímil")</f>
        <v>Abrir facsímil</v>
      </c>
      <c r="K1562" s="3" t="s">
        <v>23</v>
      </c>
    </row>
    <row r="1563" spans="1:11" ht="42" customHeight="1">
      <c r="A1563" s="2" t="s">
        <v>3972</v>
      </c>
      <c r="B1563" s="2" t="s">
        <v>3973</v>
      </c>
      <c r="C1563" s="2" t="s">
        <v>34</v>
      </c>
      <c r="D1563" s="2" t="s">
        <v>35</v>
      </c>
      <c r="E1563" s="5">
        <v>-30499</v>
      </c>
      <c r="F1563" s="3" t="s">
        <v>971</v>
      </c>
      <c r="G1563" s="3" t="s">
        <v>72</v>
      </c>
      <c r="H1563" s="2" t="s">
        <v>21</v>
      </c>
      <c r="I1563" s="2" t="s">
        <v>3974</v>
      </c>
      <c r="J1563" s="3" t="str">
        <f>HYPERLINK("https://www.boe.es/gazeta/dias/1816/06/29/pdfs/GMD-1816-81.pdf#page=7","Abrir facsímil")</f>
        <v>Abrir facsímil</v>
      </c>
      <c r="K1563" s="3" t="s">
        <v>23</v>
      </c>
    </row>
    <row r="1564" spans="1:11" ht="42" customHeight="1">
      <c r="A1564" s="2" t="s">
        <v>3975</v>
      </c>
      <c r="B1564" s="2" t="s">
        <v>3976</v>
      </c>
      <c r="C1564" s="2" t="s">
        <v>67</v>
      </c>
      <c r="D1564" s="2" t="s">
        <v>18</v>
      </c>
      <c r="E1564" s="5">
        <v>-30660</v>
      </c>
      <c r="F1564" s="3" t="s">
        <v>809</v>
      </c>
      <c r="G1564" s="3" t="s">
        <v>810</v>
      </c>
      <c r="H1564" s="2" t="s">
        <v>21</v>
      </c>
      <c r="I1564" s="2" t="s">
        <v>3977</v>
      </c>
      <c r="J1564" s="3" t="str">
        <f>HYPERLINK("https://www.boe.es/gazeta/dias/1816/01/20/pdfs/GMD-1816-9.pdf#page=8","Abrir facsímil")</f>
        <v>Abrir facsímil</v>
      </c>
      <c r="K1564" s="3" t="s">
        <v>23</v>
      </c>
    </row>
    <row r="1565" spans="1:11" ht="42" customHeight="1">
      <c r="A1565" s="2" t="s">
        <v>3978</v>
      </c>
      <c r="B1565" s="2" t="s">
        <v>3979</v>
      </c>
      <c r="C1565" s="2" t="s">
        <v>26</v>
      </c>
      <c r="D1565" s="2" t="s">
        <v>18</v>
      </c>
      <c r="E1565" s="5">
        <v>-30324</v>
      </c>
      <c r="F1565" s="3" t="s">
        <v>46</v>
      </c>
      <c r="G1565" s="3" t="s">
        <v>42</v>
      </c>
      <c r="H1565" s="2" t="s">
        <v>21</v>
      </c>
      <c r="I1565" s="2" t="s">
        <v>3980</v>
      </c>
      <c r="J1565" s="3" t="str">
        <f>HYPERLINK("https://www.boe.es/gazeta/dias/1816/12/21/pdfs/GMD-1816-158.pdf#page=8","Abrir facsímil")</f>
        <v>Abrir facsímil</v>
      </c>
      <c r="K1565" s="3" t="s">
        <v>23</v>
      </c>
    </row>
    <row r="1566" spans="1:11" ht="42" customHeight="1">
      <c r="A1566" s="2" t="s">
        <v>3981</v>
      </c>
      <c r="B1566" s="2" t="s">
        <v>3982</v>
      </c>
      <c r="C1566" s="2" t="s">
        <v>34</v>
      </c>
      <c r="D1566" s="2" t="s">
        <v>35</v>
      </c>
      <c r="E1566" s="5">
        <v>-30594</v>
      </c>
      <c r="F1566" s="3" t="s">
        <v>234</v>
      </c>
      <c r="G1566" s="3" t="s">
        <v>47</v>
      </c>
      <c r="H1566" s="2" t="s">
        <v>21</v>
      </c>
      <c r="I1566" s="2" t="s">
        <v>3983</v>
      </c>
      <c r="J1566" s="3" t="str">
        <f>HYPERLINK("https://www.boe.es/gazeta/dias/1816/03/26/pdfs/GMD-1816-40.pdf#page=5","Abrir facsímil")</f>
        <v>Abrir facsímil</v>
      </c>
      <c r="K1566" s="3" t="s">
        <v>23</v>
      </c>
    </row>
    <row r="1567" spans="1:11" ht="42" customHeight="1">
      <c r="A1567" s="2" t="s">
        <v>3984</v>
      </c>
      <c r="B1567" s="2" t="s">
        <v>3985</v>
      </c>
      <c r="C1567" s="2" t="s">
        <v>26</v>
      </c>
      <c r="D1567" s="2" t="s">
        <v>56</v>
      </c>
      <c r="E1567" s="5">
        <v>-30393</v>
      </c>
      <c r="F1567" s="3" t="s">
        <v>202</v>
      </c>
      <c r="G1567" s="3" t="s">
        <v>42</v>
      </c>
      <c r="H1567" s="2" t="s">
        <v>21</v>
      </c>
      <c r="I1567" s="2" t="s">
        <v>3986</v>
      </c>
      <c r="J1567" s="3" t="str">
        <f>HYPERLINK("https://www.boe.es/gazeta/dias/1816/10/13/pdfs/GMD-1816-128E.pdf#page=8","Abrir facsímil")</f>
        <v>Abrir facsímil</v>
      </c>
      <c r="K1567" s="3" t="s">
        <v>23</v>
      </c>
    </row>
    <row r="1568" spans="1:11" ht="42" customHeight="1">
      <c r="A1568" s="2" t="s">
        <v>3987</v>
      </c>
      <c r="B1568" s="2" t="s">
        <v>3988</v>
      </c>
      <c r="C1568" s="2" t="s">
        <v>67</v>
      </c>
      <c r="D1568" s="2" t="s">
        <v>18</v>
      </c>
      <c r="E1568" s="5">
        <v>-30473</v>
      </c>
      <c r="F1568" s="3" t="s">
        <v>336</v>
      </c>
      <c r="G1568" s="3" t="s">
        <v>562</v>
      </c>
      <c r="H1568" s="2" t="s">
        <v>21</v>
      </c>
      <c r="I1568" s="2" t="s">
        <v>3989</v>
      </c>
      <c r="J1568" s="3" t="str">
        <f>HYPERLINK("https://www.boe.es/gazeta/dias/1816/07/25/pdfs/GMD-1816-92.pdf#page=16","Abrir facsímil")</f>
        <v>Abrir facsímil</v>
      </c>
      <c r="K1568" s="3" t="s">
        <v>23</v>
      </c>
    </row>
    <row r="1569" spans="1:11" ht="42" customHeight="1">
      <c r="A1569" s="2" t="s">
        <v>3990</v>
      </c>
      <c r="B1569" s="2" t="s">
        <v>3991</v>
      </c>
      <c r="C1569" s="2" t="s">
        <v>26</v>
      </c>
      <c r="D1569" s="2" t="s">
        <v>18</v>
      </c>
      <c r="E1569" s="5">
        <v>-30387</v>
      </c>
      <c r="F1569" s="3" t="s">
        <v>224</v>
      </c>
      <c r="G1569" s="3" t="s">
        <v>28</v>
      </c>
      <c r="H1569" s="2" t="s">
        <v>21</v>
      </c>
      <c r="I1569" s="2" t="s">
        <v>3992</v>
      </c>
      <c r="J1569" s="3" t="str">
        <f>HYPERLINK("https://www.boe.es/gazeta/dias/1816/10/19/pdfs/GMD-1816-131.pdf#page=6","Abrir facsímil")</f>
        <v>Abrir facsímil</v>
      </c>
      <c r="K1569" s="3" t="s">
        <v>23</v>
      </c>
    </row>
    <row r="1570" spans="1:11" ht="42" customHeight="1">
      <c r="A1570" s="2" t="s">
        <v>3993</v>
      </c>
      <c r="B1570" s="2" t="s">
        <v>3994</v>
      </c>
      <c r="C1570" s="2" t="s">
        <v>34</v>
      </c>
      <c r="D1570" s="2" t="s">
        <v>35</v>
      </c>
      <c r="E1570" s="5">
        <v>-30613</v>
      </c>
      <c r="F1570" s="3" t="s">
        <v>392</v>
      </c>
      <c r="G1570" s="3" t="s">
        <v>2396</v>
      </c>
      <c r="H1570" s="2" t="s">
        <v>21</v>
      </c>
      <c r="I1570" s="2" t="s">
        <v>3995</v>
      </c>
      <c r="J1570" s="3" t="str">
        <f>HYPERLINK("https://www.boe.es/gazeta/dias/1816/03/07/pdfs/GMD-1816-31.pdf#page=5","Abrir facsímil")</f>
        <v>Abrir facsímil</v>
      </c>
      <c r="K1570" s="3" t="s">
        <v>23</v>
      </c>
    </row>
    <row r="1571" spans="1:11" ht="42" customHeight="1">
      <c r="A1571" s="2" t="s">
        <v>3996</v>
      </c>
      <c r="B1571" s="2" t="s">
        <v>3997</v>
      </c>
      <c r="C1571" s="2" t="s">
        <v>26</v>
      </c>
      <c r="D1571" s="2" t="s">
        <v>18</v>
      </c>
      <c r="E1571" s="5">
        <v>-30359</v>
      </c>
      <c r="F1571" s="3" t="s">
        <v>812</v>
      </c>
      <c r="G1571" s="3" t="s">
        <v>103</v>
      </c>
      <c r="H1571" s="2" t="s">
        <v>21</v>
      </c>
      <c r="I1571" s="2" t="s">
        <v>3998</v>
      </c>
      <c r="J1571" s="3" t="str">
        <f>HYPERLINK("https://www.boe.es/gazeta/dias/1816/11/16/pdfs/GMD-1816-143.pdf#page=4","Abrir facsímil")</f>
        <v>Abrir facsímil</v>
      </c>
      <c r="K1571" s="3" t="s">
        <v>23</v>
      </c>
    </row>
    <row r="1572" spans="1:11" ht="42" customHeight="1">
      <c r="A1572" s="2" t="s">
        <v>3999</v>
      </c>
      <c r="B1572" s="2" t="s">
        <v>4000</v>
      </c>
      <c r="C1572" s="2" t="s">
        <v>41</v>
      </c>
      <c r="D1572" s="2" t="s">
        <v>18</v>
      </c>
      <c r="E1572" s="5">
        <v>-30431</v>
      </c>
      <c r="F1572" s="3" t="s">
        <v>756</v>
      </c>
      <c r="G1572" s="3" t="s">
        <v>2277</v>
      </c>
      <c r="H1572" s="2" t="s">
        <v>21</v>
      </c>
      <c r="I1572" s="2" t="s">
        <v>4001</v>
      </c>
      <c r="J1572" s="3" t="str">
        <f>HYPERLINK("https://www.boe.es/gazeta/dias/1816/09/05/pdfs/GMD-1816-110.pdf#page=8","Abrir facsímil")</f>
        <v>Abrir facsímil</v>
      </c>
      <c r="K1572" s="3" t="s">
        <v>23</v>
      </c>
    </row>
    <row r="1573" spans="1:11" ht="42" customHeight="1">
      <c r="A1573" s="2" t="s">
        <v>4002</v>
      </c>
      <c r="B1573" s="2" t="s">
        <v>4003</v>
      </c>
      <c r="C1573" s="2" t="s">
        <v>34</v>
      </c>
      <c r="D1573" s="2" t="s">
        <v>35</v>
      </c>
      <c r="E1573" s="5">
        <v>-30657</v>
      </c>
      <c r="F1573" s="3" t="s">
        <v>899</v>
      </c>
      <c r="G1573" s="3" t="s">
        <v>4004</v>
      </c>
      <c r="H1573" s="2" t="s">
        <v>21</v>
      </c>
      <c r="I1573" s="2" t="s">
        <v>4005</v>
      </c>
      <c r="J1573" s="3" t="str">
        <f>HYPERLINK("https://www.boe.es/gazeta/dias/1816/01/23/pdfs/GMD-1816-10.pdf#page=5","Abrir facsímil")</f>
        <v>Abrir facsímil</v>
      </c>
      <c r="K1573" s="3" t="s">
        <v>23</v>
      </c>
    </row>
    <row r="1574" spans="1:11" ht="42" customHeight="1">
      <c r="A1574" s="2" t="s">
        <v>4002</v>
      </c>
      <c r="B1574" s="2" t="s">
        <v>4003</v>
      </c>
      <c r="C1574" s="2" t="s">
        <v>34</v>
      </c>
      <c r="D1574" s="2" t="s">
        <v>35</v>
      </c>
      <c r="E1574" s="5">
        <v>-30613</v>
      </c>
      <c r="F1574" s="3" t="s">
        <v>392</v>
      </c>
      <c r="G1574" s="3" t="s">
        <v>4006</v>
      </c>
      <c r="H1574" s="2" t="s">
        <v>21</v>
      </c>
      <c r="I1574" s="2" t="s">
        <v>4007</v>
      </c>
      <c r="J1574" s="3" t="str">
        <f>HYPERLINK("https://www.boe.es/gazeta/dias/1816/03/07/pdfs/GMD-1816-31.pdf#page=7","Abrir facsímil")</f>
        <v>Abrir facsímil</v>
      </c>
      <c r="K1574" s="3" t="s">
        <v>23</v>
      </c>
    </row>
    <row r="1575" spans="1:11" ht="42" customHeight="1">
      <c r="A1575" s="2" t="s">
        <v>4002</v>
      </c>
      <c r="B1575" s="2" t="s">
        <v>4003</v>
      </c>
      <c r="C1575" s="2" t="s">
        <v>34</v>
      </c>
      <c r="D1575" s="2" t="s">
        <v>35</v>
      </c>
      <c r="E1575" s="5">
        <v>-30604</v>
      </c>
      <c r="F1575" s="3" t="s">
        <v>488</v>
      </c>
      <c r="G1575" s="3" t="s">
        <v>72</v>
      </c>
      <c r="H1575" s="2" t="s">
        <v>21</v>
      </c>
      <c r="I1575" s="2" t="s">
        <v>4008</v>
      </c>
      <c r="J1575" s="3" t="str">
        <f>HYPERLINK("https://www.boe.es/gazeta/dias/1816/03/16/pdfs/GMD-1816-35.pdf#page=7","Abrir facsímil")</f>
        <v>Abrir facsímil</v>
      </c>
      <c r="K1575" s="3" t="s">
        <v>23</v>
      </c>
    </row>
    <row r="1576" spans="1:11" ht="42" customHeight="1">
      <c r="A1576" s="2" t="s">
        <v>4002</v>
      </c>
      <c r="B1576" s="2" t="s">
        <v>4003</v>
      </c>
      <c r="C1576" s="2" t="s">
        <v>34</v>
      </c>
      <c r="D1576" s="2" t="s">
        <v>35</v>
      </c>
      <c r="E1576" s="5">
        <v>-30594</v>
      </c>
      <c r="F1576" s="3" t="s">
        <v>234</v>
      </c>
      <c r="G1576" s="3" t="s">
        <v>103</v>
      </c>
      <c r="H1576" s="2" t="s">
        <v>21</v>
      </c>
      <c r="I1576" s="2" t="s">
        <v>4009</v>
      </c>
      <c r="J1576" s="3" t="str">
        <f>HYPERLINK("https://www.boe.es/gazeta/dias/1816/03/26/pdfs/GMD-1816-40.pdf#page=4","Abrir facsímil")</f>
        <v>Abrir facsímil</v>
      </c>
      <c r="K1576" s="3" t="s">
        <v>23</v>
      </c>
    </row>
    <row r="1577" spans="1:11" ht="42" customHeight="1">
      <c r="A1577" s="2" t="s">
        <v>4002</v>
      </c>
      <c r="B1577" s="2" t="s">
        <v>4003</v>
      </c>
      <c r="C1577" s="2" t="s">
        <v>34</v>
      </c>
      <c r="D1577" s="2" t="s">
        <v>35</v>
      </c>
      <c r="E1577" s="5">
        <v>-30552</v>
      </c>
      <c r="F1577" s="3" t="s">
        <v>1842</v>
      </c>
      <c r="G1577" s="3" t="s">
        <v>47</v>
      </c>
      <c r="H1577" s="2" t="s">
        <v>21</v>
      </c>
      <c r="I1577" s="2" t="s">
        <v>4010</v>
      </c>
      <c r="J1577" s="3" t="str">
        <f>HYPERLINK("https://www.boe.es/gazeta/dias/1816/05/07/pdfs/GMD-1816-58.pdf#page=5","Abrir facsímil")</f>
        <v>Abrir facsímil</v>
      </c>
      <c r="K1577" s="3" t="s">
        <v>23</v>
      </c>
    </row>
    <row r="1578" spans="1:11" ht="42" customHeight="1">
      <c r="A1578" s="2" t="s">
        <v>4002</v>
      </c>
      <c r="B1578" s="2" t="s">
        <v>4003</v>
      </c>
      <c r="C1578" s="2" t="s">
        <v>34</v>
      </c>
      <c r="D1578" s="2" t="s">
        <v>35</v>
      </c>
      <c r="E1578" s="5">
        <v>-30548</v>
      </c>
      <c r="F1578" s="3" t="s">
        <v>472</v>
      </c>
      <c r="G1578" s="3" t="s">
        <v>28</v>
      </c>
      <c r="H1578" s="2" t="s">
        <v>21</v>
      </c>
      <c r="I1578" s="2" t="s">
        <v>4011</v>
      </c>
      <c r="J1578" s="3" t="str">
        <f>HYPERLINK("https://www.boe.es/gazeta/dias/1816/05/11/pdfs/GMD-1816-60.pdf#page=6","Abrir facsímil")</f>
        <v>Abrir facsímil</v>
      </c>
      <c r="K1578" s="3" t="s">
        <v>23</v>
      </c>
    </row>
    <row r="1579" spans="1:11" ht="42" customHeight="1">
      <c r="A1579" s="2" t="s">
        <v>4002</v>
      </c>
      <c r="B1579" s="2" t="s">
        <v>4003</v>
      </c>
      <c r="C1579" s="2" t="s">
        <v>111</v>
      </c>
      <c r="D1579" s="2" t="s">
        <v>112</v>
      </c>
      <c r="E1579" s="5">
        <v>-30536</v>
      </c>
      <c r="F1579" s="3" t="s">
        <v>580</v>
      </c>
      <c r="G1579" s="3" t="s">
        <v>28</v>
      </c>
      <c r="H1579" s="2" t="s">
        <v>21</v>
      </c>
      <c r="I1579" s="2" t="s">
        <v>4012</v>
      </c>
      <c r="J1579" s="3" t="str">
        <f>HYPERLINK("https://www.boe.es/gazeta/dias/1816/05/23/pdfs/GMD-1816-65.pdf#page=6","Abrir facsímil")</f>
        <v>Abrir facsímil</v>
      </c>
      <c r="K1579" s="3" t="s">
        <v>23</v>
      </c>
    </row>
    <row r="1580" spans="1:11" ht="42" customHeight="1">
      <c r="A1580" s="2" t="s">
        <v>4002</v>
      </c>
      <c r="B1580" s="2" t="s">
        <v>4003</v>
      </c>
      <c r="C1580" s="2" t="s">
        <v>34</v>
      </c>
      <c r="D1580" s="2" t="s">
        <v>35</v>
      </c>
      <c r="E1580" s="5">
        <v>-30534</v>
      </c>
      <c r="F1580" s="3" t="s">
        <v>274</v>
      </c>
      <c r="G1580" s="3" t="s">
        <v>28</v>
      </c>
      <c r="H1580" s="2" t="s">
        <v>21</v>
      </c>
      <c r="I1580" s="2" t="s">
        <v>4013</v>
      </c>
      <c r="J1580" s="3" t="str">
        <f>HYPERLINK("https://www.boe.es/gazeta/dias/1816/05/25/pdfs/GMD-1816-66.pdf#page=6","Abrir facsímil")</f>
        <v>Abrir facsímil</v>
      </c>
      <c r="K1580" s="3" t="s">
        <v>23</v>
      </c>
    </row>
    <row r="1581" spans="1:11" ht="42" customHeight="1">
      <c r="A1581" s="2" t="s">
        <v>4002</v>
      </c>
      <c r="B1581" s="2" t="s">
        <v>4003</v>
      </c>
      <c r="C1581" s="2" t="s">
        <v>34</v>
      </c>
      <c r="D1581" s="2" t="s">
        <v>35</v>
      </c>
      <c r="E1581" s="5">
        <v>-30531</v>
      </c>
      <c r="F1581" s="3" t="s">
        <v>535</v>
      </c>
      <c r="G1581" s="3" t="s">
        <v>72</v>
      </c>
      <c r="H1581" s="2" t="s">
        <v>21</v>
      </c>
      <c r="I1581" s="2" t="s">
        <v>4014</v>
      </c>
      <c r="J1581" s="3" t="str">
        <f>HYPERLINK("https://www.boe.es/gazeta/dias/1816/05/28/pdfs/GMD-1816-67.pdf#page=7","Abrir facsímil")</f>
        <v>Abrir facsímil</v>
      </c>
      <c r="K1581" s="3" t="s">
        <v>23</v>
      </c>
    </row>
    <row r="1582" spans="1:11" ht="42" customHeight="1">
      <c r="A1582" s="2" t="s">
        <v>4002</v>
      </c>
      <c r="B1582" s="2" t="s">
        <v>4003</v>
      </c>
      <c r="C1582" s="2" t="s">
        <v>34</v>
      </c>
      <c r="D1582" s="2" t="s">
        <v>35</v>
      </c>
      <c r="E1582" s="5">
        <v>-30529</v>
      </c>
      <c r="F1582" s="3" t="s">
        <v>432</v>
      </c>
      <c r="G1582" s="3" t="s">
        <v>28</v>
      </c>
      <c r="H1582" s="2" t="s">
        <v>21</v>
      </c>
      <c r="I1582" s="2" t="s">
        <v>4015</v>
      </c>
      <c r="J1582" s="3" t="str">
        <f>HYPERLINK("https://www.boe.es/gazeta/dias/1816/05/30/pdfs/GMD-1816-68.pdf#page=6","Abrir facsímil")</f>
        <v>Abrir facsímil</v>
      </c>
      <c r="K1582" s="3" t="s">
        <v>23</v>
      </c>
    </row>
    <row r="1583" spans="1:11" ht="42" customHeight="1">
      <c r="A1583" s="2" t="s">
        <v>4002</v>
      </c>
      <c r="B1583" s="2" t="s">
        <v>4003</v>
      </c>
      <c r="C1583" s="2" t="s">
        <v>34</v>
      </c>
      <c r="D1583" s="2" t="s">
        <v>35</v>
      </c>
      <c r="E1583" s="5">
        <v>-30499</v>
      </c>
      <c r="F1583" s="3" t="s">
        <v>971</v>
      </c>
      <c r="G1583" s="3" t="s">
        <v>3071</v>
      </c>
      <c r="H1583" s="2" t="s">
        <v>21</v>
      </c>
      <c r="I1583" s="2" t="s">
        <v>4016</v>
      </c>
      <c r="J1583" s="3" t="str">
        <f>HYPERLINK("https://www.boe.es/gazeta/dias/1816/06/29/pdfs/GMD-1816-81.pdf#page=6","Abrir facsímil")</f>
        <v>Abrir facsímil</v>
      </c>
      <c r="K1583" s="3" t="s">
        <v>23</v>
      </c>
    </row>
    <row r="1584" spans="1:11" ht="42" customHeight="1">
      <c r="A1584" s="2" t="s">
        <v>4002</v>
      </c>
      <c r="B1584" s="2" t="s">
        <v>4003</v>
      </c>
      <c r="C1584" s="2" t="s">
        <v>34</v>
      </c>
      <c r="D1584" s="2" t="s">
        <v>35</v>
      </c>
      <c r="E1584" s="5">
        <v>-30471</v>
      </c>
      <c r="F1584" s="3" t="s">
        <v>639</v>
      </c>
      <c r="G1584" s="3" t="s">
        <v>72</v>
      </c>
      <c r="H1584" s="2" t="s">
        <v>21</v>
      </c>
      <c r="I1584" s="2" t="s">
        <v>4017</v>
      </c>
      <c r="J1584" s="3" t="str">
        <f>HYPERLINK("https://www.boe.es/gazeta/dias/1816/07/27/pdfs/GMD-1816-93.pdf#page=7","Abrir facsímil")</f>
        <v>Abrir facsímil</v>
      </c>
      <c r="K1584" s="3" t="s">
        <v>23</v>
      </c>
    </row>
    <row r="1585" spans="1:11" ht="42" customHeight="1">
      <c r="A1585" s="2" t="s">
        <v>4002</v>
      </c>
      <c r="B1585" s="2" t="s">
        <v>4003</v>
      </c>
      <c r="C1585" s="2" t="s">
        <v>34</v>
      </c>
      <c r="D1585" s="2" t="s">
        <v>35</v>
      </c>
      <c r="E1585" s="5">
        <v>-30461</v>
      </c>
      <c r="F1585" s="3" t="s">
        <v>912</v>
      </c>
      <c r="G1585" s="3" t="s">
        <v>47</v>
      </c>
      <c r="H1585" s="2" t="s">
        <v>21</v>
      </c>
      <c r="I1585" s="2" t="s">
        <v>4018</v>
      </c>
      <c r="J1585" s="3" t="str">
        <f>HYPERLINK("https://www.boe.es/gazeta/dias/1816/08/06/pdfs/GMD-1816-97.pdf#page=5","Abrir facsímil")</f>
        <v>Abrir facsímil</v>
      </c>
      <c r="K1585" s="3" t="s">
        <v>23</v>
      </c>
    </row>
    <row r="1586" spans="1:11" ht="42" customHeight="1">
      <c r="A1586" s="2" t="s">
        <v>4002</v>
      </c>
      <c r="B1586" s="2" t="s">
        <v>4003</v>
      </c>
      <c r="C1586" s="2" t="s">
        <v>111</v>
      </c>
      <c r="D1586" s="2" t="s">
        <v>112</v>
      </c>
      <c r="E1586" s="5">
        <v>-30454</v>
      </c>
      <c r="F1586" s="3" t="s">
        <v>188</v>
      </c>
      <c r="G1586" s="3" t="s">
        <v>72</v>
      </c>
      <c r="H1586" s="2" t="s">
        <v>21</v>
      </c>
      <c r="I1586" s="2" t="s">
        <v>4019</v>
      </c>
      <c r="J1586" s="3" t="str">
        <f>HYPERLINK("https://www.boe.es/gazeta/dias/1816/08/13/pdfs/GMD-1816-100.pdf#page=7","Abrir facsímil")</f>
        <v>Abrir facsímil</v>
      </c>
      <c r="K1586" s="3" t="s">
        <v>23</v>
      </c>
    </row>
    <row r="1587" spans="1:11" ht="42" customHeight="1">
      <c r="A1587" s="2" t="s">
        <v>4002</v>
      </c>
      <c r="B1587" s="2" t="s">
        <v>4003</v>
      </c>
      <c r="C1587" s="2" t="s">
        <v>34</v>
      </c>
      <c r="D1587" s="2" t="s">
        <v>35</v>
      </c>
      <c r="E1587" s="5">
        <v>-30436</v>
      </c>
      <c r="F1587" s="3" t="s">
        <v>102</v>
      </c>
      <c r="G1587" s="3" t="s">
        <v>180</v>
      </c>
      <c r="H1587" s="2" t="s">
        <v>21</v>
      </c>
      <c r="I1587" s="2" t="s">
        <v>4020</v>
      </c>
      <c r="J1587" s="3" t="str">
        <f>HYPERLINK("https://www.boe.es/gazeta/dias/1816/08/31/pdfs/GMD-1816-108.pdf#page=10","Abrir facsímil")</f>
        <v>Abrir facsímil</v>
      </c>
      <c r="K1587" s="3" t="s">
        <v>23</v>
      </c>
    </row>
    <row r="1588" spans="1:11" ht="42" customHeight="1">
      <c r="A1588" s="2" t="s">
        <v>4002</v>
      </c>
      <c r="B1588" s="2" t="s">
        <v>4003</v>
      </c>
      <c r="C1588" s="2" t="s">
        <v>111</v>
      </c>
      <c r="D1588" s="2" t="s">
        <v>112</v>
      </c>
      <c r="E1588" s="5">
        <v>-30436</v>
      </c>
      <c r="F1588" s="3" t="s">
        <v>102</v>
      </c>
      <c r="G1588" s="3" t="s">
        <v>28</v>
      </c>
      <c r="H1588" s="2" t="s">
        <v>21</v>
      </c>
      <c r="I1588" s="2" t="s">
        <v>4021</v>
      </c>
      <c r="J1588" s="3" t="str">
        <f>HYPERLINK("https://www.boe.es/gazeta/dias/1816/08/31/pdfs/GMD-1816-108.pdf#page=6","Abrir facsímil")</f>
        <v>Abrir facsímil</v>
      </c>
      <c r="K1588" s="3" t="s">
        <v>23</v>
      </c>
    </row>
    <row r="1589" spans="1:11" ht="42" customHeight="1">
      <c r="A1589" s="2" t="s">
        <v>4002</v>
      </c>
      <c r="B1589" s="2" t="s">
        <v>4003</v>
      </c>
      <c r="C1589" s="2" t="s">
        <v>111</v>
      </c>
      <c r="D1589" s="2" t="s">
        <v>112</v>
      </c>
      <c r="E1589" s="5">
        <v>-30412</v>
      </c>
      <c r="F1589" s="3" t="s">
        <v>388</v>
      </c>
      <c r="G1589" s="3" t="s">
        <v>3286</v>
      </c>
      <c r="H1589" s="2" t="s">
        <v>21</v>
      </c>
      <c r="I1589" s="2" t="s">
        <v>4022</v>
      </c>
      <c r="J1589" s="3" t="str">
        <f>HYPERLINK("https://www.boe.es/gazeta/dias/1816/09/24/pdfs/GMD-1816-118.pdf#page=6","Abrir facsímil")</f>
        <v>Abrir facsímil</v>
      </c>
      <c r="K1589" s="3" t="s">
        <v>23</v>
      </c>
    </row>
    <row r="1590" spans="1:11" ht="42" customHeight="1">
      <c r="A1590" s="2" t="s">
        <v>4002</v>
      </c>
      <c r="B1590" s="2" t="s">
        <v>4003</v>
      </c>
      <c r="C1590" s="2" t="s">
        <v>111</v>
      </c>
      <c r="D1590" s="2" t="s">
        <v>112</v>
      </c>
      <c r="E1590" s="5">
        <v>-30412</v>
      </c>
      <c r="F1590" s="3" t="s">
        <v>388</v>
      </c>
      <c r="G1590" s="3" t="s">
        <v>72</v>
      </c>
      <c r="H1590" s="2" t="s">
        <v>21</v>
      </c>
      <c r="I1590" s="2" t="s">
        <v>4023</v>
      </c>
      <c r="J1590" s="3" t="str">
        <f>HYPERLINK("https://www.boe.es/gazeta/dias/1816/09/24/pdfs/GMD-1816-118.pdf#page=7","Abrir facsímil")</f>
        <v>Abrir facsímil</v>
      </c>
      <c r="K1590" s="3" t="s">
        <v>23</v>
      </c>
    </row>
    <row r="1591" spans="1:11" ht="42" customHeight="1">
      <c r="A1591" s="2" t="s">
        <v>4002</v>
      </c>
      <c r="B1591" s="2" t="s">
        <v>4003</v>
      </c>
      <c r="C1591" s="2" t="s">
        <v>34</v>
      </c>
      <c r="D1591" s="2" t="s">
        <v>35</v>
      </c>
      <c r="E1591" s="5">
        <v>-30398</v>
      </c>
      <c r="F1591" s="3" t="s">
        <v>447</v>
      </c>
      <c r="G1591" s="3" t="s">
        <v>72</v>
      </c>
      <c r="H1591" s="2" t="s">
        <v>21</v>
      </c>
      <c r="I1591" s="2" t="s">
        <v>4024</v>
      </c>
      <c r="J1591" s="3" t="str">
        <f>HYPERLINK("https://www.boe.es/gazeta/dias/1816/10/08/pdfs/GMD-1816-125.pdf#page=7","Abrir facsímil")</f>
        <v>Abrir facsímil</v>
      </c>
      <c r="K1591" s="3" t="s">
        <v>23</v>
      </c>
    </row>
    <row r="1592" spans="1:11" ht="42" customHeight="1">
      <c r="A1592" s="2" t="s">
        <v>4002</v>
      </c>
      <c r="B1592" s="2" t="s">
        <v>4003</v>
      </c>
      <c r="C1592" s="2" t="s">
        <v>111</v>
      </c>
      <c r="D1592" s="2" t="s">
        <v>112</v>
      </c>
      <c r="E1592" s="5">
        <v>-30396</v>
      </c>
      <c r="F1592" s="3" t="s">
        <v>1623</v>
      </c>
      <c r="G1592" s="3" t="s">
        <v>175</v>
      </c>
      <c r="H1592" s="2" t="s">
        <v>21</v>
      </c>
      <c r="I1592" s="2" t="s">
        <v>4025</v>
      </c>
      <c r="J1592" s="3" t="str">
        <f>HYPERLINK("https://www.boe.es/gazeta/dias/1816/10/10/pdfs/GMD-1816-126.pdf#page=11","Abrir facsímil")</f>
        <v>Abrir facsímil</v>
      </c>
      <c r="K1592" s="3" t="s">
        <v>23</v>
      </c>
    </row>
    <row r="1593" spans="1:11" ht="42" customHeight="1">
      <c r="A1593" s="2" t="s">
        <v>4002</v>
      </c>
      <c r="B1593" s="2" t="s">
        <v>4003</v>
      </c>
      <c r="C1593" s="2" t="s">
        <v>34</v>
      </c>
      <c r="D1593" s="2" t="s">
        <v>35</v>
      </c>
      <c r="E1593" s="5">
        <v>-30394</v>
      </c>
      <c r="F1593" s="3" t="s">
        <v>589</v>
      </c>
      <c r="G1593" s="3" t="s">
        <v>72</v>
      </c>
      <c r="H1593" s="2" t="s">
        <v>21</v>
      </c>
      <c r="I1593" s="2" t="s">
        <v>4026</v>
      </c>
      <c r="J1593" s="3" t="str">
        <f>HYPERLINK("https://www.boe.es/gazeta/dias/1816/10/12/pdfs/GMD-1816-127.pdf#page=7","Abrir facsímil")</f>
        <v>Abrir facsímil</v>
      </c>
      <c r="K1593" s="3" t="s">
        <v>23</v>
      </c>
    </row>
    <row r="1594" spans="1:11" ht="42" customHeight="1">
      <c r="A1594" s="2" t="s">
        <v>4002</v>
      </c>
      <c r="B1594" s="2" t="s">
        <v>4003</v>
      </c>
      <c r="C1594" s="2" t="s">
        <v>34</v>
      </c>
      <c r="D1594" s="2" t="s">
        <v>35</v>
      </c>
      <c r="E1594" s="5">
        <v>-30356</v>
      </c>
      <c r="F1594" s="3" t="s">
        <v>824</v>
      </c>
      <c r="G1594" s="3" t="s">
        <v>28</v>
      </c>
      <c r="H1594" s="2" t="s">
        <v>21</v>
      </c>
      <c r="I1594" s="2" t="s">
        <v>4027</v>
      </c>
      <c r="J1594" s="3" t="str">
        <f>HYPERLINK("https://www.boe.es/gazeta/dias/1816/11/19/pdfs/GMD-1816-144.pdf#page=6","Abrir facsímil")</f>
        <v>Abrir facsímil</v>
      </c>
      <c r="K1594" s="3" t="s">
        <v>23</v>
      </c>
    </row>
    <row r="1595" spans="1:11" ht="42" customHeight="1">
      <c r="A1595" s="2" t="s">
        <v>4002</v>
      </c>
      <c r="B1595" s="2" t="s">
        <v>4003</v>
      </c>
      <c r="C1595" s="2" t="s">
        <v>34</v>
      </c>
      <c r="D1595" s="2" t="s">
        <v>35</v>
      </c>
      <c r="E1595" s="5">
        <v>-30338</v>
      </c>
      <c r="F1595" s="3" t="s">
        <v>464</v>
      </c>
      <c r="G1595" s="3" t="s">
        <v>72</v>
      </c>
      <c r="H1595" s="2" t="s">
        <v>21</v>
      </c>
      <c r="I1595" s="2" t="s">
        <v>4028</v>
      </c>
      <c r="J1595" s="3" t="str">
        <f>HYPERLINK("https://www.boe.es/gazeta/dias/1816/12/07/pdfs/GMD-1816-152.pdf#page=7","Abrir facsímil")</f>
        <v>Abrir facsímil</v>
      </c>
      <c r="K1595" s="3" t="s">
        <v>23</v>
      </c>
    </row>
    <row r="1596" spans="1:11" ht="42" customHeight="1">
      <c r="A1596" s="2" t="s">
        <v>4029</v>
      </c>
      <c r="B1596" s="2" t="s">
        <v>4030</v>
      </c>
      <c r="C1596" s="2" t="s">
        <v>34</v>
      </c>
      <c r="D1596" s="2" t="s">
        <v>35</v>
      </c>
      <c r="E1596" s="5">
        <v>-30611</v>
      </c>
      <c r="F1596" s="3" t="s">
        <v>211</v>
      </c>
      <c r="G1596" s="3" t="s">
        <v>47</v>
      </c>
      <c r="H1596" s="2" t="s">
        <v>21</v>
      </c>
      <c r="I1596" s="2" t="s">
        <v>4031</v>
      </c>
      <c r="J1596" s="3" t="str">
        <f>HYPERLINK("https://www.boe.es/gazeta/dias/1816/03/09/pdfs/GMD-1816-32.pdf#page=5","Abrir facsímil")</f>
        <v>Abrir facsímil</v>
      </c>
      <c r="K1596" s="3" t="s">
        <v>23</v>
      </c>
    </row>
    <row r="1597" spans="1:11" ht="42" customHeight="1">
      <c r="A1597" s="2" t="s">
        <v>4029</v>
      </c>
      <c r="B1597" s="2" t="s">
        <v>4030</v>
      </c>
      <c r="C1597" s="2" t="s">
        <v>111</v>
      </c>
      <c r="D1597" s="2" t="s">
        <v>112</v>
      </c>
      <c r="E1597" s="5">
        <v>-30438</v>
      </c>
      <c r="F1597" s="3" t="s">
        <v>299</v>
      </c>
      <c r="G1597" s="3" t="s">
        <v>92</v>
      </c>
      <c r="H1597" s="2" t="s">
        <v>21</v>
      </c>
      <c r="I1597" s="2" t="s">
        <v>4032</v>
      </c>
      <c r="J1597" s="3" t="str">
        <f>HYPERLINK("https://www.boe.es/gazeta/dias/1816/08/29/pdfs/GMD-1816-107.pdf#page=9","Abrir facsímil")</f>
        <v>Abrir facsímil</v>
      </c>
      <c r="K1597" s="3" t="s">
        <v>23</v>
      </c>
    </row>
    <row r="1598" spans="1:11" ht="42" customHeight="1">
      <c r="A1598" s="2" t="s">
        <v>4029</v>
      </c>
      <c r="B1598" s="2" t="s">
        <v>4030</v>
      </c>
      <c r="C1598" s="2" t="s">
        <v>111</v>
      </c>
      <c r="D1598" s="2" t="s">
        <v>112</v>
      </c>
      <c r="E1598" s="5">
        <v>-30359</v>
      </c>
      <c r="F1598" s="3" t="s">
        <v>812</v>
      </c>
      <c r="G1598" s="3" t="s">
        <v>28</v>
      </c>
      <c r="H1598" s="2" t="s">
        <v>21</v>
      </c>
      <c r="I1598" s="2" t="s">
        <v>4033</v>
      </c>
      <c r="J1598" s="3" t="str">
        <f>HYPERLINK("https://www.boe.es/gazeta/dias/1816/11/16/pdfs/GMD-1816-143.pdf#page=6","Abrir facsímil")</f>
        <v>Abrir facsímil</v>
      </c>
      <c r="K1598" s="3" t="s">
        <v>23</v>
      </c>
    </row>
    <row r="1599" spans="1:11" ht="42" customHeight="1">
      <c r="A1599" s="2" t="s">
        <v>4034</v>
      </c>
      <c r="B1599" s="2" t="s">
        <v>4035</v>
      </c>
      <c r="C1599" s="2" t="s">
        <v>111</v>
      </c>
      <c r="D1599" s="2" t="s">
        <v>112</v>
      </c>
      <c r="E1599" s="5">
        <v>-30352</v>
      </c>
      <c r="F1599" s="3" t="s">
        <v>407</v>
      </c>
      <c r="G1599" s="3" t="s">
        <v>47</v>
      </c>
      <c r="H1599" s="2" t="s">
        <v>21</v>
      </c>
      <c r="I1599" s="2" t="s">
        <v>4036</v>
      </c>
      <c r="J1599" s="3" t="str">
        <f>HYPERLINK("https://www.boe.es/gazeta/dias/1816/11/23/pdfs/GMD-1816-146.pdf#page=5","Abrir facsímil")</f>
        <v>Abrir facsímil</v>
      </c>
      <c r="K1599" s="3" t="s">
        <v>23</v>
      </c>
    </row>
    <row r="1600" spans="1:11" ht="42" customHeight="1">
      <c r="A1600" s="2" t="s">
        <v>4037</v>
      </c>
      <c r="B1600" s="2" t="s">
        <v>4038</v>
      </c>
      <c r="C1600" s="2" t="s">
        <v>41</v>
      </c>
      <c r="D1600" s="2" t="s">
        <v>18</v>
      </c>
      <c r="E1600" s="5">
        <v>-30387</v>
      </c>
      <c r="F1600" s="3" t="s">
        <v>224</v>
      </c>
      <c r="G1600" s="3" t="s">
        <v>28</v>
      </c>
      <c r="H1600" s="2" t="s">
        <v>21</v>
      </c>
      <c r="I1600" s="2" t="s">
        <v>4039</v>
      </c>
      <c r="J1600" s="3" t="str">
        <f>HYPERLINK("https://www.boe.es/gazeta/dias/1816/10/19/pdfs/GMD-1816-131.pdf#page=6","Abrir facsímil")</f>
        <v>Abrir facsímil</v>
      </c>
      <c r="K1600" s="3" t="s">
        <v>23</v>
      </c>
    </row>
    <row r="1601" spans="1:11" ht="42" customHeight="1">
      <c r="A1601" s="2" t="s">
        <v>4040</v>
      </c>
      <c r="B1601" s="2" t="s">
        <v>4040</v>
      </c>
      <c r="C1601" s="2" t="s">
        <v>26</v>
      </c>
      <c r="D1601" s="2" t="s">
        <v>18</v>
      </c>
      <c r="E1601" s="5">
        <v>-30494</v>
      </c>
      <c r="F1601" s="3" t="s">
        <v>174</v>
      </c>
      <c r="G1601" s="3" t="s">
        <v>72</v>
      </c>
      <c r="H1601" s="2" t="s">
        <v>21</v>
      </c>
      <c r="I1601" s="2" t="s">
        <v>4041</v>
      </c>
      <c r="J1601" s="3" t="str">
        <f>HYPERLINK("https://www.boe.es/gazeta/dias/1816/07/04/pdfs/GMD-1816-83.pdf#page=7","Abrir facsímil")</f>
        <v>Abrir facsímil</v>
      </c>
      <c r="K1601" s="3" t="s">
        <v>23</v>
      </c>
    </row>
    <row r="1602" spans="1:11" ht="42" customHeight="1">
      <c r="A1602" s="2" t="s">
        <v>4042</v>
      </c>
      <c r="B1602" s="2" t="s">
        <v>4042</v>
      </c>
      <c r="C1602" s="2" t="s">
        <v>81</v>
      </c>
      <c r="D1602" s="2" t="s">
        <v>18</v>
      </c>
      <c r="E1602" s="5">
        <v>-30566</v>
      </c>
      <c r="F1602" s="3" t="s">
        <v>113</v>
      </c>
      <c r="G1602" s="3" t="s">
        <v>72</v>
      </c>
      <c r="H1602" s="2" t="s">
        <v>21</v>
      </c>
      <c r="I1602" s="2" t="s">
        <v>4043</v>
      </c>
      <c r="J1602" s="3" t="str">
        <f>HYPERLINK("https://www.boe.es/gazeta/dias/1816/04/23/pdfs/GMD-1816-52.pdf#page=7","Abrir facsímil")</f>
        <v>Abrir facsímil</v>
      </c>
      <c r="K1602" s="3" t="s">
        <v>23</v>
      </c>
    </row>
    <row r="1603" spans="1:11" ht="42" customHeight="1">
      <c r="A1603" s="2" t="s">
        <v>4042</v>
      </c>
      <c r="B1603" s="2" t="s">
        <v>4042</v>
      </c>
      <c r="C1603" s="2" t="s">
        <v>26</v>
      </c>
      <c r="D1603" s="2" t="s">
        <v>18</v>
      </c>
      <c r="E1603" s="5">
        <v>-30494</v>
      </c>
      <c r="F1603" s="3" t="s">
        <v>174</v>
      </c>
      <c r="G1603" s="3" t="s">
        <v>42</v>
      </c>
      <c r="H1603" s="2" t="s">
        <v>21</v>
      </c>
      <c r="I1603" s="2" t="s">
        <v>4044</v>
      </c>
      <c r="J1603" s="3" t="str">
        <f>HYPERLINK("https://www.boe.es/gazeta/dias/1816/07/04/pdfs/GMD-1816-83.pdf#page=8","Abrir facsímil")</f>
        <v>Abrir facsímil</v>
      </c>
      <c r="K1603" s="3" t="s">
        <v>23</v>
      </c>
    </row>
    <row r="1604" spans="1:11" ht="42" customHeight="1">
      <c r="A1604" s="2" t="s">
        <v>4045</v>
      </c>
      <c r="B1604" s="2" t="s">
        <v>4046</v>
      </c>
      <c r="C1604" s="2" t="s">
        <v>111</v>
      </c>
      <c r="D1604" s="2" t="s">
        <v>112</v>
      </c>
      <c r="E1604" s="5">
        <v>-30660</v>
      </c>
      <c r="F1604" s="3" t="s">
        <v>809</v>
      </c>
      <c r="G1604" s="3" t="s">
        <v>810</v>
      </c>
      <c r="H1604" s="2" t="s">
        <v>21</v>
      </c>
      <c r="I1604" s="2" t="s">
        <v>4047</v>
      </c>
      <c r="J1604" s="3" t="str">
        <f>HYPERLINK("https://www.boe.es/gazeta/dias/1816/01/20/pdfs/GMD-1816-9.pdf#page=8","Abrir facsímil")</f>
        <v>Abrir facsímil</v>
      </c>
      <c r="K1604" s="3" t="s">
        <v>23</v>
      </c>
    </row>
    <row r="1605" spans="1:11" ht="42" customHeight="1">
      <c r="A1605" s="2" t="s">
        <v>4048</v>
      </c>
      <c r="B1605" s="2" t="s">
        <v>4049</v>
      </c>
      <c r="C1605" s="2" t="s">
        <v>67</v>
      </c>
      <c r="D1605" s="2" t="s">
        <v>18</v>
      </c>
      <c r="E1605" s="5">
        <v>-30641</v>
      </c>
      <c r="F1605" s="3" t="s">
        <v>192</v>
      </c>
      <c r="G1605" s="3" t="s">
        <v>42</v>
      </c>
      <c r="H1605" s="2" t="s">
        <v>21</v>
      </c>
      <c r="I1605" s="2" t="s">
        <v>4050</v>
      </c>
      <c r="J1605" s="3" t="str">
        <f>HYPERLINK("https://www.boe.es/gazeta/dias/1816/02/08/pdfs/GMD-1816-18.pdf#page=8","Abrir facsímil")</f>
        <v>Abrir facsímil</v>
      </c>
      <c r="K1605" s="3" t="s">
        <v>23</v>
      </c>
    </row>
    <row r="1606" spans="1:11" ht="42" customHeight="1">
      <c r="A1606" s="2" t="s">
        <v>4048</v>
      </c>
      <c r="B1606" s="2" t="s">
        <v>4049</v>
      </c>
      <c r="C1606" s="2" t="s">
        <v>34</v>
      </c>
      <c r="D1606" s="2" t="s">
        <v>35</v>
      </c>
      <c r="E1606" s="5">
        <v>-30415</v>
      </c>
      <c r="F1606" s="3" t="s">
        <v>585</v>
      </c>
      <c r="G1606" s="3" t="s">
        <v>52</v>
      </c>
      <c r="H1606" s="2" t="s">
        <v>21</v>
      </c>
      <c r="I1606" s="2" t="s">
        <v>4051</v>
      </c>
      <c r="J1606" s="3" t="str">
        <f>HYPERLINK("https://www.boe.es/gazeta/dias/1816/09/21/pdfs/GMD-1816-117.pdf#page=12","Abrir facsímil")</f>
        <v>Abrir facsímil</v>
      </c>
      <c r="K1606" s="3" t="s">
        <v>23</v>
      </c>
    </row>
    <row r="1607" spans="1:11" ht="42" customHeight="1">
      <c r="A1607" s="2" t="s">
        <v>4052</v>
      </c>
      <c r="B1607" s="2" t="s">
        <v>4052</v>
      </c>
      <c r="C1607" s="2" t="s">
        <v>34</v>
      </c>
      <c r="D1607" s="2" t="s">
        <v>35</v>
      </c>
      <c r="E1607" s="5">
        <v>-30534</v>
      </c>
      <c r="F1607" s="3" t="s">
        <v>274</v>
      </c>
      <c r="G1607" s="3" t="s">
        <v>47</v>
      </c>
      <c r="H1607" s="2" t="s">
        <v>21</v>
      </c>
      <c r="I1607" s="2" t="s">
        <v>4053</v>
      </c>
      <c r="J1607" s="3" t="str">
        <f>HYPERLINK("https://www.boe.es/gazeta/dias/1816/05/25/pdfs/GMD-1816-66.pdf#page=5","Abrir facsímil")</f>
        <v>Abrir facsímil</v>
      </c>
      <c r="K1607" s="3" t="s">
        <v>23</v>
      </c>
    </row>
    <row r="1608" spans="1:11" ht="42" customHeight="1">
      <c r="A1608" s="2" t="s">
        <v>4054</v>
      </c>
      <c r="B1608" s="2" t="s">
        <v>4055</v>
      </c>
      <c r="C1608" s="2" t="s">
        <v>26</v>
      </c>
      <c r="D1608" s="2" t="s">
        <v>18</v>
      </c>
      <c r="E1608" s="5">
        <v>-30410</v>
      </c>
      <c r="F1608" s="3" t="s">
        <v>1259</v>
      </c>
      <c r="G1608" s="3" t="s">
        <v>1318</v>
      </c>
      <c r="H1608" s="2" t="s">
        <v>21</v>
      </c>
      <c r="I1608" s="2" t="s">
        <v>4056</v>
      </c>
      <c r="J1608" s="3" t="str">
        <f>HYPERLINK("https://www.boe.es/gazeta/dias/1816/09/26/pdfs/GMD-1816-119.pdf#page=4","Abrir facsímil")</f>
        <v>Abrir facsímil</v>
      </c>
      <c r="K1608" s="3" t="s">
        <v>23</v>
      </c>
    </row>
    <row r="1609" spans="1:11" ht="42" customHeight="1">
      <c r="A1609" s="2" t="s">
        <v>4057</v>
      </c>
      <c r="B1609" s="2" t="s">
        <v>4057</v>
      </c>
      <c r="C1609" s="2" t="s">
        <v>34</v>
      </c>
      <c r="D1609" s="2" t="s">
        <v>35</v>
      </c>
      <c r="E1609" s="5">
        <v>-30380</v>
      </c>
      <c r="F1609" s="3" t="s">
        <v>819</v>
      </c>
      <c r="G1609" s="3" t="s">
        <v>72</v>
      </c>
      <c r="H1609" s="2" t="s">
        <v>21</v>
      </c>
      <c r="I1609" s="2" t="s">
        <v>4058</v>
      </c>
      <c r="J1609" s="3" t="str">
        <f>HYPERLINK("https://www.boe.es/gazeta/dias/1816/10/26/pdfs/GMD-1816-134.pdf#page=7","Abrir facsímil")</f>
        <v>Abrir facsímil</v>
      </c>
      <c r="K1609" s="3" t="s">
        <v>23</v>
      </c>
    </row>
    <row r="1610" spans="1:11" ht="42" customHeight="1">
      <c r="A1610" s="2" t="s">
        <v>4059</v>
      </c>
      <c r="B1610" s="2" t="s">
        <v>4060</v>
      </c>
      <c r="C1610" s="2" t="s">
        <v>111</v>
      </c>
      <c r="D1610" s="2" t="s">
        <v>112</v>
      </c>
      <c r="E1610" s="5">
        <v>-30447</v>
      </c>
      <c r="F1610" s="3" t="s">
        <v>151</v>
      </c>
      <c r="G1610" s="3" t="s">
        <v>152</v>
      </c>
      <c r="H1610" s="2" t="s">
        <v>21</v>
      </c>
      <c r="I1610" s="2" t="s">
        <v>4061</v>
      </c>
      <c r="J1610" s="3" t="str">
        <f>HYPERLINK("https://www.boe.es/gazeta/dias/1816/08/20/pdfs/GMD-1816-103.pdf#page=8","Abrir facsímil")</f>
        <v>Abrir facsímil</v>
      </c>
      <c r="K1610" s="3" t="s">
        <v>23</v>
      </c>
    </row>
    <row r="1611" spans="1:11" ht="42" customHeight="1">
      <c r="A1611" s="2" t="s">
        <v>4062</v>
      </c>
      <c r="B1611" s="2" t="s">
        <v>4063</v>
      </c>
      <c r="C1611" s="2" t="s">
        <v>67</v>
      </c>
      <c r="D1611" s="2" t="s">
        <v>18</v>
      </c>
      <c r="E1611" s="5">
        <v>-30662</v>
      </c>
      <c r="F1611" s="3" t="s">
        <v>485</v>
      </c>
      <c r="G1611" s="3" t="s">
        <v>42</v>
      </c>
      <c r="H1611" s="2" t="s">
        <v>21</v>
      </c>
      <c r="I1611" s="2" t="s">
        <v>4064</v>
      </c>
      <c r="J1611" s="3" t="str">
        <f>HYPERLINK("https://www.boe.es/gazeta/dias/1816/01/18/pdfs/GMD-1816-8.pdf#page=8","Abrir facsímil")</f>
        <v>Abrir facsímil</v>
      </c>
      <c r="K1611" s="3" t="s">
        <v>23</v>
      </c>
    </row>
    <row r="1612" spans="1:11" ht="42" customHeight="1">
      <c r="A1612" s="2" t="s">
        <v>4065</v>
      </c>
      <c r="B1612" s="2" t="s">
        <v>4066</v>
      </c>
      <c r="C1612" s="2" t="s">
        <v>81</v>
      </c>
      <c r="D1612" s="2" t="s">
        <v>18</v>
      </c>
      <c r="E1612" s="5">
        <v>-30405</v>
      </c>
      <c r="F1612" s="3" t="s">
        <v>587</v>
      </c>
      <c r="G1612" s="3" t="s">
        <v>42</v>
      </c>
      <c r="H1612" s="2" t="s">
        <v>21</v>
      </c>
      <c r="I1612" s="2" t="s">
        <v>4067</v>
      </c>
      <c r="J1612" s="3" t="str">
        <f>HYPERLINK("https://www.boe.es/gazeta/dias/1816/10/01/pdfs/GMD-1816-121.pdf#page=8","Abrir facsímil")</f>
        <v>Abrir facsímil</v>
      </c>
      <c r="K1612" s="3" t="s">
        <v>23</v>
      </c>
    </row>
    <row r="1613" spans="1:11" ht="42" customHeight="1">
      <c r="A1613" s="2" t="s">
        <v>4068</v>
      </c>
      <c r="B1613" s="2" t="s">
        <v>4069</v>
      </c>
      <c r="C1613" s="2" t="s">
        <v>111</v>
      </c>
      <c r="D1613" s="2" t="s">
        <v>112</v>
      </c>
      <c r="E1613" s="5">
        <v>-30513</v>
      </c>
      <c r="F1613" s="3" t="s">
        <v>582</v>
      </c>
      <c r="G1613" s="3" t="s">
        <v>42</v>
      </c>
      <c r="H1613" s="2" t="s">
        <v>21</v>
      </c>
      <c r="I1613" s="2" t="s">
        <v>4070</v>
      </c>
      <c r="J1613" s="3" t="str">
        <f>HYPERLINK("https://www.boe.es/gazeta/dias/1816/06/15/pdfs/GMD-1816-75.pdf#page=8","Abrir facsímil")</f>
        <v>Abrir facsímil</v>
      </c>
      <c r="K1613" s="3" t="s">
        <v>23</v>
      </c>
    </row>
    <row r="1614" spans="1:11" ht="42" customHeight="1">
      <c r="A1614" s="2" t="s">
        <v>4068</v>
      </c>
      <c r="B1614" s="2" t="s">
        <v>4069</v>
      </c>
      <c r="C1614" s="2" t="s">
        <v>111</v>
      </c>
      <c r="D1614" s="2" t="s">
        <v>112</v>
      </c>
      <c r="E1614" s="5">
        <v>-30319</v>
      </c>
      <c r="F1614" s="3" t="s">
        <v>131</v>
      </c>
      <c r="G1614" s="3" t="s">
        <v>42</v>
      </c>
      <c r="H1614" s="2" t="s">
        <v>21</v>
      </c>
      <c r="I1614" s="2" t="s">
        <v>4071</v>
      </c>
      <c r="J1614" s="3" t="str">
        <f>HYPERLINK("https://www.boe.es/gazeta/dias/1816/12/26/pdfs/GMD-1816-160.pdf#page=8","Abrir facsímil")</f>
        <v>Abrir facsímil</v>
      </c>
      <c r="K1614" s="3" t="s">
        <v>23</v>
      </c>
    </row>
    <row r="1615" spans="1:11" ht="42" customHeight="1">
      <c r="A1615" s="2" t="s">
        <v>4072</v>
      </c>
      <c r="B1615" s="2" t="s">
        <v>4073</v>
      </c>
      <c r="C1615" s="2" t="s">
        <v>34</v>
      </c>
      <c r="D1615" s="2" t="s">
        <v>35</v>
      </c>
      <c r="E1615" s="5">
        <v>-30443</v>
      </c>
      <c r="F1615" s="3" t="s">
        <v>259</v>
      </c>
      <c r="G1615" s="3" t="s">
        <v>260</v>
      </c>
      <c r="H1615" s="2" t="s">
        <v>21</v>
      </c>
      <c r="I1615" s="2" t="s">
        <v>4074</v>
      </c>
      <c r="J1615" s="3" t="str">
        <f>HYPERLINK("https://www.boe.es/gazeta/dias/1816/08/24/pdfs/GMD-1816-105.pdf#page=8","Abrir facsímil")</f>
        <v>Abrir facsímil</v>
      </c>
      <c r="K1615" s="3" t="s">
        <v>23</v>
      </c>
    </row>
    <row r="1616" spans="1:11" ht="42" customHeight="1">
      <c r="A1616" s="2" t="s">
        <v>4075</v>
      </c>
      <c r="B1616" s="2" t="s">
        <v>4076</v>
      </c>
      <c r="C1616" s="2" t="s">
        <v>41</v>
      </c>
      <c r="D1616" s="2" t="s">
        <v>18</v>
      </c>
      <c r="E1616" s="5">
        <v>-30443</v>
      </c>
      <c r="F1616" s="3" t="s">
        <v>259</v>
      </c>
      <c r="G1616" s="3" t="s">
        <v>260</v>
      </c>
      <c r="H1616" s="2" t="s">
        <v>21</v>
      </c>
      <c r="I1616" s="2" t="s">
        <v>4077</v>
      </c>
      <c r="J1616" s="3" t="str">
        <f>HYPERLINK("https://www.boe.es/gazeta/dias/1816/08/24/pdfs/GMD-1816-105.pdf#page=8","Abrir facsímil")</f>
        <v>Abrir facsímil</v>
      </c>
      <c r="K1616" s="3" t="s">
        <v>23</v>
      </c>
    </row>
    <row r="1617" spans="1:11" ht="42" customHeight="1">
      <c r="A1617" s="2" t="s">
        <v>4075</v>
      </c>
      <c r="B1617" s="2" t="s">
        <v>4076</v>
      </c>
      <c r="C1617" s="2" t="s">
        <v>34</v>
      </c>
      <c r="D1617" s="2" t="s">
        <v>35</v>
      </c>
      <c r="E1617" s="5">
        <v>-30440</v>
      </c>
      <c r="F1617" s="3" t="s">
        <v>564</v>
      </c>
      <c r="G1617" s="3" t="s">
        <v>565</v>
      </c>
      <c r="H1617" s="2" t="s">
        <v>21</v>
      </c>
      <c r="I1617" s="2" t="s">
        <v>4078</v>
      </c>
      <c r="J1617" s="3" t="str">
        <f>HYPERLINK("https://www.boe.es/gazeta/dias/1816/08/27/pdfs/GMD-1816-106.pdf#page=7","Abrir facsímil")</f>
        <v>Abrir facsímil</v>
      </c>
      <c r="K1617" s="3" t="s">
        <v>23</v>
      </c>
    </row>
    <row r="1618" spans="1:11" ht="42" customHeight="1">
      <c r="A1618" s="2" t="s">
        <v>4079</v>
      </c>
      <c r="B1618" s="2" t="s">
        <v>4080</v>
      </c>
      <c r="C1618" s="2" t="s">
        <v>34</v>
      </c>
      <c r="D1618" s="2" t="s">
        <v>35</v>
      </c>
      <c r="E1618" s="5">
        <v>-30464</v>
      </c>
      <c r="F1618" s="3" t="s">
        <v>215</v>
      </c>
      <c r="G1618" s="3" t="s">
        <v>180</v>
      </c>
      <c r="H1618" s="2" t="s">
        <v>21</v>
      </c>
      <c r="I1618" s="2" t="s">
        <v>4081</v>
      </c>
      <c r="J1618" s="3" t="str">
        <f>HYPERLINK("https://www.boe.es/gazeta/dias/1816/08/03/pdfs/GMD-1816-96.pdf#page=10","Abrir facsímil")</f>
        <v>Abrir facsímil</v>
      </c>
      <c r="K1618" s="3" t="s">
        <v>23</v>
      </c>
    </row>
    <row r="1619" spans="1:11" ht="42" customHeight="1">
      <c r="A1619" s="2" t="s">
        <v>4082</v>
      </c>
      <c r="B1619" s="2" t="s">
        <v>4083</v>
      </c>
      <c r="C1619" s="2" t="s">
        <v>67</v>
      </c>
      <c r="D1619" s="2" t="s">
        <v>18</v>
      </c>
      <c r="E1619" s="5">
        <v>-30457</v>
      </c>
      <c r="F1619" s="3" t="s">
        <v>539</v>
      </c>
      <c r="G1619" s="3" t="s">
        <v>47</v>
      </c>
      <c r="H1619" s="2" t="s">
        <v>21</v>
      </c>
      <c r="I1619" s="2" t="s">
        <v>4084</v>
      </c>
      <c r="J1619" s="3" t="str">
        <f>HYPERLINK("https://www.boe.es/gazeta/dias/1816/08/10/pdfs/GMD-1816-99.pdf#page=5","Abrir facsímil")</f>
        <v>Abrir facsímil</v>
      </c>
      <c r="K1619" s="3" t="s">
        <v>23</v>
      </c>
    </row>
    <row r="1620" spans="1:11" ht="42" customHeight="1">
      <c r="A1620" s="2" t="s">
        <v>4085</v>
      </c>
      <c r="B1620" s="2" t="s">
        <v>4086</v>
      </c>
      <c r="C1620" s="2" t="s">
        <v>26</v>
      </c>
      <c r="D1620" s="2" t="s">
        <v>18</v>
      </c>
      <c r="E1620" s="5">
        <v>-30501</v>
      </c>
      <c r="F1620" s="3" t="s">
        <v>475</v>
      </c>
      <c r="G1620" s="3" t="s">
        <v>560</v>
      </c>
      <c r="H1620" s="2" t="s">
        <v>21</v>
      </c>
      <c r="I1620" s="2" t="s">
        <v>4087</v>
      </c>
      <c r="J1620" s="3" t="str">
        <f>HYPERLINK("https://www.boe.es/gazeta/dias/1816/06/27/pdfs/GMD-1816-80.pdf#page=7","Abrir facsímil")</f>
        <v>Abrir facsímil</v>
      </c>
      <c r="K1620" s="3" t="s">
        <v>23</v>
      </c>
    </row>
    <row r="1621" spans="1:11" ht="42" customHeight="1">
      <c r="A1621" s="2" t="s">
        <v>4088</v>
      </c>
      <c r="B1621" s="2" t="s">
        <v>4089</v>
      </c>
      <c r="C1621" s="2" t="s">
        <v>67</v>
      </c>
      <c r="D1621" s="2" t="s">
        <v>18</v>
      </c>
      <c r="E1621" s="5">
        <v>-30389</v>
      </c>
      <c r="F1621" s="3" t="s">
        <v>522</v>
      </c>
      <c r="G1621" s="3" t="s">
        <v>28</v>
      </c>
      <c r="H1621" s="2" t="s">
        <v>21</v>
      </c>
      <c r="I1621" s="2" t="s">
        <v>4090</v>
      </c>
      <c r="J1621" s="3" t="str">
        <f>HYPERLINK("https://www.boe.es/gazeta/dias/1816/10/17/pdfs/GMD-1816-130.pdf#page=6","Abrir facsímil")</f>
        <v>Abrir facsímil</v>
      </c>
      <c r="K1621" s="3" t="s">
        <v>23</v>
      </c>
    </row>
    <row r="1622" spans="1:11" ht="42" customHeight="1">
      <c r="A1622" s="2" t="s">
        <v>4091</v>
      </c>
      <c r="B1622" s="2" t="s">
        <v>4091</v>
      </c>
      <c r="C1622" s="2" t="s">
        <v>111</v>
      </c>
      <c r="D1622" s="2" t="s">
        <v>112</v>
      </c>
      <c r="E1622" s="5">
        <v>-30601</v>
      </c>
      <c r="F1622" s="3" t="s">
        <v>308</v>
      </c>
      <c r="G1622" s="3" t="s">
        <v>28</v>
      </c>
      <c r="H1622" s="2" t="s">
        <v>21</v>
      </c>
      <c r="I1622" s="2" t="s">
        <v>4092</v>
      </c>
      <c r="J1622" s="3" t="str">
        <f>HYPERLINK("https://www.boe.es/gazeta/dias/1816/03/19/pdfs/GMD-1816-37.pdf#page=6","Abrir facsímil")</f>
        <v>Abrir facsímil</v>
      </c>
      <c r="K1622" s="3" t="s">
        <v>23</v>
      </c>
    </row>
    <row r="1623" spans="1:11" ht="42" customHeight="1">
      <c r="A1623" s="2" t="s">
        <v>4093</v>
      </c>
      <c r="B1623" s="2" t="s">
        <v>4094</v>
      </c>
      <c r="C1623" s="2" t="s">
        <v>34</v>
      </c>
      <c r="D1623" s="2" t="s">
        <v>35</v>
      </c>
      <c r="E1623" s="5">
        <v>-30592</v>
      </c>
      <c r="F1623" s="3" t="s">
        <v>236</v>
      </c>
      <c r="G1623" s="3" t="s">
        <v>72</v>
      </c>
      <c r="H1623" s="2" t="s">
        <v>21</v>
      </c>
      <c r="I1623" s="2" t="s">
        <v>4095</v>
      </c>
      <c r="J1623" s="3" t="str">
        <f>HYPERLINK("https://www.boe.es/gazeta/dias/1816/03/28/pdfs/GMD-1816-41.pdf#page=7","Abrir facsímil")</f>
        <v>Abrir facsímil</v>
      </c>
      <c r="K1623" s="3" t="s">
        <v>23</v>
      </c>
    </row>
    <row r="1624" spans="1:11" ht="42" customHeight="1">
      <c r="A1624" s="2" t="s">
        <v>4096</v>
      </c>
      <c r="B1624" s="2" t="s">
        <v>4097</v>
      </c>
      <c r="C1624" s="2" t="s">
        <v>111</v>
      </c>
      <c r="D1624" s="2" t="s">
        <v>112</v>
      </c>
      <c r="E1624" s="5">
        <v>-30331</v>
      </c>
      <c r="F1624" s="3" t="s">
        <v>315</v>
      </c>
      <c r="G1624" s="3" t="s">
        <v>47</v>
      </c>
      <c r="H1624" s="2" t="s">
        <v>21</v>
      </c>
      <c r="I1624" s="2" t="s">
        <v>4098</v>
      </c>
      <c r="J1624" s="3" t="str">
        <f>HYPERLINK("https://www.boe.es/gazeta/dias/1816/12/14/pdfs/GMD-1816-155.pdf#page=5","Abrir facsímil")</f>
        <v>Abrir facsímil</v>
      </c>
      <c r="K1624" s="3" t="s">
        <v>23</v>
      </c>
    </row>
    <row r="1625" spans="1:11" ht="42" customHeight="1">
      <c r="A1625" s="2" t="s">
        <v>4099</v>
      </c>
      <c r="B1625" s="2" t="s">
        <v>4100</v>
      </c>
      <c r="C1625" s="2" t="s">
        <v>387</v>
      </c>
      <c r="D1625" s="2" t="s">
        <v>18</v>
      </c>
      <c r="E1625" s="5">
        <v>-30482</v>
      </c>
      <c r="F1625" s="3" t="s">
        <v>370</v>
      </c>
      <c r="G1625" s="3" t="s">
        <v>52</v>
      </c>
      <c r="H1625" s="2" t="s">
        <v>29</v>
      </c>
      <c r="I1625" s="2" t="s">
        <v>4101</v>
      </c>
      <c r="J1625" s="3" t="str">
        <f>HYPERLINK("https://www.boe.es/gazeta/dias/1816/07/16/pdfs/GMD-1816-88.pdf#page=12","Abrir facsímil")</f>
        <v>Abrir facsímil</v>
      </c>
      <c r="K1625" s="3" t="s">
        <v>31</v>
      </c>
    </row>
    <row r="1626" spans="1:11" ht="42" customHeight="1">
      <c r="A1626" s="2" t="s">
        <v>4102</v>
      </c>
      <c r="B1626" s="2" t="s">
        <v>4102</v>
      </c>
      <c r="C1626" s="2" t="s">
        <v>34</v>
      </c>
      <c r="D1626" s="2" t="s">
        <v>35</v>
      </c>
      <c r="E1626" s="5">
        <v>-30328</v>
      </c>
      <c r="F1626" s="3" t="s">
        <v>573</v>
      </c>
      <c r="G1626" s="3" t="s">
        <v>184</v>
      </c>
      <c r="H1626" s="2" t="s">
        <v>21</v>
      </c>
      <c r="I1626" s="2" t="s">
        <v>4103</v>
      </c>
      <c r="J1626" s="3" t="str">
        <f>HYPERLINK("https://www.boe.es/gazeta/dias/1816/12/17/pdfs/GMD-1816-156.pdf#page=3","Abrir facsímil")</f>
        <v>Abrir facsímil</v>
      </c>
      <c r="K1626" s="3" t="s">
        <v>23</v>
      </c>
    </row>
    <row r="1627" spans="1:11" ht="42" customHeight="1">
      <c r="A1627" s="2" t="s">
        <v>4104</v>
      </c>
      <c r="B1627" s="2" t="s">
        <v>4105</v>
      </c>
      <c r="C1627" s="2" t="s">
        <v>111</v>
      </c>
      <c r="D1627" s="2" t="s">
        <v>56</v>
      </c>
      <c r="E1627" s="5">
        <v>-30393</v>
      </c>
      <c r="F1627" s="3" t="s">
        <v>202</v>
      </c>
      <c r="G1627" s="3" t="s">
        <v>645</v>
      </c>
      <c r="H1627" s="2" t="s">
        <v>21</v>
      </c>
      <c r="I1627" s="2" t="s">
        <v>4106</v>
      </c>
      <c r="J1627" s="3" t="str">
        <f>HYPERLINK("https://www.boe.es/gazeta/dias/1816/10/13/pdfs/GMD-1816-128E.pdf#page=4","Abrir facsímil")</f>
        <v>Abrir facsímil</v>
      </c>
      <c r="K1627" s="3" t="s">
        <v>23</v>
      </c>
    </row>
    <row r="1628" spans="1:11" ht="42" customHeight="1">
      <c r="A1628" s="2" t="s">
        <v>4107</v>
      </c>
      <c r="B1628" s="2" t="s">
        <v>4107</v>
      </c>
      <c r="C1628" s="2" t="s">
        <v>387</v>
      </c>
      <c r="D1628" s="2" t="s">
        <v>18</v>
      </c>
      <c r="E1628" s="5">
        <v>-30548</v>
      </c>
      <c r="F1628" s="3" t="s">
        <v>472</v>
      </c>
      <c r="G1628" s="3" t="s">
        <v>184</v>
      </c>
      <c r="H1628" s="2" t="s">
        <v>21</v>
      </c>
      <c r="I1628" s="2" t="s">
        <v>4108</v>
      </c>
      <c r="J1628" s="3" t="str">
        <f>HYPERLINK("https://www.boe.es/gazeta/dias/1816/05/11/pdfs/GMD-1816-60.pdf#page=3","Abrir facsímil")</f>
        <v>Abrir facsímil</v>
      </c>
      <c r="K1628" s="3" t="s">
        <v>23</v>
      </c>
    </row>
    <row r="1629" spans="1:11" ht="42" customHeight="1">
      <c r="A1629" s="2" t="s">
        <v>4107</v>
      </c>
      <c r="B1629" s="2" t="s">
        <v>4107</v>
      </c>
      <c r="C1629" s="2" t="s">
        <v>67</v>
      </c>
      <c r="D1629" s="2" t="s">
        <v>18</v>
      </c>
      <c r="E1629" s="5">
        <v>-30510</v>
      </c>
      <c r="F1629" s="3" t="s">
        <v>450</v>
      </c>
      <c r="G1629" s="3" t="s">
        <v>184</v>
      </c>
      <c r="H1629" s="2" t="s">
        <v>21</v>
      </c>
      <c r="I1629" s="2" t="s">
        <v>4109</v>
      </c>
      <c r="J1629" s="3" t="str">
        <f>HYPERLINK("https://www.boe.es/gazeta/dias/1816/06/18/pdfs/GMD-1816-76.pdf#page=3","Abrir facsímil")</f>
        <v>Abrir facsímil</v>
      </c>
      <c r="K1629" s="3" t="s">
        <v>23</v>
      </c>
    </row>
    <row r="1630" spans="1:11" ht="42" customHeight="1">
      <c r="A1630" s="2" t="s">
        <v>4110</v>
      </c>
      <c r="B1630" s="2" t="s">
        <v>4111</v>
      </c>
      <c r="C1630" s="2" t="s">
        <v>111</v>
      </c>
      <c r="D1630" s="2" t="s">
        <v>112</v>
      </c>
      <c r="E1630" s="5">
        <v>-30359</v>
      </c>
      <c r="F1630" s="3" t="s">
        <v>812</v>
      </c>
      <c r="G1630" s="3" t="s">
        <v>28</v>
      </c>
      <c r="H1630" s="2" t="s">
        <v>21</v>
      </c>
      <c r="I1630" s="2" t="s">
        <v>4112</v>
      </c>
      <c r="J1630" s="3" t="str">
        <f>HYPERLINK("https://www.boe.es/gazeta/dias/1816/11/16/pdfs/GMD-1816-143.pdf#page=6","Abrir facsímil")</f>
        <v>Abrir facsímil</v>
      </c>
      <c r="K1630" s="3" t="s">
        <v>23</v>
      </c>
    </row>
    <row r="1631" spans="1:11" ht="42" customHeight="1">
      <c r="A1631" s="2" t="s">
        <v>4113</v>
      </c>
      <c r="B1631" s="2" t="s">
        <v>4113</v>
      </c>
      <c r="C1631" s="2" t="s">
        <v>34</v>
      </c>
      <c r="D1631" s="2" t="s">
        <v>35</v>
      </c>
      <c r="E1631" s="5">
        <v>-30450</v>
      </c>
      <c r="F1631" s="3" t="s">
        <v>349</v>
      </c>
      <c r="G1631" s="3" t="s">
        <v>184</v>
      </c>
      <c r="H1631" s="2" t="s">
        <v>21</v>
      </c>
      <c r="I1631" s="2" t="s">
        <v>4114</v>
      </c>
      <c r="J1631" s="3" t="str">
        <f>HYPERLINK("https://www.boe.es/gazeta/dias/1816/08/17/pdfs/GMD-1816-102.pdf#page=3","Abrir facsímil")</f>
        <v>Abrir facsímil</v>
      </c>
      <c r="K1631" s="3" t="s">
        <v>23</v>
      </c>
    </row>
    <row r="1632" spans="1:11" ht="42" customHeight="1">
      <c r="A1632" s="2" t="s">
        <v>4115</v>
      </c>
      <c r="B1632" s="2" t="s">
        <v>4115</v>
      </c>
      <c r="C1632" s="2" t="s">
        <v>34</v>
      </c>
      <c r="D1632" s="2" t="s">
        <v>35</v>
      </c>
      <c r="E1632" s="5">
        <v>-30375</v>
      </c>
      <c r="F1632" s="3" t="s">
        <v>404</v>
      </c>
      <c r="G1632" s="3" t="s">
        <v>58</v>
      </c>
      <c r="H1632" s="2" t="s">
        <v>21</v>
      </c>
      <c r="I1632" s="2" t="s">
        <v>4116</v>
      </c>
      <c r="J1632" s="3" t="str">
        <f>HYPERLINK("https://www.boe.es/gazeta/dias/1816/10/31/pdfs/GMD-1816-136.pdf#page=1","Abrir facsímil")</f>
        <v>Abrir facsímil</v>
      </c>
      <c r="K1632" s="3" t="s">
        <v>23</v>
      </c>
    </row>
    <row r="1633" spans="1:11" ht="42" customHeight="1">
      <c r="A1633" s="2" t="s">
        <v>4117</v>
      </c>
      <c r="B1633" s="2" t="s">
        <v>4117</v>
      </c>
      <c r="C1633" s="2" t="s">
        <v>387</v>
      </c>
      <c r="D1633" s="2" t="s">
        <v>18</v>
      </c>
      <c r="E1633" s="5">
        <v>-30471</v>
      </c>
      <c r="F1633" s="3" t="s">
        <v>639</v>
      </c>
      <c r="G1633" s="3" t="s">
        <v>270</v>
      </c>
      <c r="H1633" s="2" t="s">
        <v>21</v>
      </c>
      <c r="I1633" s="2" t="s">
        <v>4118</v>
      </c>
      <c r="J1633" s="3" t="str">
        <f>HYPERLINK("https://www.boe.es/gazeta/dias/1816/07/27/pdfs/GMD-1816-93.pdf#page=2","Abrir facsímil")</f>
        <v>Abrir facsímil</v>
      </c>
      <c r="K1633" s="3" t="s">
        <v>23</v>
      </c>
    </row>
    <row r="1634" spans="1:11" ht="42" customHeight="1">
      <c r="A1634" s="2" t="s">
        <v>4119</v>
      </c>
      <c r="B1634" s="2" t="s">
        <v>4119</v>
      </c>
      <c r="C1634" s="2" t="s">
        <v>26</v>
      </c>
      <c r="D1634" s="2" t="s">
        <v>18</v>
      </c>
      <c r="E1634" s="5">
        <v>-30403</v>
      </c>
      <c r="F1634" s="3" t="s">
        <v>1264</v>
      </c>
      <c r="G1634" s="3" t="s">
        <v>184</v>
      </c>
      <c r="H1634" s="2" t="s">
        <v>21</v>
      </c>
      <c r="I1634" s="2" t="s">
        <v>4120</v>
      </c>
      <c r="J1634" s="3" t="str">
        <f>HYPERLINK("https://www.boe.es/gazeta/dias/1816/10/03/pdfs/GMD-1816-122.pdf#page=3","Abrir facsímil")</f>
        <v>Abrir facsímil</v>
      </c>
      <c r="K1634" s="3" t="s">
        <v>23</v>
      </c>
    </row>
    <row r="1635" spans="1:11" ht="42" customHeight="1">
      <c r="A1635" s="2" t="s">
        <v>4121</v>
      </c>
      <c r="B1635" s="2" t="s">
        <v>4121</v>
      </c>
      <c r="C1635" s="2" t="s">
        <v>34</v>
      </c>
      <c r="D1635" s="2" t="s">
        <v>35</v>
      </c>
      <c r="E1635" s="5">
        <v>-30576</v>
      </c>
      <c r="F1635" s="3" t="s">
        <v>353</v>
      </c>
      <c r="G1635" s="3" t="s">
        <v>184</v>
      </c>
      <c r="H1635" s="2" t="s">
        <v>21</v>
      </c>
      <c r="I1635" s="2" t="s">
        <v>4122</v>
      </c>
      <c r="J1635" s="3" t="str">
        <f>HYPERLINK("https://www.boe.es/gazeta/dias/1816/04/13/pdfs/GMD-1816-48.pdf#page=3","Abrir facsímil")</f>
        <v>Abrir facsímil</v>
      </c>
      <c r="K1635" s="3" t="s">
        <v>23</v>
      </c>
    </row>
    <row r="1636" spans="1:11" ht="42" customHeight="1">
      <c r="A1636" s="2" t="s">
        <v>4123</v>
      </c>
      <c r="B1636" s="2" t="s">
        <v>4123</v>
      </c>
      <c r="C1636" s="2" t="s">
        <v>26</v>
      </c>
      <c r="D1636" s="2" t="s">
        <v>18</v>
      </c>
      <c r="E1636" s="5">
        <v>-30576</v>
      </c>
      <c r="F1636" s="3" t="s">
        <v>353</v>
      </c>
      <c r="G1636" s="3" t="s">
        <v>270</v>
      </c>
      <c r="H1636" s="2" t="s">
        <v>21</v>
      </c>
      <c r="I1636" s="2" t="s">
        <v>4124</v>
      </c>
      <c r="J1636" s="3" t="str">
        <f>HYPERLINK("https://www.boe.es/gazeta/dias/1816/04/13/pdfs/GMD-1816-48.pdf#page=2","Abrir facsímil")</f>
        <v>Abrir facsímil</v>
      </c>
      <c r="K1636" s="3" t="s">
        <v>23</v>
      </c>
    </row>
    <row r="1637" spans="1:11" ht="42" customHeight="1">
      <c r="A1637" s="2" t="s">
        <v>4125</v>
      </c>
      <c r="B1637" s="2" t="s">
        <v>4125</v>
      </c>
      <c r="C1637" s="2" t="s">
        <v>26</v>
      </c>
      <c r="D1637" s="2" t="s">
        <v>18</v>
      </c>
      <c r="E1637" s="5">
        <v>-30634</v>
      </c>
      <c r="F1637" s="3" t="s">
        <v>1104</v>
      </c>
      <c r="G1637" s="3" t="s">
        <v>184</v>
      </c>
      <c r="H1637" s="2" t="s">
        <v>21</v>
      </c>
      <c r="I1637" s="2" t="s">
        <v>4126</v>
      </c>
      <c r="J1637" s="3" t="str">
        <f>HYPERLINK("https://www.boe.es/gazeta/dias/1816/02/15/pdfs/GMD-1816-21.pdf#page=3","Abrir facsímil")</f>
        <v>Abrir facsímil</v>
      </c>
      <c r="K1637" s="3" t="s">
        <v>23</v>
      </c>
    </row>
    <row r="1638" spans="1:11" ht="42" customHeight="1">
      <c r="A1638" s="2" t="s">
        <v>4125</v>
      </c>
      <c r="B1638" s="2" t="s">
        <v>4125</v>
      </c>
      <c r="C1638" s="2" t="s">
        <v>26</v>
      </c>
      <c r="D1638" s="2" t="s">
        <v>18</v>
      </c>
      <c r="E1638" s="5">
        <v>-30585</v>
      </c>
      <c r="F1638" s="3" t="s">
        <v>633</v>
      </c>
      <c r="G1638" s="3" t="s">
        <v>270</v>
      </c>
      <c r="H1638" s="2" t="s">
        <v>21</v>
      </c>
      <c r="I1638" s="2" t="s">
        <v>4127</v>
      </c>
      <c r="J1638" s="3" t="str">
        <f>HYPERLINK("https://www.boe.es/gazeta/dias/1816/04/04/pdfs/GMD-1816-44.pdf#page=2","Abrir facsímil")</f>
        <v>Abrir facsímil</v>
      </c>
      <c r="K1638" s="3" t="s">
        <v>23</v>
      </c>
    </row>
    <row r="1639" spans="1:11" ht="42" customHeight="1">
      <c r="A1639" s="2" t="s">
        <v>4125</v>
      </c>
      <c r="B1639" s="2" t="s">
        <v>4125</v>
      </c>
      <c r="C1639" s="2" t="s">
        <v>34</v>
      </c>
      <c r="D1639" s="2" t="s">
        <v>35</v>
      </c>
      <c r="E1639" s="5">
        <v>-30564</v>
      </c>
      <c r="F1639" s="3" t="s">
        <v>963</v>
      </c>
      <c r="G1639" s="3" t="s">
        <v>58</v>
      </c>
      <c r="H1639" s="2" t="s">
        <v>21</v>
      </c>
      <c r="I1639" s="2" t="s">
        <v>4128</v>
      </c>
      <c r="J1639" s="3" t="str">
        <f>HYPERLINK("https://www.boe.es/gazeta/dias/1816/04/25/pdfs/GMD-1816-53.pdf#page=1","Abrir facsímil")</f>
        <v>Abrir facsímil</v>
      </c>
      <c r="K1639" s="3" t="s">
        <v>23</v>
      </c>
    </row>
    <row r="1640" spans="1:11" ht="42" customHeight="1">
      <c r="A1640" s="2" t="s">
        <v>4125</v>
      </c>
      <c r="B1640" s="2" t="s">
        <v>4125</v>
      </c>
      <c r="C1640" s="2" t="s">
        <v>67</v>
      </c>
      <c r="D1640" s="2" t="s">
        <v>18</v>
      </c>
      <c r="E1640" s="5">
        <v>-30559</v>
      </c>
      <c r="F1640" s="3" t="s">
        <v>165</v>
      </c>
      <c r="G1640" s="3" t="s">
        <v>184</v>
      </c>
      <c r="H1640" s="2" t="s">
        <v>21</v>
      </c>
      <c r="I1640" s="2" t="s">
        <v>4129</v>
      </c>
      <c r="J1640" s="3" t="str">
        <f>HYPERLINK("https://www.boe.es/gazeta/dias/1816/04/30/pdfs/GMD-1816-55.pdf#page=3","Abrir facsímil")</f>
        <v>Abrir facsímil</v>
      </c>
      <c r="K1640" s="3" t="s">
        <v>23</v>
      </c>
    </row>
    <row r="1641" spans="1:11" ht="42" customHeight="1">
      <c r="A1641" s="2" t="s">
        <v>4125</v>
      </c>
      <c r="B1641" s="2" t="s">
        <v>4125</v>
      </c>
      <c r="C1641" s="2" t="s">
        <v>26</v>
      </c>
      <c r="D1641" s="2" t="s">
        <v>18</v>
      </c>
      <c r="E1641" s="5">
        <v>-30550</v>
      </c>
      <c r="F1641" s="3" t="s">
        <v>435</v>
      </c>
      <c r="G1641" s="3" t="s">
        <v>103</v>
      </c>
      <c r="H1641" s="2" t="s">
        <v>21</v>
      </c>
      <c r="I1641" s="2" t="s">
        <v>4130</v>
      </c>
      <c r="J1641" s="3" t="str">
        <f>HYPERLINK("https://www.boe.es/gazeta/dias/1816/05/09/pdfs/GMD-1816-59.pdf#page=4","Abrir facsímil")</f>
        <v>Abrir facsímil</v>
      </c>
      <c r="K1641" s="3" t="s">
        <v>23</v>
      </c>
    </row>
    <row r="1642" spans="1:11" ht="42" customHeight="1">
      <c r="A1642" s="2" t="s">
        <v>4125</v>
      </c>
      <c r="B1642" s="2" t="s">
        <v>4125</v>
      </c>
      <c r="C1642" s="2" t="s">
        <v>2803</v>
      </c>
      <c r="D1642" s="2" t="s">
        <v>112</v>
      </c>
      <c r="E1642" s="5">
        <v>-30548</v>
      </c>
      <c r="F1642" s="3" t="s">
        <v>472</v>
      </c>
      <c r="G1642" s="3" t="s">
        <v>4131</v>
      </c>
      <c r="H1642" s="2" t="s">
        <v>21</v>
      </c>
      <c r="I1642" s="2" t="s">
        <v>4132</v>
      </c>
      <c r="J1642" s="3" t="str">
        <f>HYPERLINK("https://www.boe.es/gazeta/dias/1816/05/11/pdfs/GMD-1816-60.pdf#page=4","Abrir facsímil")</f>
        <v>Abrir facsímil</v>
      </c>
      <c r="K1642" s="3" t="s">
        <v>23</v>
      </c>
    </row>
    <row r="1643" spans="1:11" ht="42" customHeight="1">
      <c r="A1643" s="2" t="s">
        <v>4133</v>
      </c>
      <c r="B1643" s="2" t="s">
        <v>4133</v>
      </c>
      <c r="C1643" s="2" t="s">
        <v>26</v>
      </c>
      <c r="D1643" s="2" t="s">
        <v>18</v>
      </c>
      <c r="E1643" s="5">
        <v>-30548</v>
      </c>
      <c r="F1643" s="3" t="s">
        <v>472</v>
      </c>
      <c r="G1643" s="3" t="s">
        <v>270</v>
      </c>
      <c r="H1643" s="2" t="s">
        <v>21</v>
      </c>
      <c r="I1643" s="2" t="s">
        <v>4134</v>
      </c>
      <c r="J1643" s="3" t="str">
        <f>HYPERLINK("https://www.boe.es/gazeta/dias/1816/05/11/pdfs/GMD-1816-60.pdf#page=2","Abrir facsímil")</f>
        <v>Abrir facsímil</v>
      </c>
      <c r="K1643" s="3" t="s">
        <v>23</v>
      </c>
    </row>
    <row r="1644" spans="1:11" ht="42" customHeight="1">
      <c r="A1644" s="2" t="s">
        <v>4125</v>
      </c>
      <c r="B1644" s="2" t="s">
        <v>4125</v>
      </c>
      <c r="C1644" s="2" t="s">
        <v>26</v>
      </c>
      <c r="D1644" s="2" t="s">
        <v>18</v>
      </c>
      <c r="E1644" s="5">
        <v>-30548</v>
      </c>
      <c r="F1644" s="3" t="s">
        <v>472</v>
      </c>
      <c r="G1644" s="3" t="s">
        <v>184</v>
      </c>
      <c r="H1644" s="2" t="s">
        <v>21</v>
      </c>
      <c r="I1644" s="2" t="s">
        <v>4135</v>
      </c>
      <c r="J1644" s="3" t="str">
        <f>HYPERLINK("https://www.boe.es/gazeta/dias/1816/05/11/pdfs/GMD-1816-60.pdf#page=3","Abrir facsímil")</f>
        <v>Abrir facsímil</v>
      </c>
      <c r="K1644" s="3" t="s">
        <v>23</v>
      </c>
    </row>
    <row r="1645" spans="1:11" ht="42" customHeight="1">
      <c r="A1645" s="2" t="s">
        <v>4125</v>
      </c>
      <c r="B1645" s="2" t="s">
        <v>4125</v>
      </c>
      <c r="C1645" s="2" t="s">
        <v>67</v>
      </c>
      <c r="D1645" s="2" t="s">
        <v>18</v>
      </c>
      <c r="E1645" s="5">
        <v>-30510</v>
      </c>
      <c r="F1645" s="3" t="s">
        <v>450</v>
      </c>
      <c r="G1645" s="3" t="s">
        <v>270</v>
      </c>
      <c r="H1645" s="2" t="s">
        <v>21</v>
      </c>
      <c r="I1645" s="2" t="s">
        <v>4136</v>
      </c>
      <c r="J1645" s="3" t="str">
        <f>HYPERLINK("https://www.boe.es/gazeta/dias/1816/06/18/pdfs/GMD-1816-76.pdf#page=2","Abrir facsímil")</f>
        <v>Abrir facsímil</v>
      </c>
      <c r="K1645" s="3" t="s">
        <v>23</v>
      </c>
    </row>
    <row r="1646" spans="1:11" ht="42" customHeight="1">
      <c r="A1646" s="2" t="s">
        <v>4125</v>
      </c>
      <c r="B1646" s="2" t="s">
        <v>4125</v>
      </c>
      <c r="C1646" s="2" t="s">
        <v>34</v>
      </c>
      <c r="D1646" s="2" t="s">
        <v>35</v>
      </c>
      <c r="E1646" s="5">
        <v>-30510</v>
      </c>
      <c r="F1646" s="3" t="s">
        <v>450</v>
      </c>
      <c r="G1646" s="3" t="s">
        <v>184</v>
      </c>
      <c r="H1646" s="2" t="s">
        <v>21</v>
      </c>
      <c r="I1646" s="2" t="s">
        <v>4137</v>
      </c>
      <c r="J1646" s="3" t="str">
        <f>HYPERLINK("https://www.boe.es/gazeta/dias/1816/06/18/pdfs/GMD-1816-76.pdf#page=3","Abrir facsímil")</f>
        <v>Abrir facsímil</v>
      </c>
      <c r="K1646" s="3" t="s">
        <v>23</v>
      </c>
    </row>
    <row r="1647" spans="1:11" ht="42" customHeight="1">
      <c r="A1647" s="2" t="s">
        <v>4125</v>
      </c>
      <c r="B1647" s="2" t="s">
        <v>4125</v>
      </c>
      <c r="C1647" s="2" t="s">
        <v>387</v>
      </c>
      <c r="D1647" s="2" t="s">
        <v>18</v>
      </c>
      <c r="E1647" s="5">
        <v>-30487</v>
      </c>
      <c r="F1647" s="3" t="s">
        <v>397</v>
      </c>
      <c r="G1647" s="3" t="s">
        <v>58</v>
      </c>
      <c r="H1647" s="2" t="s">
        <v>21</v>
      </c>
      <c r="I1647" s="2" t="s">
        <v>4138</v>
      </c>
      <c r="J1647" s="3" t="str">
        <f>HYPERLINK("https://www.boe.es/gazeta/dias/1816/07/11/pdfs/GMD-1816-86.pdf#page=1","Abrir facsímil")</f>
        <v>Abrir facsímil</v>
      </c>
      <c r="K1647" s="3" t="s">
        <v>23</v>
      </c>
    </row>
    <row r="1648" spans="1:11" ht="42" customHeight="1">
      <c r="A1648" s="2" t="s">
        <v>4125</v>
      </c>
      <c r="B1648" s="2" t="s">
        <v>4125</v>
      </c>
      <c r="C1648" s="2" t="s">
        <v>387</v>
      </c>
      <c r="D1648" s="2" t="s">
        <v>18</v>
      </c>
      <c r="E1648" s="5">
        <v>-30480</v>
      </c>
      <c r="F1648" s="3" t="s">
        <v>147</v>
      </c>
      <c r="G1648" s="3" t="s">
        <v>270</v>
      </c>
      <c r="H1648" s="2" t="s">
        <v>21</v>
      </c>
      <c r="I1648" s="2" t="s">
        <v>4139</v>
      </c>
      <c r="J1648" s="3" t="str">
        <f>HYPERLINK("https://www.boe.es/gazeta/dias/1816/07/18/pdfs/GMD-1816-89.pdf#page=2","Abrir facsímil")</f>
        <v>Abrir facsímil</v>
      </c>
      <c r="K1648" s="3" t="s">
        <v>23</v>
      </c>
    </row>
    <row r="1649" spans="1:11" ht="42" customHeight="1">
      <c r="A1649" s="2" t="s">
        <v>4125</v>
      </c>
      <c r="B1649" s="2" t="s">
        <v>4125</v>
      </c>
      <c r="C1649" s="2" t="s">
        <v>387</v>
      </c>
      <c r="D1649" s="2" t="s">
        <v>18</v>
      </c>
      <c r="E1649" s="5">
        <v>-30478</v>
      </c>
      <c r="F1649" s="3" t="s">
        <v>123</v>
      </c>
      <c r="G1649" s="3" t="s">
        <v>4140</v>
      </c>
      <c r="H1649" s="2" t="s">
        <v>21</v>
      </c>
      <c r="I1649" s="2" t="s">
        <v>4141</v>
      </c>
      <c r="J1649" s="3" t="str">
        <f>HYPERLINK("https://www.boe.es/gazeta/dias/1816/07/20/pdfs/GMD-1816-90.pdf#page=3","Abrir facsímil")</f>
        <v>Abrir facsímil</v>
      </c>
      <c r="K1649" s="3" t="s">
        <v>23</v>
      </c>
    </row>
    <row r="1650" spans="1:11" ht="42" customHeight="1">
      <c r="A1650" s="2" t="s">
        <v>4125</v>
      </c>
      <c r="B1650" s="2" t="s">
        <v>4125</v>
      </c>
      <c r="C1650" s="2" t="s">
        <v>34</v>
      </c>
      <c r="D1650" s="2" t="s">
        <v>35</v>
      </c>
      <c r="E1650" s="5">
        <v>-30457</v>
      </c>
      <c r="F1650" s="3" t="s">
        <v>539</v>
      </c>
      <c r="G1650" s="3" t="s">
        <v>270</v>
      </c>
      <c r="H1650" s="2" t="s">
        <v>21</v>
      </c>
      <c r="I1650" s="2" t="s">
        <v>4142</v>
      </c>
      <c r="J1650" s="3" t="str">
        <f>HYPERLINK("https://www.boe.es/gazeta/dias/1816/08/10/pdfs/GMD-1816-99.pdf#page=2","Abrir facsímil")</f>
        <v>Abrir facsímil</v>
      </c>
      <c r="K1650" s="3" t="s">
        <v>23</v>
      </c>
    </row>
    <row r="1651" spans="1:11" ht="42" customHeight="1">
      <c r="A1651" s="2" t="s">
        <v>4125</v>
      </c>
      <c r="B1651" s="2" t="s">
        <v>4125</v>
      </c>
      <c r="C1651" s="2" t="s">
        <v>34</v>
      </c>
      <c r="D1651" s="2" t="s">
        <v>35</v>
      </c>
      <c r="E1651" s="5">
        <v>-30452</v>
      </c>
      <c r="F1651" s="3" t="s">
        <v>3546</v>
      </c>
      <c r="G1651" s="3" t="s">
        <v>184</v>
      </c>
      <c r="H1651" s="2" t="s">
        <v>21</v>
      </c>
      <c r="I1651" s="2" t="s">
        <v>4143</v>
      </c>
      <c r="J1651" s="3" t="str">
        <f>HYPERLINK("https://www.boe.es/gazeta/dias/1816/08/15/pdfs/GMD-1816-101.pdf#page=3","Abrir facsímil")</f>
        <v>Abrir facsímil</v>
      </c>
      <c r="K1651" s="3" t="s">
        <v>23</v>
      </c>
    </row>
    <row r="1652" spans="1:11" ht="42" customHeight="1">
      <c r="A1652" s="2" t="s">
        <v>4125</v>
      </c>
      <c r="B1652" s="2" t="s">
        <v>4125</v>
      </c>
      <c r="C1652" s="2" t="s">
        <v>34</v>
      </c>
      <c r="D1652" s="2" t="s">
        <v>35</v>
      </c>
      <c r="E1652" s="5">
        <v>-30450</v>
      </c>
      <c r="F1652" s="3" t="s">
        <v>349</v>
      </c>
      <c r="G1652" s="3" t="s">
        <v>270</v>
      </c>
      <c r="H1652" s="2" t="s">
        <v>21</v>
      </c>
      <c r="I1652" s="2" t="s">
        <v>4144</v>
      </c>
      <c r="J1652" s="3" t="str">
        <f>HYPERLINK("https://www.boe.es/gazeta/dias/1816/08/17/pdfs/GMD-1816-102.pdf#page=2","Abrir facsímil")</f>
        <v>Abrir facsímil</v>
      </c>
      <c r="K1652" s="3" t="s">
        <v>23</v>
      </c>
    </row>
    <row r="1653" spans="1:11" ht="42" customHeight="1">
      <c r="A1653" s="2" t="s">
        <v>4125</v>
      </c>
      <c r="B1653" s="2" t="s">
        <v>4125</v>
      </c>
      <c r="C1653" s="2" t="s">
        <v>67</v>
      </c>
      <c r="D1653" s="2" t="s">
        <v>18</v>
      </c>
      <c r="E1653" s="5">
        <v>-30431</v>
      </c>
      <c r="F1653" s="3" t="s">
        <v>756</v>
      </c>
      <c r="G1653" s="3" t="s">
        <v>270</v>
      </c>
      <c r="H1653" s="2" t="s">
        <v>21</v>
      </c>
      <c r="I1653" s="2" t="s">
        <v>4145</v>
      </c>
      <c r="J1653" s="3" t="str">
        <f>HYPERLINK("https://www.boe.es/gazeta/dias/1816/09/05/pdfs/GMD-1816-110.pdf#page=2","Abrir facsímil")</f>
        <v>Abrir facsímil</v>
      </c>
      <c r="K1653" s="3" t="s">
        <v>23</v>
      </c>
    </row>
    <row r="1654" spans="1:11" ht="42" customHeight="1">
      <c r="A1654" s="2" t="s">
        <v>4125</v>
      </c>
      <c r="B1654" s="2" t="s">
        <v>4125</v>
      </c>
      <c r="C1654" s="2" t="s">
        <v>34</v>
      </c>
      <c r="D1654" s="2" t="s">
        <v>35</v>
      </c>
      <c r="E1654" s="5">
        <v>-30431</v>
      </c>
      <c r="F1654" s="3" t="s">
        <v>756</v>
      </c>
      <c r="G1654" s="3" t="s">
        <v>184</v>
      </c>
      <c r="H1654" s="2" t="s">
        <v>21</v>
      </c>
      <c r="I1654" s="2" t="s">
        <v>4146</v>
      </c>
      <c r="J1654" s="3" t="str">
        <f>HYPERLINK("https://www.boe.es/gazeta/dias/1816/09/05/pdfs/GMD-1816-110.pdf#page=3","Abrir facsímil")</f>
        <v>Abrir facsímil</v>
      </c>
      <c r="K1654" s="3" t="s">
        <v>23</v>
      </c>
    </row>
    <row r="1655" spans="1:11" ht="42" customHeight="1">
      <c r="A1655" s="2" t="s">
        <v>4125</v>
      </c>
      <c r="B1655" s="2" t="s">
        <v>4125</v>
      </c>
      <c r="C1655" s="2" t="s">
        <v>34</v>
      </c>
      <c r="D1655" s="2" t="s">
        <v>35</v>
      </c>
      <c r="E1655" s="5">
        <v>-30429</v>
      </c>
      <c r="F1655" s="3" t="s">
        <v>598</v>
      </c>
      <c r="G1655" s="3" t="s">
        <v>184</v>
      </c>
      <c r="H1655" s="2" t="s">
        <v>21</v>
      </c>
      <c r="I1655" s="2" t="s">
        <v>4147</v>
      </c>
      <c r="J1655" s="3" t="str">
        <f>HYPERLINK("https://www.boe.es/gazeta/dias/1816/09/07/pdfs/GMD-1816-111.pdf#page=3","Abrir facsímil")</f>
        <v>Abrir facsímil</v>
      </c>
      <c r="K1655" s="3" t="s">
        <v>23</v>
      </c>
    </row>
    <row r="1656" spans="1:11" ht="42" customHeight="1">
      <c r="A1656" s="2" t="s">
        <v>4125</v>
      </c>
      <c r="B1656" s="2" t="s">
        <v>4125</v>
      </c>
      <c r="C1656" s="2" t="s">
        <v>26</v>
      </c>
      <c r="D1656" s="2" t="s">
        <v>18</v>
      </c>
      <c r="E1656" s="5">
        <v>-30424</v>
      </c>
      <c r="F1656" s="3" t="s">
        <v>142</v>
      </c>
      <c r="G1656" s="3" t="s">
        <v>4148</v>
      </c>
      <c r="H1656" s="2" t="s">
        <v>21</v>
      </c>
      <c r="I1656" s="2" t="s">
        <v>4149</v>
      </c>
      <c r="J1656" s="3" t="str">
        <f>HYPERLINK("https://www.boe.es/gazeta/dias/1816/09/12/pdfs/GMD-1816-113.pdf#page=9","Abrir facsímil")</f>
        <v>Abrir facsímil</v>
      </c>
      <c r="K1656" s="3" t="s">
        <v>23</v>
      </c>
    </row>
    <row r="1657" spans="1:11" ht="42" customHeight="1">
      <c r="A1657" s="2" t="s">
        <v>4125</v>
      </c>
      <c r="B1657" s="2" t="s">
        <v>4125</v>
      </c>
      <c r="C1657" s="2" t="s">
        <v>26</v>
      </c>
      <c r="D1657" s="2" t="s">
        <v>18</v>
      </c>
      <c r="E1657" s="5">
        <v>-30424</v>
      </c>
      <c r="F1657" s="3" t="s">
        <v>142</v>
      </c>
      <c r="G1657" s="3" t="s">
        <v>180</v>
      </c>
      <c r="H1657" s="2" t="s">
        <v>21</v>
      </c>
      <c r="I1657" s="2" t="s">
        <v>4150</v>
      </c>
      <c r="J1657" s="3" t="str">
        <f>HYPERLINK("https://www.boe.es/gazeta/dias/1816/09/12/pdfs/GMD-1816-113.pdf#page=10","Abrir facsímil")</f>
        <v>Abrir facsímil</v>
      </c>
      <c r="K1657" s="3" t="s">
        <v>23</v>
      </c>
    </row>
    <row r="1658" spans="1:11" ht="42" customHeight="1">
      <c r="A1658" s="2" t="s">
        <v>4125</v>
      </c>
      <c r="B1658" s="2" t="s">
        <v>4125</v>
      </c>
      <c r="C1658" s="2" t="s">
        <v>34</v>
      </c>
      <c r="D1658" s="2" t="s">
        <v>35</v>
      </c>
      <c r="E1658" s="5">
        <v>-30415</v>
      </c>
      <c r="F1658" s="3" t="s">
        <v>585</v>
      </c>
      <c r="G1658" s="3" t="s">
        <v>184</v>
      </c>
      <c r="H1658" s="2" t="s">
        <v>21</v>
      </c>
      <c r="I1658" s="2" t="s">
        <v>4151</v>
      </c>
      <c r="J1658" s="3" t="str">
        <f>HYPERLINK("https://www.boe.es/gazeta/dias/1816/09/21/pdfs/GMD-1816-117.pdf#page=3","Abrir facsímil")</f>
        <v>Abrir facsímil</v>
      </c>
      <c r="K1658" s="3" t="s">
        <v>23</v>
      </c>
    </row>
    <row r="1659" spans="1:11" ht="42" customHeight="1">
      <c r="A1659" s="2" t="s">
        <v>4125</v>
      </c>
      <c r="B1659" s="2" t="s">
        <v>4125</v>
      </c>
      <c r="C1659" s="2" t="s">
        <v>387</v>
      </c>
      <c r="D1659" s="2" t="s">
        <v>18</v>
      </c>
      <c r="E1659" s="5">
        <v>-30408</v>
      </c>
      <c r="F1659" s="3" t="s">
        <v>295</v>
      </c>
      <c r="G1659" s="3" t="s">
        <v>270</v>
      </c>
      <c r="H1659" s="2" t="s">
        <v>21</v>
      </c>
      <c r="I1659" s="2" t="s">
        <v>4152</v>
      </c>
      <c r="J1659" s="3" t="str">
        <f>HYPERLINK("https://www.boe.es/gazeta/dias/1816/09/28/pdfs/GMD-1816-120.pdf#page=2","Abrir facsímil")</f>
        <v>Abrir facsímil</v>
      </c>
      <c r="K1659" s="3" t="s">
        <v>23</v>
      </c>
    </row>
    <row r="1660" spans="1:11" ht="42" customHeight="1">
      <c r="A1660" s="2" t="s">
        <v>4125</v>
      </c>
      <c r="B1660" s="2" t="s">
        <v>4125</v>
      </c>
      <c r="C1660" s="2" t="s">
        <v>41</v>
      </c>
      <c r="D1660" s="2" t="s">
        <v>18</v>
      </c>
      <c r="E1660" s="5">
        <v>-30405</v>
      </c>
      <c r="F1660" s="3" t="s">
        <v>587</v>
      </c>
      <c r="G1660" s="3" t="s">
        <v>58</v>
      </c>
      <c r="H1660" s="2" t="s">
        <v>21</v>
      </c>
      <c r="I1660" s="2" t="s">
        <v>4153</v>
      </c>
      <c r="J1660" s="3" t="str">
        <f>HYPERLINK("https://www.boe.es/gazeta/dias/1816/10/01/pdfs/GMD-1816-121.pdf#page=1","Abrir facsímil")</f>
        <v>Abrir facsímil</v>
      </c>
      <c r="K1660" s="3" t="s">
        <v>23</v>
      </c>
    </row>
    <row r="1661" spans="1:11" ht="42" customHeight="1">
      <c r="A1661" s="2" t="s">
        <v>4125</v>
      </c>
      <c r="B1661" s="2" t="s">
        <v>4125</v>
      </c>
      <c r="C1661" s="2" t="s">
        <v>34</v>
      </c>
      <c r="D1661" s="2" t="s">
        <v>35</v>
      </c>
      <c r="E1661" s="5">
        <v>-30405</v>
      </c>
      <c r="F1661" s="3" t="s">
        <v>587</v>
      </c>
      <c r="G1661" s="3" t="s">
        <v>270</v>
      </c>
      <c r="H1661" s="2" t="s">
        <v>21</v>
      </c>
      <c r="I1661" s="2" t="s">
        <v>4154</v>
      </c>
      <c r="J1661" s="3" t="str">
        <f>HYPERLINK("https://www.boe.es/gazeta/dias/1816/10/01/pdfs/GMD-1816-121.pdf#page=2","Abrir facsímil")</f>
        <v>Abrir facsímil</v>
      </c>
      <c r="K1661" s="3" t="s">
        <v>23</v>
      </c>
    </row>
    <row r="1662" spans="1:11" ht="42" customHeight="1">
      <c r="A1662" s="2" t="s">
        <v>4125</v>
      </c>
      <c r="B1662" s="2" t="s">
        <v>4125</v>
      </c>
      <c r="C1662" s="2" t="s">
        <v>34</v>
      </c>
      <c r="D1662" s="2" t="s">
        <v>35</v>
      </c>
      <c r="E1662" s="5">
        <v>-30398</v>
      </c>
      <c r="F1662" s="3" t="s">
        <v>447</v>
      </c>
      <c r="G1662" s="3" t="s">
        <v>2057</v>
      </c>
      <c r="H1662" s="2" t="s">
        <v>21</v>
      </c>
      <c r="I1662" s="2" t="s">
        <v>4155</v>
      </c>
      <c r="J1662" s="3" t="str">
        <f>HYPERLINK("https://www.boe.es/gazeta/dias/1816/10/08/pdfs/GMD-1816-125.pdf#page=3","Abrir facsímil")</f>
        <v>Abrir facsímil</v>
      </c>
      <c r="K1662" s="3" t="s">
        <v>23</v>
      </c>
    </row>
    <row r="1663" spans="1:11" ht="42" customHeight="1">
      <c r="A1663" s="2" t="s">
        <v>4125</v>
      </c>
      <c r="B1663" s="2" t="s">
        <v>4125</v>
      </c>
      <c r="C1663" s="2" t="s">
        <v>17</v>
      </c>
      <c r="D1663" s="2" t="s">
        <v>18</v>
      </c>
      <c r="E1663" s="5">
        <v>-30396</v>
      </c>
      <c r="F1663" s="3" t="s">
        <v>1623</v>
      </c>
      <c r="G1663" s="3" t="s">
        <v>270</v>
      </c>
      <c r="H1663" s="2" t="s">
        <v>21</v>
      </c>
      <c r="I1663" s="2" t="s">
        <v>4156</v>
      </c>
      <c r="J1663" s="3" t="str">
        <f>HYPERLINK("https://www.boe.es/gazeta/dias/1816/10/10/pdfs/GMD-1816-126.pdf#page=2","Abrir facsímil")</f>
        <v>Abrir facsímil</v>
      </c>
      <c r="K1663" s="3" t="s">
        <v>23</v>
      </c>
    </row>
    <row r="1664" spans="1:11" ht="42" customHeight="1">
      <c r="A1664" s="2" t="s">
        <v>4125</v>
      </c>
      <c r="B1664" s="2" t="s">
        <v>4125</v>
      </c>
      <c r="C1664" s="2" t="s">
        <v>26</v>
      </c>
      <c r="D1664" s="2" t="s">
        <v>18</v>
      </c>
      <c r="E1664" s="5">
        <v>-30394</v>
      </c>
      <c r="F1664" s="3" t="s">
        <v>589</v>
      </c>
      <c r="G1664" s="3" t="s">
        <v>270</v>
      </c>
      <c r="H1664" s="2" t="s">
        <v>21</v>
      </c>
      <c r="I1664" s="2" t="s">
        <v>4157</v>
      </c>
      <c r="J1664" s="3" t="str">
        <f>HYPERLINK("https://www.boe.es/gazeta/dias/1816/10/12/pdfs/GMD-1816-127.pdf#page=2","Abrir facsímil")</f>
        <v>Abrir facsímil</v>
      </c>
      <c r="K1664" s="3" t="s">
        <v>23</v>
      </c>
    </row>
    <row r="1665" spans="1:11" ht="42" customHeight="1">
      <c r="A1665" s="2" t="s">
        <v>4125</v>
      </c>
      <c r="B1665" s="2" t="s">
        <v>4125</v>
      </c>
      <c r="C1665" s="2" t="s">
        <v>34</v>
      </c>
      <c r="D1665" s="2" t="s">
        <v>35</v>
      </c>
      <c r="E1665" s="5">
        <v>-30391</v>
      </c>
      <c r="F1665" s="3" t="s">
        <v>482</v>
      </c>
      <c r="G1665" s="3" t="s">
        <v>184</v>
      </c>
      <c r="H1665" s="2" t="s">
        <v>21</v>
      </c>
      <c r="I1665" s="2" t="s">
        <v>4158</v>
      </c>
      <c r="J1665" s="3" t="str">
        <f>HYPERLINK("https://www.boe.es/gazeta/dias/1816/10/15/pdfs/GMD-1816-129.pdf#page=3","Abrir facsímil")</f>
        <v>Abrir facsímil</v>
      </c>
      <c r="K1665" s="3" t="s">
        <v>23</v>
      </c>
    </row>
    <row r="1666" spans="1:11" ht="42" customHeight="1">
      <c r="A1666" s="2" t="s">
        <v>4125</v>
      </c>
      <c r="B1666" s="2" t="s">
        <v>4125</v>
      </c>
      <c r="C1666" s="2" t="s">
        <v>111</v>
      </c>
      <c r="D1666" s="2" t="s">
        <v>112</v>
      </c>
      <c r="E1666" s="5">
        <v>-30391</v>
      </c>
      <c r="F1666" s="3" t="s">
        <v>482</v>
      </c>
      <c r="G1666" s="3" t="s">
        <v>103</v>
      </c>
      <c r="H1666" s="2" t="s">
        <v>21</v>
      </c>
      <c r="I1666" s="2" t="s">
        <v>4159</v>
      </c>
      <c r="J1666" s="3" t="str">
        <f>HYPERLINK("https://www.boe.es/gazeta/dias/1816/10/15/pdfs/GMD-1816-129.pdf#page=4","Abrir facsímil")</f>
        <v>Abrir facsímil</v>
      </c>
      <c r="K1666" s="3" t="s">
        <v>23</v>
      </c>
    </row>
    <row r="1667" spans="1:11" ht="42" customHeight="1">
      <c r="A1667" s="2" t="s">
        <v>4125</v>
      </c>
      <c r="B1667" s="2" t="s">
        <v>4125</v>
      </c>
      <c r="C1667" s="2" t="s">
        <v>26</v>
      </c>
      <c r="D1667" s="2" t="s">
        <v>18</v>
      </c>
      <c r="E1667" s="5">
        <v>-30384</v>
      </c>
      <c r="F1667" s="3" t="s">
        <v>460</v>
      </c>
      <c r="G1667" s="3" t="s">
        <v>184</v>
      </c>
      <c r="H1667" s="2" t="s">
        <v>21</v>
      </c>
      <c r="I1667" s="2" t="s">
        <v>4160</v>
      </c>
      <c r="J1667" s="3" t="str">
        <f>HYPERLINK("https://www.boe.es/gazeta/dias/1816/10/22/pdfs/GMD-1816-132.pdf#page=3","Abrir facsímil")</f>
        <v>Abrir facsímil</v>
      </c>
      <c r="K1667" s="3" t="s">
        <v>23</v>
      </c>
    </row>
    <row r="1668" spans="1:11" ht="42" customHeight="1">
      <c r="A1668" s="2" t="s">
        <v>4125</v>
      </c>
      <c r="B1668" s="2" t="s">
        <v>4125</v>
      </c>
      <c r="C1668" s="2" t="s">
        <v>387</v>
      </c>
      <c r="D1668" s="2" t="s">
        <v>18</v>
      </c>
      <c r="E1668" s="5">
        <v>-30382</v>
      </c>
      <c r="F1668" s="3" t="s">
        <v>326</v>
      </c>
      <c r="G1668" s="3" t="s">
        <v>270</v>
      </c>
      <c r="H1668" s="2" t="s">
        <v>21</v>
      </c>
      <c r="I1668" s="2" t="s">
        <v>4161</v>
      </c>
      <c r="J1668" s="3" t="str">
        <f>HYPERLINK("https://www.boe.es/gazeta/dias/1816/10/24/pdfs/GMD-1816-133.pdf#page=2","Abrir facsímil")</f>
        <v>Abrir facsímil</v>
      </c>
      <c r="K1668" s="3" t="s">
        <v>23</v>
      </c>
    </row>
    <row r="1669" spans="1:11" ht="42" customHeight="1">
      <c r="A1669" s="2" t="s">
        <v>4125</v>
      </c>
      <c r="B1669" s="2" t="s">
        <v>4125</v>
      </c>
      <c r="C1669" s="2" t="s">
        <v>26</v>
      </c>
      <c r="D1669" s="2" t="s">
        <v>18</v>
      </c>
      <c r="E1669" s="5">
        <v>-30375</v>
      </c>
      <c r="F1669" s="3" t="s">
        <v>404</v>
      </c>
      <c r="G1669" s="3" t="s">
        <v>270</v>
      </c>
      <c r="H1669" s="2" t="s">
        <v>21</v>
      </c>
      <c r="I1669" s="2" t="s">
        <v>4162</v>
      </c>
      <c r="J1669" s="3" t="str">
        <f>HYPERLINK("https://www.boe.es/gazeta/dias/1816/10/31/pdfs/GMD-1816-136.pdf#page=2","Abrir facsímil")</f>
        <v>Abrir facsímil</v>
      </c>
      <c r="K1669" s="3" t="s">
        <v>23</v>
      </c>
    </row>
    <row r="1670" spans="1:11" ht="42" customHeight="1">
      <c r="A1670" s="2" t="s">
        <v>4125</v>
      </c>
      <c r="B1670" s="2" t="s">
        <v>4125</v>
      </c>
      <c r="C1670" s="2" t="s">
        <v>34</v>
      </c>
      <c r="D1670" s="2" t="s">
        <v>35</v>
      </c>
      <c r="E1670" s="5">
        <v>-30373</v>
      </c>
      <c r="F1670" s="3" t="s">
        <v>1280</v>
      </c>
      <c r="G1670" s="3" t="s">
        <v>47</v>
      </c>
      <c r="H1670" s="2" t="s">
        <v>21</v>
      </c>
      <c r="I1670" s="2" t="s">
        <v>4163</v>
      </c>
      <c r="J1670" s="3" t="str">
        <f>HYPERLINK("https://www.boe.es/gazeta/dias/1816/11/02/pdfs/GMD-1816-137.pdf#page=5","Abrir facsímil")</f>
        <v>Abrir facsímil</v>
      </c>
      <c r="K1670" s="3" t="s">
        <v>23</v>
      </c>
    </row>
    <row r="1671" spans="1:11" ht="42" customHeight="1">
      <c r="A1671" s="2" t="s">
        <v>4125</v>
      </c>
      <c r="B1671" s="2" t="s">
        <v>4125</v>
      </c>
      <c r="C1671" s="2" t="s">
        <v>34</v>
      </c>
      <c r="D1671" s="2" t="s">
        <v>35</v>
      </c>
      <c r="E1671" s="5">
        <v>-30342</v>
      </c>
      <c r="F1671" s="3" t="s">
        <v>116</v>
      </c>
      <c r="G1671" s="3" t="s">
        <v>270</v>
      </c>
      <c r="H1671" s="2" t="s">
        <v>21</v>
      </c>
      <c r="I1671" s="2" t="s">
        <v>4164</v>
      </c>
      <c r="J1671" s="3" t="str">
        <f>HYPERLINK("https://www.boe.es/gazeta/dias/1816/12/03/pdfs/GMD-1816-150.pdf#page=2","Abrir facsímil")</f>
        <v>Abrir facsímil</v>
      </c>
      <c r="K1671" s="3" t="s">
        <v>23</v>
      </c>
    </row>
    <row r="1672" spans="1:11" ht="42" customHeight="1">
      <c r="A1672" s="2" t="s">
        <v>4125</v>
      </c>
      <c r="B1672" s="2" t="s">
        <v>4125</v>
      </c>
      <c r="C1672" s="2" t="s">
        <v>387</v>
      </c>
      <c r="D1672" s="2" t="s">
        <v>18</v>
      </c>
      <c r="E1672" s="5">
        <v>-30328</v>
      </c>
      <c r="F1672" s="3" t="s">
        <v>573</v>
      </c>
      <c r="G1672" s="3" t="s">
        <v>184</v>
      </c>
      <c r="H1672" s="2" t="s">
        <v>21</v>
      </c>
      <c r="I1672" s="2" t="s">
        <v>4165</v>
      </c>
      <c r="J1672" s="3" t="str">
        <f>HYPERLINK("https://www.boe.es/gazeta/dias/1816/12/17/pdfs/GMD-1816-156.pdf#page=3","Abrir facsímil")</f>
        <v>Abrir facsímil</v>
      </c>
      <c r="K1672" s="3" t="s">
        <v>23</v>
      </c>
    </row>
    <row r="1673" spans="1:11" ht="42" customHeight="1">
      <c r="A1673" s="2" t="s">
        <v>4125</v>
      </c>
      <c r="B1673" s="2" t="s">
        <v>4125</v>
      </c>
      <c r="C1673" s="2" t="s">
        <v>387</v>
      </c>
      <c r="D1673" s="2" t="s">
        <v>18</v>
      </c>
      <c r="E1673" s="5">
        <v>-30324</v>
      </c>
      <c r="F1673" s="3" t="s">
        <v>46</v>
      </c>
      <c r="G1673" s="3" t="s">
        <v>4166</v>
      </c>
      <c r="H1673" s="2" t="s">
        <v>21</v>
      </c>
      <c r="I1673" s="2" t="s">
        <v>4167</v>
      </c>
      <c r="J1673" s="3" t="str">
        <f>HYPERLINK("https://www.boe.es/gazeta/dias/1816/12/21/pdfs/GMD-1816-158.pdf#page=3","Abrir facsímil")</f>
        <v>Abrir facsímil</v>
      </c>
      <c r="K1673" s="3" t="s">
        <v>23</v>
      </c>
    </row>
    <row r="1674" spans="1:11" ht="42" customHeight="1">
      <c r="A1674" s="2" t="s">
        <v>4125</v>
      </c>
      <c r="B1674" s="2" t="s">
        <v>4125</v>
      </c>
      <c r="C1674" s="2" t="s">
        <v>41</v>
      </c>
      <c r="D1674" s="2" t="s">
        <v>18</v>
      </c>
      <c r="E1674" s="5">
        <v>-30321</v>
      </c>
      <c r="F1674" s="3" t="s">
        <v>1086</v>
      </c>
      <c r="G1674" s="3" t="s">
        <v>184</v>
      </c>
      <c r="H1674" s="2" t="s">
        <v>21</v>
      </c>
      <c r="I1674" s="2" t="s">
        <v>4168</v>
      </c>
      <c r="J1674" s="3" t="str">
        <f>HYPERLINK("https://www.boe.es/gazeta/dias/1816/12/24/pdfs/GMD-1816-159.pdf#page=3","Abrir facsímil")</f>
        <v>Abrir facsímil</v>
      </c>
      <c r="K1674" s="3" t="s">
        <v>23</v>
      </c>
    </row>
    <row r="1675" spans="1:11" ht="42" customHeight="1">
      <c r="A1675" s="2" t="s">
        <v>4125</v>
      </c>
      <c r="B1675" s="2" t="s">
        <v>4125</v>
      </c>
      <c r="C1675" s="2" t="s">
        <v>26</v>
      </c>
      <c r="D1675" s="2" t="s">
        <v>18</v>
      </c>
      <c r="E1675" s="5">
        <v>-30314</v>
      </c>
      <c r="F1675" s="3" t="s">
        <v>1899</v>
      </c>
      <c r="G1675" s="3" t="s">
        <v>2360</v>
      </c>
      <c r="H1675" s="2" t="s">
        <v>21</v>
      </c>
      <c r="I1675" s="2" t="s">
        <v>4169</v>
      </c>
      <c r="J1675" s="3" t="str">
        <f>HYPERLINK("https://www.boe.es/gazeta/dias/1816/12/31/pdfs/GMD-1816-162.pdf#page=4","Abrir facsímil")</f>
        <v>Abrir facsímil</v>
      </c>
      <c r="K1675" s="3" t="s">
        <v>23</v>
      </c>
    </row>
    <row r="1676" spans="1:11" ht="42" customHeight="1">
      <c r="A1676" s="2" t="s">
        <v>4170</v>
      </c>
      <c r="B1676" s="2" t="s">
        <v>4170</v>
      </c>
      <c r="C1676" s="2" t="s">
        <v>17</v>
      </c>
      <c r="D1676" s="2" t="s">
        <v>18</v>
      </c>
      <c r="E1676" s="5">
        <v>-30473</v>
      </c>
      <c r="F1676" s="3" t="s">
        <v>336</v>
      </c>
      <c r="G1676" s="3" t="s">
        <v>175</v>
      </c>
      <c r="H1676" s="2" t="s">
        <v>21</v>
      </c>
      <c r="I1676" s="2" t="s">
        <v>4171</v>
      </c>
      <c r="J1676" s="3" t="str">
        <f>HYPERLINK("https://www.boe.es/gazeta/dias/1816/07/25/pdfs/GMD-1816-92.pdf#page=11","Abrir facsímil")</f>
        <v>Abrir facsímil</v>
      </c>
      <c r="K1676" s="3" t="s">
        <v>23</v>
      </c>
    </row>
    <row r="1677" spans="1:11" ht="42" customHeight="1">
      <c r="A1677" s="2" t="s">
        <v>4172</v>
      </c>
      <c r="B1677" s="2" t="s">
        <v>4172</v>
      </c>
      <c r="C1677" s="2" t="s">
        <v>34</v>
      </c>
      <c r="D1677" s="2" t="s">
        <v>35</v>
      </c>
      <c r="E1677" s="5">
        <v>-30548</v>
      </c>
      <c r="F1677" s="3" t="s">
        <v>472</v>
      </c>
      <c r="G1677" s="3" t="s">
        <v>184</v>
      </c>
      <c r="H1677" s="2" t="s">
        <v>21</v>
      </c>
      <c r="I1677" s="2" t="s">
        <v>4173</v>
      </c>
      <c r="J1677" s="3" t="str">
        <f>HYPERLINK("https://www.boe.es/gazeta/dias/1816/05/11/pdfs/GMD-1816-60.pdf#page=3","Abrir facsímil")</f>
        <v>Abrir facsímil</v>
      </c>
      <c r="K1677" s="3" t="s">
        <v>23</v>
      </c>
    </row>
    <row r="1678" spans="1:11" ht="42" customHeight="1">
      <c r="A1678" s="2" t="s">
        <v>4174</v>
      </c>
      <c r="B1678" s="2" t="s">
        <v>4175</v>
      </c>
      <c r="C1678" s="2" t="s">
        <v>111</v>
      </c>
      <c r="D1678" s="2" t="s">
        <v>112</v>
      </c>
      <c r="E1678" s="5">
        <v>-30489</v>
      </c>
      <c r="F1678" s="3" t="s">
        <v>1120</v>
      </c>
      <c r="G1678" s="3" t="s">
        <v>28</v>
      </c>
      <c r="H1678" s="2" t="s">
        <v>21</v>
      </c>
      <c r="I1678" s="2" t="s">
        <v>4176</v>
      </c>
      <c r="J1678" s="3" t="str">
        <f>HYPERLINK("https://www.boe.es/gazeta/dias/1816/07/09/pdfs/GMD-1816-85.pdf#page=6","Abrir facsímil")</f>
        <v>Abrir facsímil</v>
      </c>
      <c r="K1678" s="3" t="s">
        <v>23</v>
      </c>
    </row>
    <row r="1679" spans="1:11" ht="42" customHeight="1">
      <c r="A1679" s="2" t="s">
        <v>4177</v>
      </c>
      <c r="B1679" s="2" t="s">
        <v>4178</v>
      </c>
      <c r="C1679" s="2" t="s">
        <v>34</v>
      </c>
      <c r="D1679" s="2" t="s">
        <v>35</v>
      </c>
      <c r="E1679" s="5">
        <v>-30324</v>
      </c>
      <c r="F1679" s="3" t="s">
        <v>46</v>
      </c>
      <c r="G1679" s="3" t="s">
        <v>103</v>
      </c>
      <c r="H1679" s="2" t="s">
        <v>21</v>
      </c>
      <c r="I1679" s="2" t="s">
        <v>4179</v>
      </c>
      <c r="J1679" s="3" t="str">
        <f>HYPERLINK("https://www.boe.es/gazeta/dias/1816/12/21/pdfs/GMD-1816-158.pdf#page=4","Abrir facsímil")</f>
        <v>Abrir facsímil</v>
      </c>
      <c r="K1679" s="3" t="s">
        <v>23</v>
      </c>
    </row>
    <row r="1680" spans="1:11" ht="42" customHeight="1">
      <c r="A1680" s="2" t="s">
        <v>4180</v>
      </c>
      <c r="B1680" s="2" t="s">
        <v>4181</v>
      </c>
      <c r="C1680" s="2" t="s">
        <v>26</v>
      </c>
      <c r="D1680" s="2" t="s">
        <v>18</v>
      </c>
      <c r="E1680" s="5">
        <v>-30384</v>
      </c>
      <c r="F1680" s="3" t="s">
        <v>460</v>
      </c>
      <c r="G1680" s="3" t="s">
        <v>47</v>
      </c>
      <c r="H1680" s="2" t="s">
        <v>21</v>
      </c>
      <c r="I1680" s="2" t="s">
        <v>4182</v>
      </c>
      <c r="J1680" s="3" t="str">
        <f>HYPERLINK("https://www.boe.es/gazeta/dias/1816/10/22/pdfs/GMD-1816-132.pdf#page=5","Abrir facsímil")</f>
        <v>Abrir facsímil</v>
      </c>
      <c r="K1680" s="3" t="s">
        <v>23</v>
      </c>
    </row>
    <row r="1681" spans="1:11" ht="42" customHeight="1">
      <c r="A1681" s="2" t="s">
        <v>4183</v>
      </c>
      <c r="B1681" s="2" t="s">
        <v>4184</v>
      </c>
      <c r="C1681" s="2" t="s">
        <v>34</v>
      </c>
      <c r="D1681" s="2" t="s">
        <v>35</v>
      </c>
      <c r="E1681" s="5">
        <v>-30634</v>
      </c>
      <c r="F1681" s="3" t="s">
        <v>1104</v>
      </c>
      <c r="G1681" s="3" t="s">
        <v>2234</v>
      </c>
      <c r="H1681" s="2" t="s">
        <v>29</v>
      </c>
      <c r="I1681" s="2" t="s">
        <v>4185</v>
      </c>
      <c r="J1681" s="3" t="str">
        <f>HYPERLINK("https://www.boe.es/gazeta/dias/1816/02/15/pdfs/GMD-1816-21.pdf#page=8","Abrir facsímil")</f>
        <v>Abrir facsímil</v>
      </c>
      <c r="K1681" s="3" t="s">
        <v>31</v>
      </c>
    </row>
    <row r="1682" spans="1:11" ht="42" customHeight="1">
      <c r="A1682" s="2" t="s">
        <v>4186</v>
      </c>
      <c r="B1682" s="2" t="s">
        <v>4187</v>
      </c>
      <c r="C1682" s="2" t="s">
        <v>111</v>
      </c>
      <c r="D1682" s="2" t="s">
        <v>112</v>
      </c>
      <c r="E1682" s="5">
        <v>-30359</v>
      </c>
      <c r="F1682" s="3" t="s">
        <v>812</v>
      </c>
      <c r="G1682" s="3" t="s">
        <v>28</v>
      </c>
      <c r="H1682" s="2" t="s">
        <v>21</v>
      </c>
      <c r="I1682" s="2" t="s">
        <v>4188</v>
      </c>
      <c r="J1682" s="3" t="str">
        <f>HYPERLINK("https://www.boe.es/gazeta/dias/1816/11/16/pdfs/GMD-1816-143.pdf#page=6","Abrir facsímil")</f>
        <v>Abrir facsímil</v>
      </c>
      <c r="K1682" s="3" t="s">
        <v>23</v>
      </c>
    </row>
    <row r="1683" spans="1:11" ht="42" customHeight="1">
      <c r="A1683" s="2" t="s">
        <v>4189</v>
      </c>
      <c r="B1683" s="2" t="s">
        <v>4189</v>
      </c>
      <c r="C1683" s="2" t="s">
        <v>34</v>
      </c>
      <c r="D1683" s="2" t="s">
        <v>35</v>
      </c>
      <c r="E1683" s="5">
        <v>-30454</v>
      </c>
      <c r="F1683" s="3" t="s">
        <v>188</v>
      </c>
      <c r="G1683" s="3" t="s">
        <v>58</v>
      </c>
      <c r="H1683" s="2" t="s">
        <v>21</v>
      </c>
      <c r="I1683" s="2" t="s">
        <v>4190</v>
      </c>
      <c r="J1683" s="3" t="str">
        <f>HYPERLINK("https://www.boe.es/gazeta/dias/1816/08/13/pdfs/GMD-1816-100.pdf#page=1","Abrir facsímil")</f>
        <v>Abrir facsímil</v>
      </c>
      <c r="K1683" s="3" t="s">
        <v>23</v>
      </c>
    </row>
    <row r="1684" spans="1:11" ht="42" customHeight="1">
      <c r="A1684" s="2" t="s">
        <v>4191</v>
      </c>
      <c r="B1684" s="2" t="s">
        <v>4191</v>
      </c>
      <c r="C1684" s="2" t="s">
        <v>17</v>
      </c>
      <c r="D1684" s="2" t="s">
        <v>18</v>
      </c>
      <c r="E1684" s="5">
        <v>-30613</v>
      </c>
      <c r="F1684" s="3" t="s">
        <v>392</v>
      </c>
      <c r="G1684" s="3" t="s">
        <v>1395</v>
      </c>
      <c r="H1684" s="2" t="s">
        <v>21</v>
      </c>
      <c r="I1684" s="2" t="s">
        <v>4192</v>
      </c>
      <c r="J1684" s="3" t="str">
        <f>HYPERLINK("https://www.boe.es/gazeta/dias/1816/03/07/pdfs/GMD-1816-31.pdf#page=8","Abrir facsímil")</f>
        <v>Abrir facsímil</v>
      </c>
      <c r="K1684" s="3" t="s">
        <v>23</v>
      </c>
    </row>
    <row r="1685" spans="1:11" ht="42" customHeight="1">
      <c r="A1685" s="2" t="s">
        <v>4193</v>
      </c>
      <c r="B1685" s="2" t="s">
        <v>4194</v>
      </c>
      <c r="C1685" s="2" t="s">
        <v>41</v>
      </c>
      <c r="D1685" s="2" t="s">
        <v>18</v>
      </c>
      <c r="E1685" s="5">
        <v>-30314</v>
      </c>
      <c r="F1685" s="3" t="s">
        <v>1899</v>
      </c>
      <c r="G1685" s="3" t="s">
        <v>42</v>
      </c>
      <c r="H1685" s="2" t="s">
        <v>21</v>
      </c>
      <c r="I1685" s="2" t="s">
        <v>4195</v>
      </c>
      <c r="J1685" s="3" t="str">
        <f>HYPERLINK("https://www.boe.es/gazeta/dias/1816/12/31/pdfs/GMD-1816-162.pdf#page=8","Abrir facsímil")</f>
        <v>Abrir facsímil</v>
      </c>
      <c r="K1685" s="3" t="s">
        <v>23</v>
      </c>
    </row>
    <row r="1686" spans="1:11" ht="42" customHeight="1">
      <c r="A1686" s="2" t="s">
        <v>4196</v>
      </c>
      <c r="B1686" s="2" t="s">
        <v>4197</v>
      </c>
      <c r="C1686" s="2" t="s">
        <v>26</v>
      </c>
      <c r="D1686" s="2" t="s">
        <v>18</v>
      </c>
      <c r="E1686" s="5">
        <v>-30438</v>
      </c>
      <c r="F1686" s="3" t="s">
        <v>299</v>
      </c>
      <c r="G1686" s="3" t="s">
        <v>300</v>
      </c>
      <c r="H1686" s="2" t="s">
        <v>21</v>
      </c>
      <c r="I1686" s="2" t="s">
        <v>4198</v>
      </c>
      <c r="J1686" s="3" t="str">
        <f>HYPERLINK("https://www.boe.es/gazeta/dias/1816/08/29/pdfs/GMD-1816-107.pdf#page=12","Abrir facsímil")</f>
        <v>Abrir facsímil</v>
      </c>
      <c r="K1686" s="3" t="s">
        <v>23</v>
      </c>
    </row>
    <row r="1687" spans="1:11" ht="42" customHeight="1">
      <c r="A1687" s="2" t="s">
        <v>4199</v>
      </c>
      <c r="B1687" s="2" t="s">
        <v>4200</v>
      </c>
      <c r="C1687" s="2" t="s">
        <v>17</v>
      </c>
      <c r="D1687" s="2" t="s">
        <v>18</v>
      </c>
      <c r="E1687" s="5">
        <v>-30594</v>
      </c>
      <c r="F1687" s="3" t="s">
        <v>234</v>
      </c>
      <c r="G1687" s="3" t="s">
        <v>52</v>
      </c>
      <c r="H1687" s="2" t="s">
        <v>21</v>
      </c>
      <c r="I1687" s="2" t="s">
        <v>4201</v>
      </c>
      <c r="J1687" s="3" t="str">
        <f>HYPERLINK("https://www.boe.es/gazeta/dias/1816/03/26/pdfs/GMD-1816-40.pdf#page=12","Abrir facsímil")</f>
        <v>Abrir facsímil</v>
      </c>
      <c r="K1687" s="3" t="s">
        <v>23</v>
      </c>
    </row>
    <row r="1688" spans="1:11" ht="42" customHeight="1">
      <c r="A1688" s="2" t="s">
        <v>4202</v>
      </c>
      <c r="B1688" s="2" t="s">
        <v>4203</v>
      </c>
      <c r="C1688" s="2" t="s">
        <v>111</v>
      </c>
      <c r="D1688" s="2" t="s">
        <v>112</v>
      </c>
      <c r="E1688" s="5">
        <v>-30473</v>
      </c>
      <c r="F1688" s="3" t="s">
        <v>336</v>
      </c>
      <c r="G1688" s="3" t="s">
        <v>3077</v>
      </c>
      <c r="H1688" s="2" t="s">
        <v>21</v>
      </c>
      <c r="I1688" s="2" t="s">
        <v>4204</v>
      </c>
      <c r="J1688" s="3" t="str">
        <f>HYPERLINK("https://www.boe.es/gazeta/dias/1816/07/25/pdfs/GMD-1816-92.pdf#page=15","Abrir facsímil")</f>
        <v>Abrir facsímil</v>
      </c>
      <c r="K1688" s="3" t="s">
        <v>23</v>
      </c>
    </row>
    <row r="1689" spans="1:11" ht="42" customHeight="1">
      <c r="A1689" s="2" t="s">
        <v>4205</v>
      </c>
      <c r="B1689" s="2" t="s">
        <v>4206</v>
      </c>
      <c r="C1689" s="2" t="s">
        <v>67</v>
      </c>
      <c r="D1689" s="2" t="s">
        <v>18</v>
      </c>
      <c r="E1689" s="5">
        <v>-30447</v>
      </c>
      <c r="F1689" s="3" t="s">
        <v>151</v>
      </c>
      <c r="G1689" s="3" t="s">
        <v>152</v>
      </c>
      <c r="H1689" s="2" t="s">
        <v>21</v>
      </c>
      <c r="I1689" s="2" t="s">
        <v>4207</v>
      </c>
      <c r="J1689" s="3" t="str">
        <f>HYPERLINK("https://www.boe.es/gazeta/dias/1816/08/20/pdfs/GMD-1816-103.pdf#page=8","Abrir facsímil")</f>
        <v>Abrir facsímil</v>
      </c>
      <c r="K1689" s="3" t="s">
        <v>23</v>
      </c>
    </row>
    <row r="1690" spans="1:11" ht="42" customHeight="1">
      <c r="A1690" s="2" t="s">
        <v>4208</v>
      </c>
      <c r="B1690" s="2" t="s">
        <v>4209</v>
      </c>
      <c r="C1690" s="2" t="s">
        <v>111</v>
      </c>
      <c r="D1690" s="2" t="s">
        <v>112</v>
      </c>
      <c r="E1690" s="5">
        <v>-30398</v>
      </c>
      <c r="F1690" s="3" t="s">
        <v>447</v>
      </c>
      <c r="G1690" s="3" t="s">
        <v>42</v>
      </c>
      <c r="H1690" s="2" t="s">
        <v>21</v>
      </c>
      <c r="I1690" s="2" t="s">
        <v>4210</v>
      </c>
      <c r="J1690" s="3" t="str">
        <f>HYPERLINK("https://www.boe.es/gazeta/dias/1816/10/08/pdfs/GMD-1816-125.pdf#page=8","Abrir facsímil")</f>
        <v>Abrir facsímil</v>
      </c>
      <c r="K1690" s="3" t="s">
        <v>23</v>
      </c>
    </row>
    <row r="1691" spans="1:11" ht="42" customHeight="1">
      <c r="A1691" s="2" t="s">
        <v>4211</v>
      </c>
      <c r="B1691" s="2" t="s">
        <v>4212</v>
      </c>
      <c r="C1691" s="2" t="s">
        <v>111</v>
      </c>
      <c r="D1691" s="2" t="s">
        <v>112</v>
      </c>
      <c r="E1691" s="5">
        <v>-30424</v>
      </c>
      <c r="F1691" s="3" t="s">
        <v>142</v>
      </c>
      <c r="G1691" s="3" t="s">
        <v>175</v>
      </c>
      <c r="H1691" s="2" t="s">
        <v>21</v>
      </c>
      <c r="I1691" s="2" t="s">
        <v>4213</v>
      </c>
      <c r="J1691" s="3" t="str">
        <f>HYPERLINK("https://www.boe.es/gazeta/dias/1816/09/12/pdfs/GMD-1816-113.pdf#page=11","Abrir facsímil")</f>
        <v>Abrir facsímil</v>
      </c>
      <c r="K1691" s="3" t="s">
        <v>23</v>
      </c>
    </row>
    <row r="1692" spans="1:11" ht="42" customHeight="1">
      <c r="A1692" s="2" t="s">
        <v>4214</v>
      </c>
      <c r="B1692" s="2" t="s">
        <v>4215</v>
      </c>
      <c r="C1692" s="2" t="s">
        <v>41</v>
      </c>
      <c r="D1692" s="2" t="s">
        <v>18</v>
      </c>
      <c r="E1692" s="5">
        <v>-30398</v>
      </c>
      <c r="F1692" s="3" t="s">
        <v>447</v>
      </c>
      <c r="G1692" s="3" t="s">
        <v>72</v>
      </c>
      <c r="H1692" s="2" t="s">
        <v>21</v>
      </c>
      <c r="I1692" s="2" t="s">
        <v>4216</v>
      </c>
      <c r="J1692" s="3" t="str">
        <f>HYPERLINK("https://www.boe.es/gazeta/dias/1816/10/08/pdfs/GMD-1816-125.pdf#page=7","Abrir facsímil")</f>
        <v>Abrir facsímil</v>
      </c>
      <c r="K1692" s="3" t="s">
        <v>23</v>
      </c>
    </row>
    <row r="1693" spans="1:11" ht="42" customHeight="1">
      <c r="A1693" s="2" t="s">
        <v>4217</v>
      </c>
      <c r="B1693" s="2" t="s">
        <v>4217</v>
      </c>
      <c r="C1693" s="2" t="s">
        <v>26</v>
      </c>
      <c r="D1693" s="2" t="s">
        <v>18</v>
      </c>
      <c r="E1693" s="5">
        <v>-30494</v>
      </c>
      <c r="F1693" s="3" t="s">
        <v>174</v>
      </c>
      <c r="G1693" s="3" t="s">
        <v>72</v>
      </c>
      <c r="H1693" s="2" t="s">
        <v>21</v>
      </c>
      <c r="I1693" s="2" t="s">
        <v>4218</v>
      </c>
      <c r="J1693" s="3" t="str">
        <f>HYPERLINK("https://www.boe.es/gazeta/dias/1816/07/04/pdfs/GMD-1816-83.pdf#page=7","Abrir facsímil")</f>
        <v>Abrir facsímil</v>
      </c>
      <c r="K1693" s="3" t="s">
        <v>23</v>
      </c>
    </row>
    <row r="1694" spans="1:11" ht="42" customHeight="1">
      <c r="A1694" s="2" t="s">
        <v>4219</v>
      </c>
      <c r="B1694" s="2" t="s">
        <v>4219</v>
      </c>
      <c r="C1694" s="2" t="s">
        <v>111</v>
      </c>
      <c r="D1694" s="2" t="s">
        <v>112</v>
      </c>
      <c r="E1694" s="5">
        <v>-30597</v>
      </c>
      <c r="F1694" s="3" t="s">
        <v>696</v>
      </c>
      <c r="G1694" s="3" t="s">
        <v>28</v>
      </c>
      <c r="H1694" s="2" t="s">
        <v>21</v>
      </c>
      <c r="I1694" s="2" t="s">
        <v>4220</v>
      </c>
      <c r="J1694" s="3" t="str">
        <f>HYPERLINK("https://www.boe.es/gazeta/dias/1816/03/23/pdfs/GMD-1816-39.pdf#page=6","Abrir facsímil")</f>
        <v>Abrir facsímil</v>
      </c>
      <c r="K1694" s="3" t="s">
        <v>23</v>
      </c>
    </row>
    <row r="1695" spans="1:11" ht="42" customHeight="1">
      <c r="A1695" s="2" t="s">
        <v>4221</v>
      </c>
      <c r="B1695" s="2" t="s">
        <v>4221</v>
      </c>
      <c r="C1695" s="2" t="s">
        <v>26</v>
      </c>
      <c r="D1695" s="2" t="s">
        <v>18</v>
      </c>
      <c r="E1695" s="5">
        <v>-30585</v>
      </c>
      <c r="F1695" s="3" t="s">
        <v>633</v>
      </c>
      <c r="G1695" s="3" t="s">
        <v>47</v>
      </c>
      <c r="H1695" s="2" t="s">
        <v>21</v>
      </c>
      <c r="I1695" s="2" t="s">
        <v>4222</v>
      </c>
      <c r="J1695" s="3" t="str">
        <f>HYPERLINK("https://www.boe.es/gazeta/dias/1816/04/04/pdfs/GMD-1816-44.pdf#page=5","Abrir facsímil")</f>
        <v>Abrir facsímil</v>
      </c>
      <c r="K1695" s="3" t="s">
        <v>23</v>
      </c>
    </row>
    <row r="1696" spans="1:11" ht="42" customHeight="1">
      <c r="A1696" s="2" t="s">
        <v>4219</v>
      </c>
      <c r="B1696" s="2" t="s">
        <v>4219</v>
      </c>
      <c r="C1696" s="2" t="s">
        <v>34</v>
      </c>
      <c r="D1696" s="2" t="s">
        <v>35</v>
      </c>
      <c r="E1696" s="5">
        <v>-30473</v>
      </c>
      <c r="F1696" s="3" t="s">
        <v>336</v>
      </c>
      <c r="G1696" s="3" t="s">
        <v>337</v>
      </c>
      <c r="H1696" s="2" t="s">
        <v>21</v>
      </c>
      <c r="I1696" s="2" t="s">
        <v>4223</v>
      </c>
      <c r="J1696" s="3" t="str">
        <f>HYPERLINK("https://www.boe.es/gazeta/dias/1816/07/25/pdfs/GMD-1816-92.pdf#page=3","Abrir facsímil")</f>
        <v>Abrir facsímil</v>
      </c>
      <c r="K1696" s="3" t="s">
        <v>23</v>
      </c>
    </row>
    <row r="1697" spans="1:11" ht="42" customHeight="1">
      <c r="A1697" s="2" t="s">
        <v>4221</v>
      </c>
      <c r="B1697" s="2" t="s">
        <v>4221</v>
      </c>
      <c r="C1697" s="2" t="s">
        <v>26</v>
      </c>
      <c r="D1697" s="2" t="s">
        <v>18</v>
      </c>
      <c r="E1697" s="5">
        <v>-30426</v>
      </c>
      <c r="F1697" s="3" t="s">
        <v>779</v>
      </c>
      <c r="G1697" s="3" t="s">
        <v>103</v>
      </c>
      <c r="H1697" s="2" t="s">
        <v>21</v>
      </c>
      <c r="I1697" s="2" t="s">
        <v>4224</v>
      </c>
      <c r="J1697" s="3" t="str">
        <f>HYPERLINK("https://www.boe.es/gazeta/dias/1816/09/10/pdfs/GMD-1816-112.pdf#page=4","Abrir facsímil")</f>
        <v>Abrir facsímil</v>
      </c>
      <c r="K1697" s="3" t="s">
        <v>23</v>
      </c>
    </row>
    <row r="1698" spans="1:11" ht="42" customHeight="1">
      <c r="A1698" s="2" t="s">
        <v>4225</v>
      </c>
      <c r="B1698" s="2" t="s">
        <v>4226</v>
      </c>
      <c r="C1698" s="2" t="s">
        <v>41</v>
      </c>
      <c r="D1698" s="2" t="s">
        <v>18</v>
      </c>
      <c r="E1698" s="5">
        <v>-30319</v>
      </c>
      <c r="F1698" s="3" t="s">
        <v>131</v>
      </c>
      <c r="G1698" s="3" t="s">
        <v>132</v>
      </c>
      <c r="H1698" s="2" t="s">
        <v>21</v>
      </c>
      <c r="I1698" s="2" t="s">
        <v>4227</v>
      </c>
      <c r="J1698" s="3" t="str">
        <f>HYPERLINK("https://www.boe.es/gazeta/dias/1816/12/26/pdfs/GMD-1816-160.pdf#page=6","Abrir facsímil")</f>
        <v>Abrir facsímil</v>
      </c>
      <c r="K1698" s="3" t="s">
        <v>23</v>
      </c>
    </row>
    <row r="1699" spans="1:11" ht="42" customHeight="1">
      <c r="A1699" s="2" t="s">
        <v>4228</v>
      </c>
      <c r="B1699" s="2" t="s">
        <v>4229</v>
      </c>
      <c r="C1699" s="2" t="s">
        <v>34</v>
      </c>
      <c r="D1699" s="2" t="s">
        <v>35</v>
      </c>
      <c r="E1699" s="5">
        <v>-30321</v>
      </c>
      <c r="F1699" s="3" t="s">
        <v>1086</v>
      </c>
      <c r="G1699" s="3" t="s">
        <v>180</v>
      </c>
      <c r="H1699" s="2" t="s">
        <v>21</v>
      </c>
      <c r="I1699" s="2" t="s">
        <v>4230</v>
      </c>
      <c r="J1699" s="3" t="str">
        <f>HYPERLINK("https://www.boe.es/gazeta/dias/1816/12/24/pdfs/GMD-1816-159.pdf#page=10","Abrir facsímil")</f>
        <v>Abrir facsímil</v>
      </c>
      <c r="K1699" s="3" t="s">
        <v>23</v>
      </c>
    </row>
    <row r="1700" spans="1:11" ht="42" customHeight="1">
      <c r="A1700" s="2" t="s">
        <v>4231</v>
      </c>
      <c r="B1700" s="2" t="s">
        <v>4232</v>
      </c>
      <c r="C1700" s="2" t="s">
        <v>34</v>
      </c>
      <c r="D1700" s="2" t="s">
        <v>35</v>
      </c>
      <c r="E1700" s="5">
        <v>-30487</v>
      </c>
      <c r="F1700" s="3" t="s">
        <v>397</v>
      </c>
      <c r="G1700" s="3" t="s">
        <v>103</v>
      </c>
      <c r="H1700" s="2" t="s">
        <v>21</v>
      </c>
      <c r="I1700" s="2" t="s">
        <v>4233</v>
      </c>
      <c r="J1700" s="3" t="str">
        <f>HYPERLINK("https://www.boe.es/gazeta/dias/1816/07/11/pdfs/GMD-1816-86.pdf#page=4","Abrir facsímil")</f>
        <v>Abrir facsímil</v>
      </c>
      <c r="K1700" s="3" t="s">
        <v>23</v>
      </c>
    </row>
    <row r="1701" spans="1:11" ht="42" customHeight="1">
      <c r="A1701" s="2" t="s">
        <v>4234</v>
      </c>
      <c r="B1701" s="2" t="s">
        <v>4234</v>
      </c>
      <c r="C1701" s="2" t="s">
        <v>111</v>
      </c>
      <c r="D1701" s="2" t="s">
        <v>112</v>
      </c>
      <c r="E1701" s="5">
        <v>-30557</v>
      </c>
      <c r="F1701" s="3" t="s">
        <v>508</v>
      </c>
      <c r="G1701" s="3" t="s">
        <v>103</v>
      </c>
      <c r="H1701" s="2" t="s">
        <v>21</v>
      </c>
      <c r="I1701" s="2" t="s">
        <v>4235</v>
      </c>
      <c r="J1701" s="3" t="str">
        <f>HYPERLINK("https://www.boe.es/gazeta/dias/1816/05/02/pdfs/GMD-1816-56.pdf#page=4","Abrir facsímil")</f>
        <v>Abrir facsímil</v>
      </c>
      <c r="K1701" s="3" t="s">
        <v>23</v>
      </c>
    </row>
    <row r="1702" spans="1:11" ht="42" customHeight="1">
      <c r="A1702" s="2" t="s">
        <v>4234</v>
      </c>
      <c r="B1702" s="2" t="s">
        <v>4234</v>
      </c>
      <c r="C1702" s="2" t="s">
        <v>26</v>
      </c>
      <c r="D1702" s="2" t="s">
        <v>18</v>
      </c>
      <c r="E1702" s="5">
        <v>-30538</v>
      </c>
      <c r="F1702" s="3" t="s">
        <v>496</v>
      </c>
      <c r="G1702" s="3" t="s">
        <v>28</v>
      </c>
      <c r="H1702" s="2" t="s">
        <v>21</v>
      </c>
      <c r="I1702" s="2" t="s">
        <v>4236</v>
      </c>
      <c r="J1702" s="3" t="str">
        <f>HYPERLINK("https://www.boe.es/gazeta/dias/1816/05/21/pdfs/GMD-1816-64.pdf#page=6","Abrir facsímil")</f>
        <v>Abrir facsímil</v>
      </c>
      <c r="K1702" s="3" t="s">
        <v>23</v>
      </c>
    </row>
    <row r="1703" spans="1:11" ht="42" customHeight="1">
      <c r="A1703" s="2" t="s">
        <v>4234</v>
      </c>
      <c r="B1703" s="2" t="s">
        <v>4234</v>
      </c>
      <c r="C1703" s="2" t="s">
        <v>34</v>
      </c>
      <c r="D1703" s="2" t="s">
        <v>35</v>
      </c>
      <c r="E1703" s="5">
        <v>-30487</v>
      </c>
      <c r="F1703" s="3" t="s">
        <v>397</v>
      </c>
      <c r="G1703" s="3" t="s">
        <v>28</v>
      </c>
      <c r="H1703" s="2" t="s">
        <v>21</v>
      </c>
      <c r="I1703" s="2" t="s">
        <v>4237</v>
      </c>
      <c r="J1703" s="3" t="str">
        <f>HYPERLINK("https://www.boe.es/gazeta/dias/1816/07/11/pdfs/GMD-1816-86.pdf#page=6","Abrir facsímil")</f>
        <v>Abrir facsímil</v>
      </c>
      <c r="K1703" s="3" t="s">
        <v>23</v>
      </c>
    </row>
    <row r="1704" spans="1:11" ht="42" customHeight="1">
      <c r="A1704" s="2" t="s">
        <v>4234</v>
      </c>
      <c r="B1704" s="2" t="s">
        <v>4234</v>
      </c>
      <c r="C1704" s="2" t="s">
        <v>26</v>
      </c>
      <c r="D1704" s="2" t="s">
        <v>18</v>
      </c>
      <c r="E1704" s="5">
        <v>-30424</v>
      </c>
      <c r="F1704" s="3" t="s">
        <v>142</v>
      </c>
      <c r="G1704" s="3" t="s">
        <v>4238</v>
      </c>
      <c r="H1704" s="2" t="s">
        <v>21</v>
      </c>
      <c r="I1704" s="2" t="s">
        <v>4239</v>
      </c>
      <c r="J1704" s="3" t="str">
        <f>HYPERLINK("https://www.boe.es/gazeta/dias/1816/09/12/pdfs/GMD-1816-113.pdf#page=7","Abrir facsímil")</f>
        <v>Abrir facsímil</v>
      </c>
      <c r="K1704" s="3" t="s">
        <v>23</v>
      </c>
    </row>
    <row r="1705" spans="1:11" ht="42" customHeight="1">
      <c r="A1705" s="2" t="s">
        <v>4240</v>
      </c>
      <c r="B1705" s="2" t="s">
        <v>4240</v>
      </c>
      <c r="C1705" s="2" t="s">
        <v>34</v>
      </c>
      <c r="D1705" s="2" t="s">
        <v>35</v>
      </c>
      <c r="E1705" s="5">
        <v>-30438</v>
      </c>
      <c r="F1705" s="3" t="s">
        <v>299</v>
      </c>
      <c r="G1705" s="3" t="s">
        <v>3567</v>
      </c>
      <c r="H1705" s="2" t="s">
        <v>21</v>
      </c>
      <c r="I1705" s="2" t="s">
        <v>4241</v>
      </c>
      <c r="J1705" s="3" t="str">
        <f>HYPERLINK("https://www.boe.es/gazeta/dias/1816/08/29/pdfs/GMD-1816-107.pdf#page=5","Abrir facsímil")</f>
        <v>Abrir facsímil</v>
      </c>
      <c r="K1705" s="3" t="s">
        <v>23</v>
      </c>
    </row>
    <row r="1706" spans="1:11" ht="42" customHeight="1">
      <c r="A1706" s="2" t="s">
        <v>4242</v>
      </c>
      <c r="B1706" s="2" t="s">
        <v>4243</v>
      </c>
      <c r="C1706" s="2" t="s">
        <v>81</v>
      </c>
      <c r="D1706" s="2" t="s">
        <v>18</v>
      </c>
      <c r="E1706" s="5">
        <v>-30319</v>
      </c>
      <c r="F1706" s="3" t="s">
        <v>131</v>
      </c>
      <c r="G1706" s="3" t="s">
        <v>2122</v>
      </c>
      <c r="H1706" s="2" t="s">
        <v>21</v>
      </c>
      <c r="I1706" s="2" t="s">
        <v>4244</v>
      </c>
      <c r="J1706" s="3" t="str">
        <f>HYPERLINK("https://www.boe.es/gazeta/dias/1816/12/26/pdfs/GMD-1816-160.pdf#page=7","Abrir facsímil")</f>
        <v>Abrir facsímil</v>
      </c>
      <c r="K1706" s="3" t="s">
        <v>23</v>
      </c>
    </row>
    <row r="1707" spans="1:11" ht="42" customHeight="1">
      <c r="A1707" s="2" t="s">
        <v>4245</v>
      </c>
      <c r="B1707" s="2" t="s">
        <v>4245</v>
      </c>
      <c r="C1707" s="2" t="s">
        <v>34</v>
      </c>
      <c r="D1707" s="2" t="s">
        <v>35</v>
      </c>
      <c r="E1707" s="5">
        <v>-30646</v>
      </c>
      <c r="F1707" s="3" t="s">
        <v>615</v>
      </c>
      <c r="G1707" s="3" t="s">
        <v>47</v>
      </c>
      <c r="H1707" s="2" t="s">
        <v>21</v>
      </c>
      <c r="I1707" s="2" t="s">
        <v>4246</v>
      </c>
      <c r="J1707" s="3" t="str">
        <f>HYPERLINK("https://www.boe.es/gazeta/dias/1816/02/03/pdfs/GMD-1816-16.pdf#page=5","Abrir facsímil")</f>
        <v>Abrir facsímil</v>
      </c>
      <c r="K1707" s="3" t="s">
        <v>23</v>
      </c>
    </row>
    <row r="1708" spans="1:11" ht="42" customHeight="1">
      <c r="A1708" s="2" t="s">
        <v>4247</v>
      </c>
      <c r="B1708" s="2" t="s">
        <v>4247</v>
      </c>
      <c r="C1708" s="2" t="s">
        <v>34</v>
      </c>
      <c r="D1708" s="2" t="s">
        <v>35</v>
      </c>
      <c r="E1708" s="5">
        <v>-30496</v>
      </c>
      <c r="F1708" s="3" t="s">
        <v>290</v>
      </c>
      <c r="G1708" s="3" t="s">
        <v>291</v>
      </c>
      <c r="H1708" s="2" t="s">
        <v>21</v>
      </c>
      <c r="I1708" s="2" t="s">
        <v>4248</v>
      </c>
      <c r="J1708" s="3" t="str">
        <f>HYPERLINK("https://www.boe.es/gazeta/dias/1816/07/02/pdfs/GMD-1816-82.pdf#page=7","Abrir facsímil")</f>
        <v>Abrir facsímil</v>
      </c>
      <c r="K1708" s="3" t="s">
        <v>23</v>
      </c>
    </row>
    <row r="1709" spans="1:11" ht="42" customHeight="1">
      <c r="A1709" s="2" t="s">
        <v>4249</v>
      </c>
      <c r="B1709" s="2" t="s">
        <v>4249</v>
      </c>
      <c r="C1709" s="2" t="s">
        <v>111</v>
      </c>
      <c r="D1709" s="2" t="s">
        <v>112</v>
      </c>
      <c r="E1709" s="5">
        <v>-30559</v>
      </c>
      <c r="F1709" s="3" t="s">
        <v>165</v>
      </c>
      <c r="G1709" s="3" t="s">
        <v>42</v>
      </c>
      <c r="H1709" s="2" t="s">
        <v>21</v>
      </c>
      <c r="I1709" s="2" t="s">
        <v>4250</v>
      </c>
      <c r="J1709" s="3" t="str">
        <f>HYPERLINK("https://www.boe.es/gazeta/dias/1816/04/30/pdfs/GMD-1816-55.pdf#page=8","Abrir facsímil")</f>
        <v>Abrir facsímil</v>
      </c>
      <c r="K1709" s="3" t="s">
        <v>23</v>
      </c>
    </row>
    <row r="1710" spans="1:11" ht="42" customHeight="1">
      <c r="A1710" s="2" t="s">
        <v>4251</v>
      </c>
      <c r="B1710" s="2" t="s">
        <v>4251</v>
      </c>
      <c r="C1710" s="2" t="s">
        <v>41</v>
      </c>
      <c r="D1710" s="2" t="s">
        <v>18</v>
      </c>
      <c r="E1710" s="5">
        <v>-30587</v>
      </c>
      <c r="F1710" s="3" t="s">
        <v>341</v>
      </c>
      <c r="G1710" s="3" t="s">
        <v>184</v>
      </c>
      <c r="H1710" s="2" t="s">
        <v>21</v>
      </c>
      <c r="I1710" s="2" t="s">
        <v>4252</v>
      </c>
      <c r="J1710" s="3" t="str">
        <f>HYPERLINK("https://www.boe.es/gazeta/dias/1816/04/02/pdfs/GMD-1816-43.pdf#page=3","Abrir facsímil")</f>
        <v>Abrir facsímil</v>
      </c>
      <c r="K1710" s="3" t="s">
        <v>23</v>
      </c>
    </row>
    <row r="1711" spans="1:11" ht="42" customHeight="1">
      <c r="A1711" s="2" t="s">
        <v>4251</v>
      </c>
      <c r="B1711" s="2" t="s">
        <v>4251</v>
      </c>
      <c r="C1711" s="2" t="s">
        <v>34</v>
      </c>
      <c r="D1711" s="2" t="s">
        <v>35</v>
      </c>
      <c r="E1711" s="5">
        <v>-30473</v>
      </c>
      <c r="F1711" s="3" t="s">
        <v>336</v>
      </c>
      <c r="G1711" s="3" t="s">
        <v>52</v>
      </c>
      <c r="H1711" s="2" t="s">
        <v>21</v>
      </c>
      <c r="I1711" s="2" t="s">
        <v>4253</v>
      </c>
      <c r="J1711" s="3" t="str">
        <f>HYPERLINK("https://www.boe.es/gazeta/dias/1816/07/25/pdfs/GMD-1816-92.pdf#page=12","Abrir facsímil")</f>
        <v>Abrir facsímil</v>
      </c>
      <c r="K1711" s="3" t="s">
        <v>23</v>
      </c>
    </row>
    <row r="1712" spans="1:11" ht="42" customHeight="1">
      <c r="A1712" s="2" t="s">
        <v>4251</v>
      </c>
      <c r="B1712" s="2" t="s">
        <v>4251</v>
      </c>
      <c r="C1712" s="2" t="s">
        <v>26</v>
      </c>
      <c r="D1712" s="2" t="s">
        <v>18</v>
      </c>
      <c r="E1712" s="5">
        <v>-30424</v>
      </c>
      <c r="F1712" s="3" t="s">
        <v>142</v>
      </c>
      <c r="G1712" s="3" t="s">
        <v>184</v>
      </c>
      <c r="H1712" s="2" t="s">
        <v>21</v>
      </c>
      <c r="I1712" s="2" t="s">
        <v>4254</v>
      </c>
      <c r="J1712" s="3" t="str">
        <f>HYPERLINK("https://www.boe.es/gazeta/dias/1816/09/12/pdfs/GMD-1816-113.pdf#page=3","Abrir facsímil")</f>
        <v>Abrir facsímil</v>
      </c>
      <c r="K1712" s="3" t="s">
        <v>23</v>
      </c>
    </row>
    <row r="1713" spans="1:11" ht="42" customHeight="1">
      <c r="A1713" s="2" t="s">
        <v>4255</v>
      </c>
      <c r="B1713" s="2" t="s">
        <v>4256</v>
      </c>
      <c r="C1713" s="2" t="s">
        <v>34</v>
      </c>
      <c r="D1713" s="2" t="s">
        <v>35</v>
      </c>
      <c r="E1713" s="5">
        <v>-30678</v>
      </c>
      <c r="F1713" s="3" t="s">
        <v>76</v>
      </c>
      <c r="G1713" s="3" t="s">
        <v>2221</v>
      </c>
      <c r="H1713" s="2" t="s">
        <v>21</v>
      </c>
      <c r="I1713" s="2" t="s">
        <v>4257</v>
      </c>
      <c r="J1713" s="3" t="str">
        <f>HYPERLINK("https://www.boe.es/gazeta/dias/1816/01/02/pdfs/GMD-1816-1.pdf#page=7","Abrir facsímil")</f>
        <v>Abrir facsímil</v>
      </c>
      <c r="K1713" s="3" t="s">
        <v>23</v>
      </c>
    </row>
    <row r="1714" spans="1:11" ht="42" customHeight="1">
      <c r="A1714" s="2" t="s">
        <v>4258</v>
      </c>
      <c r="B1714" s="2" t="s">
        <v>4259</v>
      </c>
      <c r="C1714" s="2" t="s">
        <v>41</v>
      </c>
      <c r="D1714" s="2" t="s">
        <v>18</v>
      </c>
      <c r="E1714" s="5">
        <v>-30587</v>
      </c>
      <c r="F1714" s="3" t="s">
        <v>341</v>
      </c>
      <c r="G1714" s="3" t="s">
        <v>42</v>
      </c>
      <c r="H1714" s="2" t="s">
        <v>21</v>
      </c>
      <c r="I1714" s="2" t="s">
        <v>4260</v>
      </c>
      <c r="J1714" s="3" t="str">
        <f>HYPERLINK("https://www.boe.es/gazeta/dias/1816/04/02/pdfs/GMD-1816-43.pdf#page=8","Abrir facsímil")</f>
        <v>Abrir facsímil</v>
      </c>
      <c r="K1714" s="3" t="s">
        <v>23</v>
      </c>
    </row>
    <row r="1715" spans="1:11" ht="42" customHeight="1">
      <c r="A1715" s="2" t="s">
        <v>4261</v>
      </c>
      <c r="B1715" s="2" t="s">
        <v>4261</v>
      </c>
      <c r="C1715" s="2" t="s">
        <v>34</v>
      </c>
      <c r="D1715" s="2" t="s">
        <v>35</v>
      </c>
      <c r="E1715" s="5">
        <v>-30573</v>
      </c>
      <c r="F1715" s="3" t="s">
        <v>840</v>
      </c>
      <c r="G1715" s="3" t="s">
        <v>4262</v>
      </c>
      <c r="H1715" s="2" t="s">
        <v>21</v>
      </c>
      <c r="I1715" s="2" t="s">
        <v>4263</v>
      </c>
      <c r="J1715" s="3" t="str">
        <f>HYPERLINK("https://www.boe.es/gazeta/dias/1816/04/16/pdfs/GMD-1816-49.pdf#page=6","Abrir facsímil")</f>
        <v>Abrir facsímil</v>
      </c>
      <c r="K1715" s="3" t="s">
        <v>23</v>
      </c>
    </row>
    <row r="1716" spans="1:11" ht="42" customHeight="1">
      <c r="A1716" s="2" t="s">
        <v>4261</v>
      </c>
      <c r="B1716" s="2" t="s">
        <v>4261</v>
      </c>
      <c r="C1716" s="2" t="s">
        <v>67</v>
      </c>
      <c r="D1716" s="2" t="s">
        <v>18</v>
      </c>
      <c r="E1716" s="5">
        <v>-30394</v>
      </c>
      <c r="F1716" s="3" t="s">
        <v>589</v>
      </c>
      <c r="G1716" s="3" t="s">
        <v>58</v>
      </c>
      <c r="H1716" s="2" t="s">
        <v>21</v>
      </c>
      <c r="I1716" s="2" t="s">
        <v>4264</v>
      </c>
      <c r="J1716" s="3" t="str">
        <f>HYPERLINK("https://www.boe.es/gazeta/dias/1816/10/12/pdfs/GMD-1816-127.pdf#page=1","Abrir facsímil")</f>
        <v>Abrir facsímil</v>
      </c>
      <c r="K1716" s="3" t="s">
        <v>23</v>
      </c>
    </row>
    <row r="1717" spans="1:11" ht="42" customHeight="1">
      <c r="A1717" s="2" t="s">
        <v>4265</v>
      </c>
      <c r="B1717" s="2" t="s">
        <v>4266</v>
      </c>
      <c r="C1717" s="2" t="s">
        <v>111</v>
      </c>
      <c r="D1717" s="2" t="s">
        <v>112</v>
      </c>
      <c r="E1717" s="5">
        <v>-30636</v>
      </c>
      <c r="F1717" s="3" t="s">
        <v>82</v>
      </c>
      <c r="G1717" s="3" t="s">
        <v>72</v>
      </c>
      <c r="H1717" s="2" t="s">
        <v>29</v>
      </c>
      <c r="I1717" s="2" t="s">
        <v>4267</v>
      </c>
      <c r="J1717" s="3" t="str">
        <f>HYPERLINK("https://www.boe.es/gazeta/dias/1816/02/13/pdfs/GMD-1816-20.pdf#page=7","Abrir facsímil")</f>
        <v>Abrir facsímil</v>
      </c>
      <c r="K1717" s="3" t="s">
        <v>31</v>
      </c>
    </row>
    <row r="1718" spans="1:11" ht="42" customHeight="1">
      <c r="A1718" s="2" t="s">
        <v>4268</v>
      </c>
      <c r="B1718" s="2" t="s">
        <v>4269</v>
      </c>
      <c r="C1718" s="2" t="s">
        <v>26</v>
      </c>
      <c r="D1718" s="2" t="s">
        <v>18</v>
      </c>
      <c r="E1718" s="5">
        <v>-30391</v>
      </c>
      <c r="F1718" s="3" t="s">
        <v>482</v>
      </c>
      <c r="G1718" s="3" t="s">
        <v>72</v>
      </c>
      <c r="H1718" s="2" t="s">
        <v>21</v>
      </c>
      <c r="I1718" s="2" t="s">
        <v>4270</v>
      </c>
      <c r="J1718" s="3" t="str">
        <f>HYPERLINK("https://www.boe.es/gazeta/dias/1816/10/15/pdfs/GMD-1816-129.pdf#page=7","Abrir facsímil")</f>
        <v>Abrir facsímil</v>
      </c>
      <c r="K1718" s="3" t="s">
        <v>23</v>
      </c>
    </row>
    <row r="1719" spans="1:11" ht="42" customHeight="1">
      <c r="A1719" s="2" t="s">
        <v>4271</v>
      </c>
      <c r="B1719" s="2" t="s">
        <v>4272</v>
      </c>
      <c r="C1719" s="2" t="s">
        <v>26</v>
      </c>
      <c r="D1719" s="2" t="s">
        <v>18</v>
      </c>
      <c r="E1719" s="5">
        <v>-30548</v>
      </c>
      <c r="F1719" s="3" t="s">
        <v>472</v>
      </c>
      <c r="G1719" s="3" t="s">
        <v>47</v>
      </c>
      <c r="H1719" s="2" t="s">
        <v>21</v>
      </c>
      <c r="I1719" s="2" t="s">
        <v>4273</v>
      </c>
      <c r="J1719" s="3" t="str">
        <f>HYPERLINK("https://www.boe.es/gazeta/dias/1816/05/11/pdfs/GMD-1816-60.pdf#page=5","Abrir facsímil")</f>
        <v>Abrir facsímil</v>
      </c>
      <c r="K1719" s="3" t="s">
        <v>23</v>
      </c>
    </row>
    <row r="1720" spans="1:11" ht="42" customHeight="1">
      <c r="A1720" s="2" t="s">
        <v>4274</v>
      </c>
      <c r="B1720" s="2" t="s">
        <v>4275</v>
      </c>
      <c r="C1720" s="2" t="s">
        <v>34</v>
      </c>
      <c r="D1720" s="2" t="s">
        <v>35</v>
      </c>
      <c r="E1720" s="5">
        <v>-30599</v>
      </c>
      <c r="F1720" s="3" t="s">
        <v>552</v>
      </c>
      <c r="G1720" s="3" t="s">
        <v>47</v>
      </c>
      <c r="H1720" s="2" t="s">
        <v>21</v>
      </c>
      <c r="I1720" s="2" t="s">
        <v>4276</v>
      </c>
      <c r="J1720" s="3" t="str">
        <f>HYPERLINK("https://www.boe.es/gazeta/dias/1816/03/21/pdfs/GMD-1816-38.pdf#page=5","Abrir facsímil")</f>
        <v>Abrir facsímil</v>
      </c>
      <c r="K1720" s="3" t="s">
        <v>23</v>
      </c>
    </row>
    <row r="1721" spans="1:11" ht="42" customHeight="1">
      <c r="A1721" s="2" t="s">
        <v>4274</v>
      </c>
      <c r="B1721" s="2" t="s">
        <v>4275</v>
      </c>
      <c r="C1721" s="2" t="s">
        <v>41</v>
      </c>
      <c r="D1721" s="2" t="s">
        <v>18</v>
      </c>
      <c r="E1721" s="5">
        <v>-30494</v>
      </c>
      <c r="F1721" s="3" t="s">
        <v>174</v>
      </c>
      <c r="G1721" s="3" t="s">
        <v>175</v>
      </c>
      <c r="H1721" s="2" t="s">
        <v>21</v>
      </c>
      <c r="I1721" s="2" t="s">
        <v>4277</v>
      </c>
      <c r="J1721" s="3" t="str">
        <f>HYPERLINK("https://www.boe.es/gazeta/dias/1816/07/04/pdfs/GMD-1816-83.pdf#page=11","Abrir facsímil")</f>
        <v>Abrir facsímil</v>
      </c>
      <c r="K1721" s="3" t="s">
        <v>23</v>
      </c>
    </row>
    <row r="1722" spans="1:11" ht="42" customHeight="1">
      <c r="A1722" s="2" t="s">
        <v>4278</v>
      </c>
      <c r="B1722" s="2" t="s">
        <v>4279</v>
      </c>
      <c r="C1722" s="2" t="s">
        <v>111</v>
      </c>
      <c r="D1722" s="2" t="s">
        <v>112</v>
      </c>
      <c r="E1722" s="5">
        <v>-30601</v>
      </c>
      <c r="F1722" s="3" t="s">
        <v>308</v>
      </c>
      <c r="G1722" s="3" t="s">
        <v>42</v>
      </c>
      <c r="H1722" s="2" t="s">
        <v>21</v>
      </c>
      <c r="I1722" s="2" t="s">
        <v>4280</v>
      </c>
      <c r="J1722" s="3" t="str">
        <f>HYPERLINK("https://www.boe.es/gazeta/dias/1816/03/19/pdfs/GMD-1816-37.pdf#page=8","Abrir facsímil")</f>
        <v>Abrir facsímil</v>
      </c>
      <c r="K1722" s="3" t="s">
        <v>23</v>
      </c>
    </row>
    <row r="1723" spans="1:11" ht="42" customHeight="1">
      <c r="A1723" s="2" t="s">
        <v>4281</v>
      </c>
      <c r="B1723" s="2" t="s">
        <v>4282</v>
      </c>
      <c r="C1723" s="2" t="s">
        <v>111</v>
      </c>
      <c r="D1723" s="2" t="s">
        <v>112</v>
      </c>
      <c r="E1723" s="5">
        <v>-30517</v>
      </c>
      <c r="F1723" s="3" t="s">
        <v>557</v>
      </c>
      <c r="G1723" s="3" t="s">
        <v>42</v>
      </c>
      <c r="H1723" s="2" t="s">
        <v>29</v>
      </c>
      <c r="I1723" s="2" t="s">
        <v>4283</v>
      </c>
      <c r="J1723" s="3" t="str">
        <f>HYPERLINK("https://www.boe.es/gazeta/dias/1816/06/11/pdfs/GMD-1816-73.pdf#page=8","Abrir facsímil")</f>
        <v>Abrir facsímil</v>
      </c>
      <c r="K1723" s="3" t="s">
        <v>31</v>
      </c>
    </row>
    <row r="1724" spans="1:11" ht="42" customHeight="1">
      <c r="A1724" s="2" t="s">
        <v>4284</v>
      </c>
      <c r="B1724" s="2" t="s">
        <v>4285</v>
      </c>
      <c r="C1724" s="2" t="s">
        <v>67</v>
      </c>
      <c r="D1724" s="2" t="s">
        <v>18</v>
      </c>
      <c r="E1724" s="5">
        <v>-30401</v>
      </c>
      <c r="F1724" s="3" t="s">
        <v>652</v>
      </c>
      <c r="G1724" s="3" t="s">
        <v>42</v>
      </c>
      <c r="H1724" s="2" t="s">
        <v>21</v>
      </c>
      <c r="I1724" s="2" t="s">
        <v>4286</v>
      </c>
      <c r="J1724" s="3" t="str">
        <f>HYPERLINK("https://www.boe.es/gazeta/dias/1816/10/05/pdfs/GMD-1816-123.pdf#page=8","Abrir facsímil")</f>
        <v>Abrir facsímil</v>
      </c>
      <c r="K1724" s="3" t="s">
        <v>23</v>
      </c>
    </row>
    <row r="1725" spans="1:11" ht="42" customHeight="1">
      <c r="A1725" s="2" t="s">
        <v>4287</v>
      </c>
      <c r="B1725" s="2" t="s">
        <v>4288</v>
      </c>
      <c r="C1725" s="2" t="s">
        <v>111</v>
      </c>
      <c r="D1725" s="2" t="s">
        <v>112</v>
      </c>
      <c r="E1725" s="5">
        <v>-30557</v>
      </c>
      <c r="F1725" s="3" t="s">
        <v>508</v>
      </c>
      <c r="G1725" s="3" t="s">
        <v>42</v>
      </c>
      <c r="H1725" s="2" t="s">
        <v>21</v>
      </c>
      <c r="I1725" s="2" t="s">
        <v>4289</v>
      </c>
      <c r="J1725" s="3" t="str">
        <f>HYPERLINK("https://www.boe.es/gazeta/dias/1816/05/02/pdfs/GMD-1816-56.pdf#page=8","Abrir facsímil")</f>
        <v>Abrir facsímil</v>
      </c>
      <c r="K1725" s="3" t="s">
        <v>23</v>
      </c>
    </row>
    <row r="1726" spans="1:11" ht="42" customHeight="1">
      <c r="A1726" s="2" t="s">
        <v>4287</v>
      </c>
      <c r="B1726" s="2" t="s">
        <v>4288</v>
      </c>
      <c r="C1726" s="2" t="s">
        <v>81</v>
      </c>
      <c r="D1726" s="2" t="s">
        <v>18</v>
      </c>
      <c r="E1726" s="5">
        <v>-30536</v>
      </c>
      <c r="F1726" s="3" t="s">
        <v>580</v>
      </c>
      <c r="G1726" s="3" t="s">
        <v>42</v>
      </c>
      <c r="H1726" s="2" t="s">
        <v>21</v>
      </c>
      <c r="I1726" s="2" t="s">
        <v>4290</v>
      </c>
      <c r="J1726" s="3" t="str">
        <f>HYPERLINK("https://www.boe.es/gazeta/dias/1816/05/23/pdfs/GMD-1816-65.pdf#page=8","Abrir facsímil")</f>
        <v>Abrir facsímil</v>
      </c>
      <c r="K1726" s="3" t="s">
        <v>23</v>
      </c>
    </row>
    <row r="1727" spans="1:11" ht="42" customHeight="1">
      <c r="A1727" s="2" t="s">
        <v>4291</v>
      </c>
      <c r="B1727" s="2" t="s">
        <v>4292</v>
      </c>
      <c r="C1727" s="2" t="s">
        <v>34</v>
      </c>
      <c r="D1727" s="2" t="s">
        <v>35</v>
      </c>
      <c r="E1727" s="5">
        <v>-30662</v>
      </c>
      <c r="F1727" s="3" t="s">
        <v>485</v>
      </c>
      <c r="G1727" s="3" t="s">
        <v>72</v>
      </c>
      <c r="H1727" s="2" t="s">
        <v>21</v>
      </c>
      <c r="I1727" s="2" t="s">
        <v>4293</v>
      </c>
      <c r="J1727" s="3" t="str">
        <f>HYPERLINK("https://www.boe.es/gazeta/dias/1816/01/18/pdfs/GMD-1816-8.pdf#page=7","Abrir facsímil")</f>
        <v>Abrir facsímil</v>
      </c>
      <c r="K1727" s="3" t="s">
        <v>23</v>
      </c>
    </row>
    <row r="1728" spans="1:11" ht="42" customHeight="1">
      <c r="A1728" s="2" t="s">
        <v>4294</v>
      </c>
      <c r="B1728" s="2" t="s">
        <v>4295</v>
      </c>
      <c r="C1728" s="2" t="s">
        <v>67</v>
      </c>
      <c r="D1728" s="2" t="s">
        <v>18</v>
      </c>
      <c r="E1728" s="5">
        <v>-30361</v>
      </c>
      <c r="F1728" s="3" t="s">
        <v>1741</v>
      </c>
      <c r="G1728" s="3" t="s">
        <v>2889</v>
      </c>
      <c r="H1728" s="2" t="s">
        <v>21</v>
      </c>
      <c r="I1728" s="2" t="s">
        <v>4296</v>
      </c>
      <c r="J1728" s="3" t="str">
        <f>HYPERLINK("https://www.boe.es/gazeta/dias/1816/11/14/pdfs/GMD-1816-142.pdf#page=8","Abrir facsímil")</f>
        <v>Abrir facsímil</v>
      </c>
      <c r="K1728" s="3" t="s">
        <v>23</v>
      </c>
    </row>
    <row r="1729" spans="1:11" ht="42" customHeight="1">
      <c r="A1729" s="2" t="s">
        <v>4297</v>
      </c>
      <c r="B1729" s="2" t="s">
        <v>4298</v>
      </c>
      <c r="C1729" s="2" t="s">
        <v>41</v>
      </c>
      <c r="D1729" s="2" t="s">
        <v>18</v>
      </c>
      <c r="E1729" s="5">
        <v>-30559</v>
      </c>
      <c r="F1729" s="3" t="s">
        <v>165</v>
      </c>
      <c r="G1729" s="3" t="s">
        <v>28</v>
      </c>
      <c r="H1729" s="2" t="s">
        <v>21</v>
      </c>
      <c r="I1729" s="2" t="s">
        <v>4299</v>
      </c>
      <c r="J1729" s="3" t="str">
        <f>HYPERLINK("https://www.boe.es/gazeta/dias/1816/04/30/pdfs/GMD-1816-55.pdf#page=6","Abrir facsímil")</f>
        <v>Abrir facsímil</v>
      </c>
      <c r="K1729" s="3" t="s">
        <v>23</v>
      </c>
    </row>
    <row r="1730" spans="1:11" ht="42" customHeight="1">
      <c r="A1730" s="2" t="s">
        <v>4297</v>
      </c>
      <c r="B1730" s="2" t="s">
        <v>4298</v>
      </c>
      <c r="C1730" s="2" t="s">
        <v>34</v>
      </c>
      <c r="D1730" s="2" t="s">
        <v>35</v>
      </c>
      <c r="E1730" s="5">
        <v>-30382</v>
      </c>
      <c r="F1730" s="3" t="s">
        <v>326</v>
      </c>
      <c r="G1730" s="3" t="s">
        <v>28</v>
      </c>
      <c r="H1730" s="2" t="s">
        <v>21</v>
      </c>
      <c r="I1730" s="2" t="s">
        <v>4300</v>
      </c>
      <c r="J1730" s="3" t="str">
        <f>HYPERLINK("https://www.boe.es/gazeta/dias/1816/10/24/pdfs/GMD-1816-133.pdf#page=6","Abrir facsímil")</f>
        <v>Abrir facsímil</v>
      </c>
      <c r="K1730" s="3" t="s">
        <v>23</v>
      </c>
    </row>
    <row r="1731" spans="1:11" ht="42" customHeight="1">
      <c r="A1731" s="2" t="s">
        <v>4301</v>
      </c>
      <c r="B1731" s="2" t="s">
        <v>4302</v>
      </c>
      <c r="C1731" s="2" t="s">
        <v>26</v>
      </c>
      <c r="D1731" s="2" t="s">
        <v>18</v>
      </c>
      <c r="E1731" s="5">
        <v>-30655</v>
      </c>
      <c r="F1731" s="3" t="s">
        <v>170</v>
      </c>
      <c r="G1731" s="3" t="s">
        <v>72</v>
      </c>
      <c r="H1731" s="2" t="s">
        <v>21</v>
      </c>
      <c r="I1731" s="2" t="s">
        <v>4303</v>
      </c>
      <c r="J1731" s="3" t="str">
        <f>HYPERLINK("https://www.boe.es/gazeta/dias/1816/01/25/pdfs/GMD-1816-11.pdf#page=7","Abrir facsímil")</f>
        <v>Abrir facsímil</v>
      </c>
      <c r="K1731" s="3" t="s">
        <v>23</v>
      </c>
    </row>
    <row r="1732" spans="1:11" ht="42" customHeight="1">
      <c r="A1732" s="2" t="s">
        <v>4301</v>
      </c>
      <c r="B1732" s="2" t="s">
        <v>4302</v>
      </c>
      <c r="C1732" s="2" t="s">
        <v>111</v>
      </c>
      <c r="D1732" s="2" t="s">
        <v>112</v>
      </c>
      <c r="E1732" s="5">
        <v>-30380</v>
      </c>
      <c r="F1732" s="3" t="s">
        <v>819</v>
      </c>
      <c r="G1732" s="3" t="s">
        <v>47</v>
      </c>
      <c r="H1732" s="2" t="s">
        <v>21</v>
      </c>
      <c r="I1732" s="2" t="s">
        <v>4304</v>
      </c>
      <c r="J1732" s="3" t="str">
        <f>HYPERLINK("https://www.boe.es/gazeta/dias/1816/10/26/pdfs/GMD-1816-134.pdf#page=5","Abrir facsímil")</f>
        <v>Abrir facsímil</v>
      </c>
      <c r="K1732" s="3" t="s">
        <v>23</v>
      </c>
    </row>
    <row r="1733" spans="1:11" ht="42" customHeight="1">
      <c r="A1733" s="2" t="s">
        <v>4301</v>
      </c>
      <c r="B1733" s="2" t="s">
        <v>4302</v>
      </c>
      <c r="C1733" s="2" t="s">
        <v>26</v>
      </c>
      <c r="D1733" s="2" t="s">
        <v>18</v>
      </c>
      <c r="E1733" s="5">
        <v>-30366</v>
      </c>
      <c r="F1733" s="3" t="s">
        <v>179</v>
      </c>
      <c r="G1733" s="3" t="s">
        <v>47</v>
      </c>
      <c r="H1733" s="2" t="s">
        <v>21</v>
      </c>
      <c r="I1733" s="2" t="s">
        <v>4305</v>
      </c>
      <c r="J1733" s="3" t="str">
        <f>HYPERLINK("https://www.boe.es/gazeta/dias/1816/11/09/pdfs/GMD-1816-140.pdf#page=5","Abrir facsímil")</f>
        <v>Abrir facsímil</v>
      </c>
      <c r="K1733" s="3" t="s">
        <v>23</v>
      </c>
    </row>
    <row r="1734" spans="1:11" ht="42" customHeight="1">
      <c r="A1734" s="2" t="s">
        <v>4306</v>
      </c>
      <c r="B1734" s="2" t="s">
        <v>4307</v>
      </c>
      <c r="C1734" s="2" t="s">
        <v>41</v>
      </c>
      <c r="D1734" s="2" t="s">
        <v>18</v>
      </c>
      <c r="E1734" s="5">
        <v>-30590</v>
      </c>
      <c r="F1734" s="3" t="s">
        <v>195</v>
      </c>
      <c r="G1734" s="3" t="s">
        <v>28</v>
      </c>
      <c r="H1734" s="2" t="s">
        <v>21</v>
      </c>
      <c r="I1734" s="2" t="s">
        <v>4308</v>
      </c>
      <c r="J1734" s="3" t="str">
        <f>HYPERLINK("https://www.boe.es/gazeta/dias/1816/03/30/pdfs/GMD-1816-42.pdf#page=6","Abrir facsímil")</f>
        <v>Abrir facsímil</v>
      </c>
      <c r="K1734" s="3" t="s">
        <v>23</v>
      </c>
    </row>
    <row r="1735" spans="1:11" ht="42" customHeight="1">
      <c r="A1735" s="2" t="s">
        <v>4309</v>
      </c>
      <c r="B1735" s="2" t="s">
        <v>4310</v>
      </c>
      <c r="C1735" s="2" t="s">
        <v>111</v>
      </c>
      <c r="D1735" s="2" t="s">
        <v>112</v>
      </c>
      <c r="E1735" s="5">
        <v>-30331</v>
      </c>
      <c r="F1735" s="3" t="s">
        <v>315</v>
      </c>
      <c r="G1735" s="3" t="s">
        <v>47</v>
      </c>
      <c r="H1735" s="2" t="s">
        <v>21</v>
      </c>
      <c r="I1735" s="2" t="s">
        <v>4311</v>
      </c>
      <c r="J1735" s="3" t="str">
        <f>HYPERLINK("https://www.boe.es/gazeta/dias/1816/12/14/pdfs/GMD-1816-155.pdf#page=5","Abrir facsímil")</f>
        <v>Abrir facsímil</v>
      </c>
      <c r="K1735" s="3" t="s">
        <v>23</v>
      </c>
    </row>
    <row r="1736" spans="1:11" ht="42" customHeight="1">
      <c r="A1736" s="2" t="s">
        <v>4312</v>
      </c>
      <c r="B1736" s="2" t="s">
        <v>4313</v>
      </c>
      <c r="C1736" s="2" t="s">
        <v>81</v>
      </c>
      <c r="D1736" s="2" t="s">
        <v>18</v>
      </c>
      <c r="E1736" s="5">
        <v>-30492</v>
      </c>
      <c r="F1736" s="3" t="s">
        <v>248</v>
      </c>
      <c r="G1736" s="3" t="s">
        <v>443</v>
      </c>
      <c r="H1736" s="2" t="s">
        <v>21</v>
      </c>
      <c r="I1736" s="2" t="s">
        <v>4314</v>
      </c>
      <c r="J1736" s="3" t="str">
        <f>HYPERLINK("https://www.boe.es/gazeta/dias/1816/07/06/pdfs/GMD-1816-84.pdf#page=12","Abrir facsímil")</f>
        <v>Abrir facsímil</v>
      </c>
      <c r="K1736" s="3" t="s">
        <v>23</v>
      </c>
    </row>
    <row r="1737" spans="1:11" ht="42" customHeight="1">
      <c r="A1737" s="2" t="s">
        <v>4315</v>
      </c>
      <c r="B1737" s="2" t="s">
        <v>4315</v>
      </c>
      <c r="C1737" s="2" t="s">
        <v>26</v>
      </c>
      <c r="D1737" s="2" t="s">
        <v>18</v>
      </c>
      <c r="E1737" s="5">
        <v>-30660</v>
      </c>
      <c r="F1737" s="3" t="s">
        <v>809</v>
      </c>
      <c r="G1737" s="3" t="s">
        <v>72</v>
      </c>
      <c r="H1737" s="2" t="s">
        <v>21</v>
      </c>
      <c r="I1737" s="2" t="s">
        <v>4316</v>
      </c>
      <c r="J1737" s="3" t="str">
        <f>HYPERLINK("https://www.boe.es/gazeta/dias/1816/01/20/pdfs/GMD-1816-9.pdf#page=7","Abrir facsímil")</f>
        <v>Abrir facsímil</v>
      </c>
      <c r="K1737" s="3" t="s">
        <v>23</v>
      </c>
    </row>
    <row r="1738" spans="1:11" ht="42" customHeight="1">
      <c r="A1738" s="2" t="s">
        <v>4315</v>
      </c>
      <c r="B1738" s="2" t="s">
        <v>4315</v>
      </c>
      <c r="C1738" s="2" t="s">
        <v>67</v>
      </c>
      <c r="D1738" s="2" t="s">
        <v>18</v>
      </c>
      <c r="E1738" s="5">
        <v>-30648</v>
      </c>
      <c r="F1738" s="3" t="s">
        <v>872</v>
      </c>
      <c r="G1738" s="3" t="s">
        <v>42</v>
      </c>
      <c r="H1738" s="2" t="s">
        <v>21</v>
      </c>
      <c r="I1738" s="2" t="s">
        <v>4317</v>
      </c>
      <c r="J1738" s="3" t="str">
        <f>HYPERLINK("https://www.boe.es/gazeta/dias/1816/02/01/pdfs/GMD-1816-15.pdf#page=8","Abrir facsímil")</f>
        <v>Abrir facsímil</v>
      </c>
      <c r="K1738" s="3" t="s">
        <v>23</v>
      </c>
    </row>
    <row r="1739" spans="1:11" ht="42" customHeight="1">
      <c r="A1739" s="2" t="s">
        <v>4315</v>
      </c>
      <c r="B1739" s="2" t="s">
        <v>4315</v>
      </c>
      <c r="C1739" s="2" t="s">
        <v>26</v>
      </c>
      <c r="D1739" s="2" t="s">
        <v>18</v>
      </c>
      <c r="E1739" s="5">
        <v>-30634</v>
      </c>
      <c r="F1739" s="3" t="s">
        <v>1104</v>
      </c>
      <c r="G1739" s="3" t="s">
        <v>47</v>
      </c>
      <c r="H1739" s="2" t="s">
        <v>21</v>
      </c>
      <c r="I1739" s="2" t="s">
        <v>4318</v>
      </c>
      <c r="J1739" s="3" t="str">
        <f>HYPERLINK("https://www.boe.es/gazeta/dias/1816/02/15/pdfs/GMD-1816-21.pdf#page=5","Abrir facsímil")</f>
        <v>Abrir facsímil</v>
      </c>
      <c r="K1739" s="3" t="s">
        <v>23</v>
      </c>
    </row>
    <row r="1740" spans="1:11" ht="42" customHeight="1">
      <c r="A1740" s="2" t="s">
        <v>4315</v>
      </c>
      <c r="B1740" s="2" t="s">
        <v>4315</v>
      </c>
      <c r="C1740" s="2" t="s">
        <v>34</v>
      </c>
      <c r="D1740" s="2" t="s">
        <v>35</v>
      </c>
      <c r="E1740" s="5">
        <v>-30632</v>
      </c>
      <c r="F1740" s="3" t="s">
        <v>89</v>
      </c>
      <c r="G1740" s="3" t="s">
        <v>42</v>
      </c>
      <c r="H1740" s="2" t="s">
        <v>21</v>
      </c>
      <c r="I1740" s="2" t="s">
        <v>4319</v>
      </c>
      <c r="J1740" s="3" t="str">
        <f>HYPERLINK("https://www.boe.es/gazeta/dias/1816/02/17/pdfs/GMD-1816-22.pdf#page=8","Abrir facsímil")</f>
        <v>Abrir facsímil</v>
      </c>
      <c r="K1740" s="3" t="s">
        <v>23</v>
      </c>
    </row>
    <row r="1741" spans="1:11" ht="42" customHeight="1">
      <c r="A1741" s="2" t="s">
        <v>4315</v>
      </c>
      <c r="B1741" s="2" t="s">
        <v>4315</v>
      </c>
      <c r="C1741" s="2" t="s">
        <v>34</v>
      </c>
      <c r="D1741" s="2" t="s">
        <v>35</v>
      </c>
      <c r="E1741" s="5">
        <v>-30625</v>
      </c>
      <c r="F1741" s="3" t="s">
        <v>631</v>
      </c>
      <c r="G1741" s="3" t="s">
        <v>42</v>
      </c>
      <c r="H1741" s="2" t="s">
        <v>21</v>
      </c>
      <c r="I1741" s="2" t="s">
        <v>4320</v>
      </c>
      <c r="J1741" s="3" t="str">
        <f>HYPERLINK("https://www.boe.es/gazeta/dias/1816/02/24/pdfs/GMD-1816-25.pdf#page=8","Abrir facsímil")</f>
        <v>Abrir facsímil</v>
      </c>
      <c r="K1741" s="3" t="s">
        <v>23</v>
      </c>
    </row>
    <row r="1742" spans="1:11" ht="42" customHeight="1">
      <c r="A1742" s="2" t="s">
        <v>4315</v>
      </c>
      <c r="B1742" s="2" t="s">
        <v>4315</v>
      </c>
      <c r="C1742" s="2" t="s">
        <v>26</v>
      </c>
      <c r="D1742" s="2" t="s">
        <v>56</v>
      </c>
      <c r="E1742" s="5">
        <v>-30622</v>
      </c>
      <c r="F1742" s="3" t="s">
        <v>907</v>
      </c>
      <c r="G1742" s="3" t="s">
        <v>58</v>
      </c>
      <c r="H1742" s="2" t="s">
        <v>21</v>
      </c>
      <c r="I1742" s="2" t="s">
        <v>4321</v>
      </c>
      <c r="J1742" s="3" t="str">
        <f>HYPERLINK("https://www.boe.es/gazeta/dias/1816/02/27/pdfs/GMD-1816-27E.pdf#page=1","Abrir facsímil")</f>
        <v>Abrir facsímil</v>
      </c>
      <c r="K1742" s="3" t="s">
        <v>23</v>
      </c>
    </row>
    <row r="1743" spans="1:11" ht="42" customHeight="1">
      <c r="A1743" s="2" t="s">
        <v>4315</v>
      </c>
      <c r="B1743" s="2" t="s">
        <v>4315</v>
      </c>
      <c r="C1743" s="2" t="s">
        <v>26</v>
      </c>
      <c r="D1743" s="2" t="s">
        <v>18</v>
      </c>
      <c r="E1743" s="5">
        <v>-30620</v>
      </c>
      <c r="F1743" s="3" t="s">
        <v>622</v>
      </c>
      <c r="G1743" s="3" t="s">
        <v>930</v>
      </c>
      <c r="H1743" s="2" t="s">
        <v>21</v>
      </c>
      <c r="I1743" s="2" t="s">
        <v>4322</v>
      </c>
      <c r="J1743" s="3" t="str">
        <f>HYPERLINK("https://www.boe.es/gazeta/dias/1816/02/29/pdfs/GMD-1816-28.pdf#page=8","Abrir facsímil")</f>
        <v>Abrir facsímil</v>
      </c>
      <c r="K1743" s="3" t="s">
        <v>23</v>
      </c>
    </row>
    <row r="1744" spans="1:11" ht="42" customHeight="1">
      <c r="A1744" s="2" t="s">
        <v>4315</v>
      </c>
      <c r="B1744" s="2" t="s">
        <v>4315</v>
      </c>
      <c r="C1744" s="2" t="s">
        <v>111</v>
      </c>
      <c r="D1744" s="2" t="s">
        <v>112</v>
      </c>
      <c r="E1744" s="5">
        <v>-30606</v>
      </c>
      <c r="F1744" s="3" t="s">
        <v>761</v>
      </c>
      <c r="G1744" s="3" t="s">
        <v>42</v>
      </c>
      <c r="H1744" s="2" t="s">
        <v>21</v>
      </c>
      <c r="I1744" s="2" t="s">
        <v>4323</v>
      </c>
      <c r="J1744" s="3" t="str">
        <f>HYPERLINK("https://www.boe.es/gazeta/dias/1816/03/14/pdfs/GMD-1816-34.pdf#page=8","Abrir facsímil")</f>
        <v>Abrir facsímil</v>
      </c>
      <c r="K1744" s="3" t="s">
        <v>23</v>
      </c>
    </row>
    <row r="1745" spans="1:11" ht="42" customHeight="1">
      <c r="A1745" s="2" t="s">
        <v>4315</v>
      </c>
      <c r="B1745" s="2" t="s">
        <v>4315</v>
      </c>
      <c r="C1745" s="2" t="s">
        <v>34</v>
      </c>
      <c r="D1745" s="2" t="s">
        <v>35</v>
      </c>
      <c r="E1745" s="5">
        <v>-30597</v>
      </c>
      <c r="F1745" s="3" t="s">
        <v>696</v>
      </c>
      <c r="G1745" s="3" t="s">
        <v>47</v>
      </c>
      <c r="H1745" s="2" t="s">
        <v>21</v>
      </c>
      <c r="I1745" s="2" t="s">
        <v>4324</v>
      </c>
      <c r="J1745" s="3" t="str">
        <f>HYPERLINK("https://www.boe.es/gazeta/dias/1816/03/23/pdfs/GMD-1816-39.pdf#page=5","Abrir facsímil")</f>
        <v>Abrir facsímil</v>
      </c>
      <c r="K1745" s="3" t="s">
        <v>23</v>
      </c>
    </row>
    <row r="1746" spans="1:11" ht="42" customHeight="1">
      <c r="A1746" s="2" t="s">
        <v>4315</v>
      </c>
      <c r="B1746" s="2" t="s">
        <v>4315</v>
      </c>
      <c r="C1746" s="2" t="s">
        <v>26</v>
      </c>
      <c r="D1746" s="2" t="s">
        <v>18</v>
      </c>
      <c r="E1746" s="5">
        <v>-30590</v>
      </c>
      <c r="F1746" s="3" t="s">
        <v>195</v>
      </c>
      <c r="G1746" s="3" t="s">
        <v>47</v>
      </c>
      <c r="H1746" s="2" t="s">
        <v>21</v>
      </c>
      <c r="I1746" s="2" t="s">
        <v>4325</v>
      </c>
      <c r="J1746" s="3" t="str">
        <f>HYPERLINK("https://www.boe.es/gazeta/dias/1816/03/30/pdfs/GMD-1816-42.pdf#page=5","Abrir facsímil")</f>
        <v>Abrir facsímil</v>
      </c>
      <c r="K1746" s="3" t="s">
        <v>23</v>
      </c>
    </row>
    <row r="1747" spans="1:11" ht="42" customHeight="1">
      <c r="A1747" s="2" t="s">
        <v>4315</v>
      </c>
      <c r="B1747" s="2" t="s">
        <v>4315</v>
      </c>
      <c r="C1747" s="2" t="s">
        <v>26</v>
      </c>
      <c r="D1747" s="2" t="s">
        <v>18</v>
      </c>
      <c r="E1747" s="5">
        <v>-30573</v>
      </c>
      <c r="F1747" s="3" t="s">
        <v>840</v>
      </c>
      <c r="G1747" s="3" t="s">
        <v>47</v>
      </c>
      <c r="H1747" s="2" t="s">
        <v>21</v>
      </c>
      <c r="I1747" s="2" t="s">
        <v>4326</v>
      </c>
      <c r="J1747" s="3" t="str">
        <f>HYPERLINK("https://www.boe.es/gazeta/dias/1816/04/16/pdfs/GMD-1816-49.pdf#page=5","Abrir facsímil")</f>
        <v>Abrir facsímil</v>
      </c>
      <c r="K1747" s="3" t="s">
        <v>23</v>
      </c>
    </row>
    <row r="1748" spans="1:11" ht="42" customHeight="1">
      <c r="A1748" s="2" t="s">
        <v>4315</v>
      </c>
      <c r="B1748" s="2" t="s">
        <v>4315</v>
      </c>
      <c r="C1748" s="2" t="s">
        <v>26</v>
      </c>
      <c r="D1748" s="2" t="s">
        <v>18</v>
      </c>
      <c r="E1748" s="5">
        <v>-30571</v>
      </c>
      <c r="F1748" s="3" t="s">
        <v>738</v>
      </c>
      <c r="G1748" s="3" t="s">
        <v>42</v>
      </c>
      <c r="H1748" s="2" t="s">
        <v>21</v>
      </c>
      <c r="I1748" s="2" t="s">
        <v>4327</v>
      </c>
      <c r="J1748" s="3" t="str">
        <f>HYPERLINK("https://www.boe.es/gazeta/dias/1816/04/18/pdfs/GMD-1816-50.pdf#page=8","Abrir facsímil")</f>
        <v>Abrir facsímil</v>
      </c>
      <c r="K1748" s="3" t="s">
        <v>23</v>
      </c>
    </row>
    <row r="1749" spans="1:11" ht="42" customHeight="1">
      <c r="A1749" s="2" t="s">
        <v>4315</v>
      </c>
      <c r="B1749" s="2" t="s">
        <v>4315</v>
      </c>
      <c r="C1749" s="2" t="s">
        <v>26</v>
      </c>
      <c r="D1749" s="2" t="s">
        <v>18</v>
      </c>
      <c r="E1749" s="5">
        <v>-30566</v>
      </c>
      <c r="F1749" s="3" t="s">
        <v>113</v>
      </c>
      <c r="G1749" s="3" t="s">
        <v>103</v>
      </c>
      <c r="H1749" s="2" t="s">
        <v>21</v>
      </c>
      <c r="I1749" s="2" t="s">
        <v>4328</v>
      </c>
      <c r="J1749" s="3" t="str">
        <f>HYPERLINK("https://www.boe.es/gazeta/dias/1816/04/23/pdfs/GMD-1816-52.pdf#page=4","Abrir facsímil")</f>
        <v>Abrir facsímil</v>
      </c>
      <c r="K1749" s="3" t="s">
        <v>23</v>
      </c>
    </row>
    <row r="1750" spans="1:11" ht="42" customHeight="1">
      <c r="A1750" s="2" t="s">
        <v>4315</v>
      </c>
      <c r="B1750" s="2" t="s">
        <v>4315</v>
      </c>
      <c r="C1750" s="2" t="s">
        <v>26</v>
      </c>
      <c r="D1750" s="2" t="s">
        <v>18</v>
      </c>
      <c r="E1750" s="5">
        <v>-30562</v>
      </c>
      <c r="F1750" s="3" t="s">
        <v>1664</v>
      </c>
      <c r="G1750" s="3" t="s">
        <v>28</v>
      </c>
      <c r="H1750" s="2" t="s">
        <v>21</v>
      </c>
      <c r="I1750" s="2" t="s">
        <v>4329</v>
      </c>
      <c r="J1750" s="3" t="str">
        <f>HYPERLINK("https://www.boe.es/gazeta/dias/1816/04/27/pdfs/GMD-1816-54.pdf#page=6","Abrir facsímil")</f>
        <v>Abrir facsímil</v>
      </c>
      <c r="K1750" s="3" t="s">
        <v>23</v>
      </c>
    </row>
    <row r="1751" spans="1:11" ht="42" customHeight="1">
      <c r="A1751" s="2" t="s">
        <v>4315</v>
      </c>
      <c r="B1751" s="2" t="s">
        <v>4315</v>
      </c>
      <c r="C1751" s="2" t="s">
        <v>26</v>
      </c>
      <c r="D1751" s="2" t="s">
        <v>18</v>
      </c>
      <c r="E1751" s="5">
        <v>-30557</v>
      </c>
      <c r="F1751" s="3" t="s">
        <v>508</v>
      </c>
      <c r="G1751" s="3" t="s">
        <v>103</v>
      </c>
      <c r="H1751" s="2" t="s">
        <v>21</v>
      </c>
      <c r="I1751" s="2" t="s">
        <v>4330</v>
      </c>
      <c r="J1751" s="3" t="str">
        <f>HYPERLINK("https://www.boe.es/gazeta/dias/1816/05/02/pdfs/GMD-1816-56.pdf#page=4","Abrir facsímil")</f>
        <v>Abrir facsímil</v>
      </c>
      <c r="K1751" s="3" t="s">
        <v>23</v>
      </c>
    </row>
    <row r="1752" spans="1:11" ht="42" customHeight="1">
      <c r="A1752" s="2" t="s">
        <v>4315</v>
      </c>
      <c r="B1752" s="2" t="s">
        <v>4315</v>
      </c>
      <c r="C1752" s="2" t="s">
        <v>111</v>
      </c>
      <c r="D1752" s="2" t="s">
        <v>112</v>
      </c>
      <c r="E1752" s="5">
        <v>-30557</v>
      </c>
      <c r="F1752" s="3" t="s">
        <v>508</v>
      </c>
      <c r="G1752" s="3" t="s">
        <v>42</v>
      </c>
      <c r="H1752" s="2" t="s">
        <v>21</v>
      </c>
      <c r="I1752" s="2" t="s">
        <v>4331</v>
      </c>
      <c r="J1752" s="3" t="str">
        <f>HYPERLINK("https://www.boe.es/gazeta/dias/1816/05/02/pdfs/GMD-1816-56.pdf#page=8","Abrir facsímil")</f>
        <v>Abrir facsímil</v>
      </c>
      <c r="K1752" s="3" t="s">
        <v>23</v>
      </c>
    </row>
    <row r="1753" spans="1:11" ht="42" customHeight="1">
      <c r="A1753" s="2" t="s">
        <v>4315</v>
      </c>
      <c r="B1753" s="2" t="s">
        <v>4315</v>
      </c>
      <c r="C1753" s="2" t="s">
        <v>111</v>
      </c>
      <c r="D1753" s="2" t="s">
        <v>112</v>
      </c>
      <c r="E1753" s="5">
        <v>-30524</v>
      </c>
      <c r="F1753" s="3" t="s">
        <v>98</v>
      </c>
      <c r="G1753" s="3" t="s">
        <v>103</v>
      </c>
      <c r="H1753" s="2" t="s">
        <v>21</v>
      </c>
      <c r="I1753" s="2" t="s">
        <v>4332</v>
      </c>
      <c r="J1753" s="3" t="str">
        <f>HYPERLINK("https://www.boe.es/gazeta/dias/1816/06/04/pdfs/GMD-1816-70.pdf#page=4","Abrir facsímil")</f>
        <v>Abrir facsímil</v>
      </c>
      <c r="K1753" s="3" t="s">
        <v>23</v>
      </c>
    </row>
    <row r="1754" spans="1:11" ht="42" customHeight="1">
      <c r="A1754" s="2" t="s">
        <v>4315</v>
      </c>
      <c r="B1754" s="2" t="s">
        <v>4315</v>
      </c>
      <c r="C1754" s="2" t="s">
        <v>41</v>
      </c>
      <c r="D1754" s="2" t="s">
        <v>18</v>
      </c>
      <c r="E1754" s="5">
        <v>-30515</v>
      </c>
      <c r="F1754" s="3" t="s">
        <v>2452</v>
      </c>
      <c r="G1754" s="3" t="s">
        <v>4333</v>
      </c>
      <c r="H1754" s="2" t="s">
        <v>21</v>
      </c>
      <c r="I1754" s="2" t="s">
        <v>4334</v>
      </c>
      <c r="J1754" s="3" t="str">
        <f>HYPERLINK("https://www.boe.es/gazeta/dias/1816/06/13/pdfs/GMD-1816-74.pdf#page=4","Abrir facsímil")</f>
        <v>Abrir facsímil</v>
      </c>
      <c r="K1754" s="3" t="s">
        <v>23</v>
      </c>
    </row>
    <row r="1755" spans="1:11" ht="42" customHeight="1">
      <c r="A1755" s="2" t="s">
        <v>4315</v>
      </c>
      <c r="B1755" s="2" t="s">
        <v>4315</v>
      </c>
      <c r="C1755" s="2" t="s">
        <v>34</v>
      </c>
      <c r="D1755" s="2" t="s">
        <v>35</v>
      </c>
      <c r="E1755" s="5">
        <v>-30508</v>
      </c>
      <c r="F1755" s="3" t="s">
        <v>36</v>
      </c>
      <c r="G1755" s="3" t="s">
        <v>1054</v>
      </c>
      <c r="H1755" s="2" t="s">
        <v>21</v>
      </c>
      <c r="I1755" s="2" t="s">
        <v>4335</v>
      </c>
      <c r="J1755" s="3" t="str">
        <f>HYPERLINK("https://www.boe.es/gazeta/dias/1816/06/20/pdfs/GMD-1816-77.pdf#page=4","Abrir facsímil")</f>
        <v>Abrir facsímil</v>
      </c>
      <c r="K1755" s="3" t="s">
        <v>23</v>
      </c>
    </row>
    <row r="1756" spans="1:11" ht="42" customHeight="1">
      <c r="A1756" s="2" t="s">
        <v>4315</v>
      </c>
      <c r="B1756" s="2" t="s">
        <v>4315</v>
      </c>
      <c r="C1756" s="2" t="s">
        <v>81</v>
      </c>
      <c r="D1756" s="2" t="s">
        <v>18</v>
      </c>
      <c r="E1756" s="5">
        <v>-30508</v>
      </c>
      <c r="F1756" s="3" t="s">
        <v>36</v>
      </c>
      <c r="G1756" s="3" t="s">
        <v>47</v>
      </c>
      <c r="H1756" s="2" t="s">
        <v>21</v>
      </c>
      <c r="I1756" s="2" t="s">
        <v>4336</v>
      </c>
      <c r="J1756" s="3" t="str">
        <f>HYPERLINK("https://www.boe.es/gazeta/dias/1816/06/20/pdfs/GMD-1816-77.pdf#page=5","Abrir facsímil")</f>
        <v>Abrir facsímil</v>
      </c>
      <c r="K1756" s="3" t="s">
        <v>23</v>
      </c>
    </row>
    <row r="1757" spans="1:11" ht="42" customHeight="1">
      <c r="A1757" s="2" t="s">
        <v>4315</v>
      </c>
      <c r="B1757" s="2" t="s">
        <v>4315</v>
      </c>
      <c r="C1757" s="2" t="s">
        <v>26</v>
      </c>
      <c r="D1757" s="2" t="s">
        <v>18</v>
      </c>
      <c r="E1757" s="5">
        <v>-30494</v>
      </c>
      <c r="F1757" s="3" t="s">
        <v>174</v>
      </c>
      <c r="G1757" s="3" t="s">
        <v>72</v>
      </c>
      <c r="H1757" s="2" t="s">
        <v>21</v>
      </c>
      <c r="I1757" s="2" t="s">
        <v>4337</v>
      </c>
      <c r="J1757" s="3" t="str">
        <f>HYPERLINK("https://www.boe.es/gazeta/dias/1816/07/04/pdfs/GMD-1816-83.pdf#page=7","Abrir facsímil")</f>
        <v>Abrir facsímil</v>
      </c>
      <c r="K1757" s="3" t="s">
        <v>23</v>
      </c>
    </row>
    <row r="1758" spans="1:11" ht="42" customHeight="1">
      <c r="A1758" s="2" t="s">
        <v>4315</v>
      </c>
      <c r="B1758" s="2" t="s">
        <v>4315</v>
      </c>
      <c r="C1758" s="2" t="s">
        <v>111</v>
      </c>
      <c r="D1758" s="2" t="s">
        <v>112</v>
      </c>
      <c r="E1758" s="5">
        <v>-30487</v>
      </c>
      <c r="F1758" s="3" t="s">
        <v>397</v>
      </c>
      <c r="G1758" s="3" t="s">
        <v>42</v>
      </c>
      <c r="H1758" s="2" t="s">
        <v>21</v>
      </c>
      <c r="I1758" s="2" t="s">
        <v>4338</v>
      </c>
      <c r="J1758" s="3" t="str">
        <f>HYPERLINK("https://www.boe.es/gazeta/dias/1816/07/11/pdfs/GMD-1816-86.pdf#page=8","Abrir facsímil")</f>
        <v>Abrir facsímil</v>
      </c>
      <c r="K1758" s="3" t="s">
        <v>23</v>
      </c>
    </row>
    <row r="1759" spans="1:11" ht="42" customHeight="1">
      <c r="A1759" s="2" t="s">
        <v>4315</v>
      </c>
      <c r="B1759" s="2" t="s">
        <v>4315</v>
      </c>
      <c r="C1759" s="2" t="s">
        <v>26</v>
      </c>
      <c r="D1759" s="2" t="s">
        <v>18</v>
      </c>
      <c r="E1759" s="5">
        <v>-30485</v>
      </c>
      <c r="F1759" s="3" t="s">
        <v>156</v>
      </c>
      <c r="G1759" s="3" t="s">
        <v>157</v>
      </c>
      <c r="H1759" s="2" t="s">
        <v>21</v>
      </c>
      <c r="I1759" s="2" t="s">
        <v>4339</v>
      </c>
      <c r="J1759" s="3" t="str">
        <f>HYPERLINK("https://www.boe.es/gazeta/dias/1816/07/13/pdfs/GMD-1816-87.pdf#page=5","Abrir facsímil")</f>
        <v>Abrir facsímil</v>
      </c>
      <c r="K1759" s="3" t="s">
        <v>23</v>
      </c>
    </row>
    <row r="1760" spans="1:11" ht="42" customHeight="1">
      <c r="A1760" s="2" t="s">
        <v>4315</v>
      </c>
      <c r="B1760" s="2" t="s">
        <v>4315</v>
      </c>
      <c r="C1760" s="2" t="s">
        <v>111</v>
      </c>
      <c r="D1760" s="2" t="s">
        <v>112</v>
      </c>
      <c r="E1760" s="5">
        <v>-30485</v>
      </c>
      <c r="F1760" s="3" t="s">
        <v>156</v>
      </c>
      <c r="G1760" s="3" t="s">
        <v>28</v>
      </c>
      <c r="H1760" s="2" t="s">
        <v>21</v>
      </c>
      <c r="I1760" s="2" t="s">
        <v>4340</v>
      </c>
      <c r="J1760" s="3" t="str">
        <f>HYPERLINK("https://www.boe.es/gazeta/dias/1816/07/13/pdfs/GMD-1816-87.pdf#page=6","Abrir facsímil")</f>
        <v>Abrir facsímil</v>
      </c>
      <c r="K1760" s="3" t="s">
        <v>23</v>
      </c>
    </row>
    <row r="1761" spans="1:11" ht="42" customHeight="1">
      <c r="A1761" s="2" t="s">
        <v>4315</v>
      </c>
      <c r="B1761" s="2" t="s">
        <v>4315</v>
      </c>
      <c r="C1761" s="2" t="s">
        <v>67</v>
      </c>
      <c r="D1761" s="2" t="s">
        <v>18</v>
      </c>
      <c r="E1761" s="5">
        <v>-30482</v>
      </c>
      <c r="F1761" s="3" t="s">
        <v>370</v>
      </c>
      <c r="G1761" s="3" t="s">
        <v>180</v>
      </c>
      <c r="H1761" s="2" t="s">
        <v>21</v>
      </c>
      <c r="I1761" s="2" t="s">
        <v>4341</v>
      </c>
      <c r="J1761" s="3" t="str">
        <f>HYPERLINK("https://www.boe.es/gazeta/dias/1816/07/16/pdfs/GMD-1816-88.pdf#page=10","Abrir facsímil")</f>
        <v>Abrir facsímil</v>
      </c>
      <c r="K1761" s="3" t="s">
        <v>23</v>
      </c>
    </row>
    <row r="1762" spans="1:11" ht="42" customHeight="1">
      <c r="A1762" s="2" t="s">
        <v>4315</v>
      </c>
      <c r="B1762" s="2" t="s">
        <v>4315</v>
      </c>
      <c r="C1762" s="2" t="s">
        <v>26</v>
      </c>
      <c r="D1762" s="2" t="s">
        <v>18</v>
      </c>
      <c r="E1762" s="5">
        <v>-30478</v>
      </c>
      <c r="F1762" s="3" t="s">
        <v>123</v>
      </c>
      <c r="G1762" s="3" t="s">
        <v>2092</v>
      </c>
      <c r="H1762" s="2" t="s">
        <v>21</v>
      </c>
      <c r="I1762" s="2" t="s">
        <v>4342</v>
      </c>
      <c r="J1762" s="3" t="str">
        <f>HYPERLINK("https://www.boe.es/gazeta/dias/1816/07/20/pdfs/GMD-1816-90.pdf#page=5","Abrir facsímil")</f>
        <v>Abrir facsímil</v>
      </c>
      <c r="K1762" s="3" t="s">
        <v>23</v>
      </c>
    </row>
    <row r="1763" spans="1:11" ht="42" customHeight="1">
      <c r="A1763" s="2" t="s">
        <v>4315</v>
      </c>
      <c r="B1763" s="2" t="s">
        <v>4315</v>
      </c>
      <c r="C1763" s="2" t="s">
        <v>17</v>
      </c>
      <c r="D1763" s="2" t="s">
        <v>18</v>
      </c>
      <c r="E1763" s="5">
        <v>-30478</v>
      </c>
      <c r="F1763" s="3" t="s">
        <v>123</v>
      </c>
      <c r="G1763" s="3" t="s">
        <v>42</v>
      </c>
      <c r="H1763" s="2" t="s">
        <v>21</v>
      </c>
      <c r="I1763" s="2" t="s">
        <v>4343</v>
      </c>
      <c r="J1763" s="3" t="str">
        <f>HYPERLINK("https://www.boe.es/gazeta/dias/1816/07/20/pdfs/GMD-1816-90.pdf#page=8","Abrir facsímil")</f>
        <v>Abrir facsímil</v>
      </c>
      <c r="K1763" s="3" t="s">
        <v>23</v>
      </c>
    </row>
    <row r="1764" spans="1:11" ht="42" customHeight="1">
      <c r="A1764" s="2" t="s">
        <v>4315</v>
      </c>
      <c r="B1764" s="2" t="s">
        <v>4315</v>
      </c>
      <c r="C1764" s="2" t="s">
        <v>17</v>
      </c>
      <c r="D1764" s="2" t="s">
        <v>18</v>
      </c>
      <c r="E1764" s="5">
        <v>-30473</v>
      </c>
      <c r="F1764" s="3" t="s">
        <v>336</v>
      </c>
      <c r="G1764" s="3" t="s">
        <v>180</v>
      </c>
      <c r="H1764" s="2" t="s">
        <v>21</v>
      </c>
      <c r="I1764" s="2" t="s">
        <v>4344</v>
      </c>
      <c r="J1764" s="3" t="str">
        <f>HYPERLINK("https://www.boe.es/gazeta/dias/1816/07/25/pdfs/GMD-1816-92.pdf#page=10","Abrir facsímil")</f>
        <v>Abrir facsímil</v>
      </c>
      <c r="K1764" s="3" t="s">
        <v>23</v>
      </c>
    </row>
    <row r="1765" spans="1:11" ht="42" customHeight="1">
      <c r="A1765" s="2" t="s">
        <v>4315</v>
      </c>
      <c r="B1765" s="2" t="s">
        <v>4315</v>
      </c>
      <c r="C1765" s="2" t="s">
        <v>111</v>
      </c>
      <c r="D1765" s="2" t="s">
        <v>112</v>
      </c>
      <c r="E1765" s="5">
        <v>-30473</v>
      </c>
      <c r="F1765" s="3" t="s">
        <v>336</v>
      </c>
      <c r="G1765" s="3" t="s">
        <v>52</v>
      </c>
      <c r="H1765" s="2" t="s">
        <v>21</v>
      </c>
      <c r="I1765" s="2" t="s">
        <v>4345</v>
      </c>
      <c r="J1765" s="3" t="str">
        <f>HYPERLINK("https://www.boe.es/gazeta/dias/1816/07/25/pdfs/GMD-1816-92.pdf#page=12","Abrir facsímil")</f>
        <v>Abrir facsímil</v>
      </c>
      <c r="K1765" s="3" t="s">
        <v>23</v>
      </c>
    </row>
    <row r="1766" spans="1:11" ht="42" customHeight="1">
      <c r="A1766" s="2" t="s">
        <v>4315</v>
      </c>
      <c r="B1766" s="2" t="s">
        <v>4315</v>
      </c>
      <c r="C1766" s="2" t="s">
        <v>111</v>
      </c>
      <c r="D1766" s="2" t="s">
        <v>112</v>
      </c>
      <c r="E1766" s="5">
        <v>-30466</v>
      </c>
      <c r="F1766" s="3" t="s">
        <v>2138</v>
      </c>
      <c r="G1766" s="3" t="s">
        <v>184</v>
      </c>
      <c r="H1766" s="2" t="s">
        <v>21</v>
      </c>
      <c r="I1766" s="2" t="s">
        <v>4346</v>
      </c>
      <c r="J1766" s="3" t="str">
        <f>HYPERLINK("https://www.boe.es/gazeta/dias/1816/08/01/pdfs/GMD-1816-95.pdf#page=3","Abrir facsímil")</f>
        <v>Abrir facsímil</v>
      </c>
      <c r="K1766" s="3" t="s">
        <v>23</v>
      </c>
    </row>
    <row r="1767" spans="1:11" ht="42" customHeight="1">
      <c r="A1767" s="2" t="s">
        <v>4315</v>
      </c>
      <c r="B1767" s="2" t="s">
        <v>4315</v>
      </c>
      <c r="C1767" s="2" t="s">
        <v>111</v>
      </c>
      <c r="D1767" s="2" t="s">
        <v>112</v>
      </c>
      <c r="E1767" s="5">
        <v>-30461</v>
      </c>
      <c r="F1767" s="3" t="s">
        <v>912</v>
      </c>
      <c r="G1767" s="3" t="s">
        <v>1375</v>
      </c>
      <c r="H1767" s="2" t="s">
        <v>21</v>
      </c>
      <c r="I1767" s="2" t="s">
        <v>4347</v>
      </c>
      <c r="J1767" s="3" t="str">
        <f>HYPERLINK("https://www.boe.es/gazeta/dias/1816/08/06/pdfs/GMD-1816-97.pdf#page=6","Abrir facsímil")</f>
        <v>Abrir facsímil</v>
      </c>
      <c r="K1767" s="3" t="s">
        <v>23</v>
      </c>
    </row>
    <row r="1768" spans="1:11" ht="42" customHeight="1">
      <c r="A1768" s="2" t="s">
        <v>4315</v>
      </c>
      <c r="B1768" s="2" t="s">
        <v>4315</v>
      </c>
      <c r="C1768" s="2" t="s">
        <v>34</v>
      </c>
      <c r="D1768" s="2" t="s">
        <v>35</v>
      </c>
      <c r="E1768" s="5">
        <v>-30459</v>
      </c>
      <c r="F1768" s="3" t="s">
        <v>1957</v>
      </c>
      <c r="G1768" s="3" t="s">
        <v>28</v>
      </c>
      <c r="H1768" s="2" t="s">
        <v>21</v>
      </c>
      <c r="I1768" s="2" t="s">
        <v>4348</v>
      </c>
      <c r="J1768" s="3" t="str">
        <f>HYPERLINK("https://www.boe.es/gazeta/dias/1816/08/08/pdfs/GMD-1816-98.pdf#page=6","Abrir facsímil")</f>
        <v>Abrir facsímil</v>
      </c>
      <c r="K1768" s="3" t="s">
        <v>23</v>
      </c>
    </row>
    <row r="1769" spans="1:11" ht="42" customHeight="1">
      <c r="A1769" s="2" t="s">
        <v>4315</v>
      </c>
      <c r="B1769" s="2" t="s">
        <v>4315</v>
      </c>
      <c r="C1769" s="2" t="s">
        <v>26</v>
      </c>
      <c r="D1769" s="2" t="s">
        <v>18</v>
      </c>
      <c r="E1769" s="5">
        <v>-30443</v>
      </c>
      <c r="F1769" s="3" t="s">
        <v>259</v>
      </c>
      <c r="G1769" s="3" t="s">
        <v>103</v>
      </c>
      <c r="H1769" s="2" t="s">
        <v>21</v>
      </c>
      <c r="I1769" s="2" t="s">
        <v>4349</v>
      </c>
      <c r="J1769" s="3" t="str">
        <f>HYPERLINK("https://www.boe.es/gazeta/dias/1816/08/24/pdfs/GMD-1816-105.pdf#page=4","Abrir facsímil")</f>
        <v>Abrir facsímil</v>
      </c>
      <c r="K1769" s="3" t="s">
        <v>23</v>
      </c>
    </row>
    <row r="1770" spans="1:11" ht="42" customHeight="1">
      <c r="A1770" s="2" t="s">
        <v>4315</v>
      </c>
      <c r="B1770" s="2" t="s">
        <v>4315</v>
      </c>
      <c r="C1770" s="2" t="s">
        <v>67</v>
      </c>
      <c r="D1770" s="2" t="s">
        <v>18</v>
      </c>
      <c r="E1770" s="5">
        <v>-30443</v>
      </c>
      <c r="F1770" s="3" t="s">
        <v>259</v>
      </c>
      <c r="G1770" s="3" t="s">
        <v>72</v>
      </c>
      <c r="H1770" s="2" t="s">
        <v>21</v>
      </c>
      <c r="I1770" s="2" t="s">
        <v>4350</v>
      </c>
      <c r="J1770" s="3" t="str">
        <f>HYPERLINK("https://www.boe.es/gazeta/dias/1816/08/24/pdfs/GMD-1816-105.pdf#page=7","Abrir facsímil")</f>
        <v>Abrir facsímil</v>
      </c>
      <c r="K1770" s="3" t="s">
        <v>23</v>
      </c>
    </row>
    <row r="1771" spans="1:11" ht="42" customHeight="1">
      <c r="A1771" s="2" t="s">
        <v>4315</v>
      </c>
      <c r="B1771" s="2" t="s">
        <v>4315</v>
      </c>
      <c r="C1771" s="2" t="s">
        <v>17</v>
      </c>
      <c r="D1771" s="2" t="s">
        <v>18</v>
      </c>
      <c r="E1771" s="5">
        <v>-30438</v>
      </c>
      <c r="F1771" s="3" t="s">
        <v>299</v>
      </c>
      <c r="G1771" s="3" t="s">
        <v>3567</v>
      </c>
      <c r="H1771" s="2" t="s">
        <v>21</v>
      </c>
      <c r="I1771" s="2" t="s">
        <v>4351</v>
      </c>
      <c r="J1771" s="3" t="str">
        <f>HYPERLINK("https://www.boe.es/gazeta/dias/1816/08/29/pdfs/GMD-1816-107.pdf#page=5","Abrir facsímil")</f>
        <v>Abrir facsímil</v>
      </c>
      <c r="K1771" s="3" t="s">
        <v>23</v>
      </c>
    </row>
    <row r="1772" spans="1:11" ht="42" customHeight="1">
      <c r="A1772" s="2" t="s">
        <v>4315</v>
      </c>
      <c r="B1772" s="2" t="s">
        <v>4315</v>
      </c>
      <c r="C1772" s="2" t="s">
        <v>34</v>
      </c>
      <c r="D1772" s="2" t="s">
        <v>35</v>
      </c>
      <c r="E1772" s="5">
        <v>-30429</v>
      </c>
      <c r="F1772" s="3" t="s">
        <v>598</v>
      </c>
      <c r="G1772" s="3" t="s">
        <v>4352</v>
      </c>
      <c r="H1772" s="2" t="s">
        <v>21</v>
      </c>
      <c r="I1772" s="2" t="s">
        <v>4353</v>
      </c>
      <c r="J1772" s="3" t="str">
        <f>HYPERLINK("https://www.boe.es/gazeta/dias/1816/09/07/pdfs/GMD-1816-111.pdf#page=6","Abrir facsímil")</f>
        <v>Abrir facsímil</v>
      </c>
      <c r="K1772" s="3" t="s">
        <v>23</v>
      </c>
    </row>
    <row r="1773" spans="1:11" ht="42" customHeight="1">
      <c r="A1773" s="2" t="s">
        <v>4315</v>
      </c>
      <c r="B1773" s="2" t="s">
        <v>4315</v>
      </c>
      <c r="C1773" s="2" t="s">
        <v>26</v>
      </c>
      <c r="D1773" s="2" t="s">
        <v>18</v>
      </c>
      <c r="E1773" s="5">
        <v>-30426</v>
      </c>
      <c r="F1773" s="3" t="s">
        <v>779</v>
      </c>
      <c r="G1773" s="3" t="s">
        <v>103</v>
      </c>
      <c r="H1773" s="2" t="s">
        <v>21</v>
      </c>
      <c r="I1773" s="2" t="s">
        <v>4354</v>
      </c>
      <c r="J1773" s="3" t="str">
        <f>HYPERLINK("https://www.boe.es/gazeta/dias/1816/09/10/pdfs/GMD-1816-112.pdf#page=4","Abrir facsímil")</f>
        <v>Abrir facsímil</v>
      </c>
      <c r="K1773" s="3" t="s">
        <v>23</v>
      </c>
    </row>
    <row r="1774" spans="1:11" ht="42" customHeight="1">
      <c r="A1774" s="2" t="s">
        <v>4315</v>
      </c>
      <c r="B1774" s="2" t="s">
        <v>4315</v>
      </c>
      <c r="C1774" s="2" t="s">
        <v>67</v>
      </c>
      <c r="D1774" s="2" t="s">
        <v>18</v>
      </c>
      <c r="E1774" s="5">
        <v>-30419</v>
      </c>
      <c r="F1774" s="3" t="s">
        <v>1256</v>
      </c>
      <c r="G1774" s="3" t="s">
        <v>2162</v>
      </c>
      <c r="H1774" s="2" t="s">
        <v>21</v>
      </c>
      <c r="I1774" s="2" t="s">
        <v>4355</v>
      </c>
      <c r="J1774" s="3" t="str">
        <f>HYPERLINK("https://www.boe.es/gazeta/dias/1816/09/17/pdfs/GMD-1816-115.pdf#page=8","Abrir facsímil")</f>
        <v>Abrir facsímil</v>
      </c>
      <c r="K1774" s="3" t="s">
        <v>23</v>
      </c>
    </row>
    <row r="1775" spans="1:11" ht="42" customHeight="1">
      <c r="A1775" s="2" t="s">
        <v>4315</v>
      </c>
      <c r="B1775" s="2" t="s">
        <v>4315</v>
      </c>
      <c r="C1775" s="2" t="s">
        <v>26</v>
      </c>
      <c r="D1775" s="2" t="s">
        <v>18</v>
      </c>
      <c r="E1775" s="5">
        <v>-30403</v>
      </c>
      <c r="F1775" s="3" t="s">
        <v>1264</v>
      </c>
      <c r="G1775" s="3" t="s">
        <v>47</v>
      </c>
      <c r="H1775" s="2" t="s">
        <v>21</v>
      </c>
      <c r="I1775" s="2" t="s">
        <v>4356</v>
      </c>
      <c r="J1775" s="3" t="str">
        <f>HYPERLINK("https://www.boe.es/gazeta/dias/1816/10/03/pdfs/GMD-1816-122.pdf#page=5","Abrir facsímil")</f>
        <v>Abrir facsímil</v>
      </c>
      <c r="K1775" s="3" t="s">
        <v>23</v>
      </c>
    </row>
    <row r="1776" spans="1:11" ht="42" customHeight="1">
      <c r="A1776" s="2" t="s">
        <v>4315</v>
      </c>
      <c r="B1776" s="2" t="s">
        <v>4315</v>
      </c>
      <c r="C1776" s="2" t="s">
        <v>26</v>
      </c>
      <c r="D1776" s="2" t="s">
        <v>18</v>
      </c>
      <c r="E1776" s="5">
        <v>-30401</v>
      </c>
      <c r="F1776" s="3" t="s">
        <v>652</v>
      </c>
      <c r="G1776" s="3" t="s">
        <v>72</v>
      </c>
      <c r="H1776" s="2" t="s">
        <v>21</v>
      </c>
      <c r="I1776" s="2" t="s">
        <v>4357</v>
      </c>
      <c r="J1776" s="3" t="str">
        <f>HYPERLINK("https://www.boe.es/gazeta/dias/1816/10/05/pdfs/GMD-1816-123.pdf#page=7","Abrir facsímil")</f>
        <v>Abrir facsímil</v>
      </c>
      <c r="K1776" s="3" t="s">
        <v>23</v>
      </c>
    </row>
    <row r="1777" spans="1:11" ht="42" customHeight="1">
      <c r="A1777" s="2" t="s">
        <v>4315</v>
      </c>
      <c r="B1777" s="2" t="s">
        <v>4315</v>
      </c>
      <c r="C1777" s="2" t="s">
        <v>26</v>
      </c>
      <c r="D1777" s="2" t="s">
        <v>56</v>
      </c>
      <c r="E1777" s="5">
        <v>-30399</v>
      </c>
      <c r="F1777" s="3" t="s">
        <v>57</v>
      </c>
      <c r="G1777" s="3" t="s">
        <v>72</v>
      </c>
      <c r="H1777" s="2" t="s">
        <v>21</v>
      </c>
      <c r="I1777" s="2" t="s">
        <v>4358</v>
      </c>
      <c r="J1777" s="3" t="str">
        <f>HYPERLINK("https://www.boe.es/gazeta/dias/1816/10/07/pdfs/GMD-1816-124E.pdf#page=7","Abrir facsímil")</f>
        <v>Abrir facsímil</v>
      </c>
      <c r="K1777" s="3" t="s">
        <v>23</v>
      </c>
    </row>
    <row r="1778" spans="1:11" ht="42" customHeight="1">
      <c r="A1778" s="2" t="s">
        <v>4315</v>
      </c>
      <c r="B1778" s="2" t="s">
        <v>4315</v>
      </c>
      <c r="C1778" s="2" t="s">
        <v>26</v>
      </c>
      <c r="D1778" s="2" t="s">
        <v>18</v>
      </c>
      <c r="E1778" s="5">
        <v>-30396</v>
      </c>
      <c r="F1778" s="3" t="s">
        <v>1623</v>
      </c>
      <c r="G1778" s="3" t="s">
        <v>47</v>
      </c>
      <c r="H1778" s="2" t="s">
        <v>21</v>
      </c>
      <c r="I1778" s="2" t="s">
        <v>4359</v>
      </c>
      <c r="J1778" s="3" t="str">
        <f>HYPERLINK("https://www.boe.es/gazeta/dias/1816/10/10/pdfs/GMD-1816-126.pdf#page=5","Abrir facsímil")</f>
        <v>Abrir facsímil</v>
      </c>
      <c r="K1778" s="3" t="s">
        <v>23</v>
      </c>
    </row>
    <row r="1779" spans="1:11" ht="42" customHeight="1">
      <c r="A1779" s="2" t="s">
        <v>4315</v>
      </c>
      <c r="B1779" s="2" t="s">
        <v>4315</v>
      </c>
      <c r="C1779" s="2" t="s">
        <v>26</v>
      </c>
      <c r="D1779" s="2" t="s">
        <v>18</v>
      </c>
      <c r="E1779" s="5">
        <v>-30394</v>
      </c>
      <c r="F1779" s="3" t="s">
        <v>589</v>
      </c>
      <c r="G1779" s="3" t="s">
        <v>72</v>
      </c>
      <c r="H1779" s="2" t="s">
        <v>21</v>
      </c>
      <c r="I1779" s="2" t="s">
        <v>4360</v>
      </c>
      <c r="J1779" s="3" t="str">
        <f>HYPERLINK("https://www.boe.es/gazeta/dias/1816/10/12/pdfs/GMD-1816-127.pdf#page=7","Abrir facsímil")</f>
        <v>Abrir facsímil</v>
      </c>
      <c r="K1779" s="3" t="s">
        <v>23</v>
      </c>
    </row>
    <row r="1780" spans="1:11" ht="42" customHeight="1">
      <c r="A1780" s="2" t="s">
        <v>4315</v>
      </c>
      <c r="B1780" s="2" t="s">
        <v>4315</v>
      </c>
      <c r="C1780" s="2" t="s">
        <v>34</v>
      </c>
      <c r="D1780" s="2" t="s">
        <v>35</v>
      </c>
      <c r="E1780" s="5">
        <v>-30387</v>
      </c>
      <c r="F1780" s="3" t="s">
        <v>224</v>
      </c>
      <c r="G1780" s="3" t="s">
        <v>184</v>
      </c>
      <c r="H1780" s="2" t="s">
        <v>21</v>
      </c>
      <c r="I1780" s="2" t="s">
        <v>4361</v>
      </c>
      <c r="J1780" s="3" t="str">
        <f>HYPERLINK("https://www.boe.es/gazeta/dias/1816/10/19/pdfs/GMD-1816-131.pdf#page=3","Abrir facsímil")</f>
        <v>Abrir facsímil</v>
      </c>
      <c r="K1780" s="3" t="s">
        <v>23</v>
      </c>
    </row>
    <row r="1781" spans="1:11" ht="42" customHeight="1">
      <c r="A1781" s="2" t="s">
        <v>4315</v>
      </c>
      <c r="B1781" s="2" t="s">
        <v>4315</v>
      </c>
      <c r="C1781" s="2" t="s">
        <v>67</v>
      </c>
      <c r="D1781" s="2" t="s">
        <v>18</v>
      </c>
      <c r="E1781" s="5">
        <v>-30377</v>
      </c>
      <c r="F1781" s="3" t="s">
        <v>138</v>
      </c>
      <c r="G1781" s="3" t="s">
        <v>42</v>
      </c>
      <c r="H1781" s="2" t="s">
        <v>21</v>
      </c>
      <c r="I1781" s="2" t="s">
        <v>4362</v>
      </c>
      <c r="J1781" s="3" t="str">
        <f>HYPERLINK("https://www.boe.es/gazeta/dias/1816/10/29/pdfs/GMD-1816-135.pdf#page=8","Abrir facsímil")</f>
        <v>Abrir facsímil</v>
      </c>
      <c r="K1781" s="3" t="s">
        <v>23</v>
      </c>
    </row>
    <row r="1782" spans="1:11" ht="42" customHeight="1">
      <c r="A1782" s="2" t="s">
        <v>4315</v>
      </c>
      <c r="B1782" s="2" t="s">
        <v>4315</v>
      </c>
      <c r="C1782" s="2" t="s">
        <v>34</v>
      </c>
      <c r="D1782" s="2" t="s">
        <v>35</v>
      </c>
      <c r="E1782" s="5">
        <v>-30370</v>
      </c>
      <c r="F1782" s="3" t="s">
        <v>669</v>
      </c>
      <c r="G1782" s="3" t="s">
        <v>28</v>
      </c>
      <c r="H1782" s="2" t="s">
        <v>21</v>
      </c>
      <c r="I1782" s="2" t="s">
        <v>4363</v>
      </c>
      <c r="J1782" s="3" t="str">
        <f>HYPERLINK("https://www.boe.es/gazeta/dias/1816/11/05/pdfs/GMD-1816-138.pdf#page=6","Abrir facsímil")</f>
        <v>Abrir facsímil</v>
      </c>
      <c r="K1782" s="3" t="s">
        <v>23</v>
      </c>
    </row>
    <row r="1783" spans="1:11" ht="42" customHeight="1">
      <c r="A1783" s="2" t="s">
        <v>4315</v>
      </c>
      <c r="B1783" s="2" t="s">
        <v>4315</v>
      </c>
      <c r="C1783" s="2" t="s">
        <v>387</v>
      </c>
      <c r="D1783" s="2" t="s">
        <v>18</v>
      </c>
      <c r="E1783" s="5">
        <v>-30363</v>
      </c>
      <c r="F1783" s="3" t="s">
        <v>570</v>
      </c>
      <c r="G1783" s="3" t="s">
        <v>42</v>
      </c>
      <c r="H1783" s="2" t="s">
        <v>21</v>
      </c>
      <c r="I1783" s="2" t="s">
        <v>4364</v>
      </c>
      <c r="J1783" s="3" t="str">
        <f>HYPERLINK("https://www.boe.es/gazeta/dias/1816/11/12/pdfs/GMD-1816-141.pdf#page=8","Abrir facsímil")</f>
        <v>Abrir facsímil</v>
      </c>
      <c r="K1783" s="3" t="s">
        <v>23</v>
      </c>
    </row>
    <row r="1784" spans="1:11" ht="42" customHeight="1">
      <c r="A1784" s="2" t="s">
        <v>4315</v>
      </c>
      <c r="B1784" s="2" t="s">
        <v>4315</v>
      </c>
      <c r="C1784" s="2" t="s">
        <v>111</v>
      </c>
      <c r="D1784" s="2" t="s">
        <v>112</v>
      </c>
      <c r="E1784" s="5">
        <v>-30347</v>
      </c>
      <c r="F1784" s="3" t="s">
        <v>2994</v>
      </c>
      <c r="G1784" s="3" t="s">
        <v>3599</v>
      </c>
      <c r="H1784" s="2" t="s">
        <v>21</v>
      </c>
      <c r="I1784" s="2" t="s">
        <v>4365</v>
      </c>
      <c r="J1784" s="3" t="str">
        <f>HYPERLINK("https://www.boe.es/gazeta/dias/1816/11/28/pdfs/GMD-1816-148.pdf#page=5","Abrir facsímil")</f>
        <v>Abrir facsímil</v>
      </c>
      <c r="K1784" s="3" t="s">
        <v>23</v>
      </c>
    </row>
    <row r="1785" spans="1:11" ht="42" customHeight="1">
      <c r="A1785" s="2" t="s">
        <v>4315</v>
      </c>
      <c r="B1785" s="2" t="s">
        <v>4315</v>
      </c>
      <c r="C1785" s="2" t="s">
        <v>34</v>
      </c>
      <c r="D1785" s="2" t="s">
        <v>35</v>
      </c>
      <c r="E1785" s="5">
        <v>-30326</v>
      </c>
      <c r="F1785" s="3" t="s">
        <v>377</v>
      </c>
      <c r="G1785" s="3" t="s">
        <v>72</v>
      </c>
      <c r="H1785" s="2" t="s">
        <v>21</v>
      </c>
      <c r="I1785" s="2" t="s">
        <v>4366</v>
      </c>
      <c r="J1785" s="3" t="str">
        <f>HYPERLINK("https://www.boe.es/gazeta/dias/1816/12/19/pdfs/GMD-1816-157.pdf#page=7","Abrir facsímil")</f>
        <v>Abrir facsímil</v>
      </c>
      <c r="K1785" s="3" t="s">
        <v>23</v>
      </c>
    </row>
    <row r="1786" spans="1:11" ht="42" customHeight="1">
      <c r="A1786" s="2" t="s">
        <v>4315</v>
      </c>
      <c r="B1786" s="2" t="s">
        <v>4315</v>
      </c>
      <c r="C1786" s="2" t="s">
        <v>34</v>
      </c>
      <c r="D1786" s="2" t="s">
        <v>35</v>
      </c>
      <c r="E1786" s="5">
        <v>-30319</v>
      </c>
      <c r="F1786" s="3" t="s">
        <v>131</v>
      </c>
      <c r="G1786" s="3" t="s">
        <v>42</v>
      </c>
      <c r="H1786" s="2" t="s">
        <v>21</v>
      </c>
      <c r="I1786" s="2" t="s">
        <v>4367</v>
      </c>
      <c r="J1786" s="3" t="str">
        <f>HYPERLINK("https://www.boe.es/gazeta/dias/1816/12/26/pdfs/GMD-1816-160.pdf#page=8","Abrir facsímil")</f>
        <v>Abrir facsímil</v>
      </c>
      <c r="K1786" s="3" t="s">
        <v>23</v>
      </c>
    </row>
    <row r="1787" spans="1:11" ht="42" customHeight="1">
      <c r="A1787" s="2" t="s">
        <v>4368</v>
      </c>
      <c r="B1787" s="2" t="s">
        <v>4369</v>
      </c>
      <c r="C1787" s="2" t="s">
        <v>17</v>
      </c>
      <c r="D1787" s="2" t="s">
        <v>18</v>
      </c>
      <c r="E1787" s="5">
        <v>-30317</v>
      </c>
      <c r="F1787" s="3" t="s">
        <v>1030</v>
      </c>
      <c r="G1787" s="3" t="s">
        <v>72</v>
      </c>
      <c r="H1787" s="2" t="s">
        <v>29</v>
      </c>
      <c r="I1787" s="2" t="s">
        <v>4370</v>
      </c>
      <c r="J1787" s="3" t="str">
        <f>HYPERLINK("https://www.boe.es/gazeta/dias/1816/12/28/pdfs/GMD-1816-161.pdf#page=7","Abrir facsímil")</f>
        <v>Abrir facsímil</v>
      </c>
      <c r="K1787" s="3" t="s">
        <v>31</v>
      </c>
    </row>
    <row r="1788" spans="1:11" ht="42" customHeight="1">
      <c r="A1788" s="2" t="s">
        <v>4371</v>
      </c>
      <c r="B1788" s="2" t="s">
        <v>4372</v>
      </c>
      <c r="C1788" s="2" t="s">
        <v>34</v>
      </c>
      <c r="D1788" s="2" t="s">
        <v>35</v>
      </c>
      <c r="E1788" s="5">
        <v>-30363</v>
      </c>
      <c r="F1788" s="3" t="s">
        <v>570</v>
      </c>
      <c r="G1788" s="3" t="s">
        <v>942</v>
      </c>
      <c r="H1788" s="2" t="s">
        <v>21</v>
      </c>
      <c r="I1788" s="2" t="s">
        <v>4373</v>
      </c>
      <c r="J1788" s="3" t="str">
        <f>HYPERLINK("https://www.boe.es/gazeta/dias/1816/11/12/pdfs/GMD-1816-141.pdf#page=6","Abrir facsímil")</f>
        <v>Abrir facsímil</v>
      </c>
      <c r="K1788" s="3" t="s">
        <v>23</v>
      </c>
    </row>
    <row r="1789" spans="1:11" ht="42" customHeight="1">
      <c r="A1789" s="2" t="s">
        <v>4374</v>
      </c>
      <c r="B1789" s="2" t="s">
        <v>4375</v>
      </c>
      <c r="C1789" s="2" t="s">
        <v>81</v>
      </c>
      <c r="D1789" s="2" t="s">
        <v>18</v>
      </c>
      <c r="E1789" s="5">
        <v>-30494</v>
      </c>
      <c r="F1789" s="3" t="s">
        <v>174</v>
      </c>
      <c r="G1789" s="3" t="s">
        <v>72</v>
      </c>
      <c r="H1789" s="2" t="s">
        <v>29</v>
      </c>
      <c r="I1789" s="2" t="s">
        <v>4376</v>
      </c>
      <c r="J1789" s="3" t="str">
        <f>HYPERLINK("https://www.boe.es/gazeta/dias/1816/07/04/pdfs/GMD-1816-83.pdf#page=7","Abrir facsímil")</f>
        <v>Abrir facsímil</v>
      </c>
      <c r="K1789" s="3" t="s">
        <v>31</v>
      </c>
    </row>
    <row r="1790" spans="1:11" ht="42" customHeight="1">
      <c r="A1790" s="2" t="s">
        <v>4377</v>
      </c>
      <c r="B1790" s="2" t="s">
        <v>4378</v>
      </c>
      <c r="C1790" s="2" t="s">
        <v>26</v>
      </c>
      <c r="D1790" s="2" t="s">
        <v>18</v>
      </c>
      <c r="E1790" s="5">
        <v>-30494</v>
      </c>
      <c r="F1790" s="3" t="s">
        <v>174</v>
      </c>
      <c r="G1790" s="3" t="s">
        <v>72</v>
      </c>
      <c r="H1790" s="2" t="s">
        <v>29</v>
      </c>
      <c r="I1790" s="2" t="s">
        <v>4379</v>
      </c>
      <c r="J1790" s="3" t="str">
        <f>HYPERLINK("https://www.boe.es/gazeta/dias/1816/07/04/pdfs/GMD-1816-83.pdf#page=7","Abrir facsímil")</f>
        <v>Abrir facsímil</v>
      </c>
      <c r="K1790" s="3" t="s">
        <v>31</v>
      </c>
    </row>
    <row r="1791" spans="1:11" ht="42" customHeight="1">
      <c r="A1791" s="2" t="s">
        <v>4380</v>
      </c>
      <c r="B1791" s="2" t="s">
        <v>4381</v>
      </c>
      <c r="C1791" s="2" t="s">
        <v>26</v>
      </c>
      <c r="D1791" s="2" t="s">
        <v>18</v>
      </c>
      <c r="E1791" s="5">
        <v>-30494</v>
      </c>
      <c r="F1791" s="3" t="s">
        <v>174</v>
      </c>
      <c r="G1791" s="3" t="s">
        <v>72</v>
      </c>
      <c r="H1791" s="2" t="s">
        <v>29</v>
      </c>
      <c r="I1791" s="2" t="s">
        <v>4382</v>
      </c>
      <c r="J1791" s="3" t="str">
        <f>HYPERLINK("https://www.boe.es/gazeta/dias/1816/07/04/pdfs/GMD-1816-83.pdf#page=7","Abrir facsímil")</f>
        <v>Abrir facsímil</v>
      </c>
      <c r="K1791" s="3" t="s">
        <v>31</v>
      </c>
    </row>
    <row r="1792" spans="1:11" ht="42" customHeight="1">
      <c r="A1792" s="2" t="s">
        <v>4383</v>
      </c>
      <c r="B1792" s="2" t="s">
        <v>4383</v>
      </c>
      <c r="C1792" s="2" t="s">
        <v>67</v>
      </c>
      <c r="D1792" s="2" t="s">
        <v>18</v>
      </c>
      <c r="E1792" s="5">
        <v>-30655</v>
      </c>
      <c r="F1792" s="3" t="s">
        <v>170</v>
      </c>
      <c r="G1792" s="3" t="s">
        <v>47</v>
      </c>
      <c r="H1792" s="2" t="s">
        <v>21</v>
      </c>
      <c r="I1792" s="2" t="s">
        <v>4384</v>
      </c>
      <c r="J1792" s="3" t="str">
        <f>HYPERLINK("https://www.boe.es/gazeta/dias/1816/01/25/pdfs/GMD-1816-11.pdf#page=5","Abrir facsímil")</f>
        <v>Abrir facsímil</v>
      </c>
      <c r="K1792" s="3" t="s">
        <v>23</v>
      </c>
    </row>
    <row r="1793" spans="1:11" ht="42" customHeight="1">
      <c r="A1793" s="2" t="s">
        <v>4385</v>
      </c>
      <c r="B1793" s="2" t="s">
        <v>4385</v>
      </c>
      <c r="C1793" s="2" t="s">
        <v>26</v>
      </c>
      <c r="D1793" s="2" t="s">
        <v>18</v>
      </c>
      <c r="E1793" s="5">
        <v>-30424</v>
      </c>
      <c r="F1793" s="3" t="s">
        <v>142</v>
      </c>
      <c r="G1793" s="3" t="s">
        <v>4386</v>
      </c>
      <c r="H1793" s="2" t="s">
        <v>21</v>
      </c>
      <c r="I1793" s="2" t="s">
        <v>4387</v>
      </c>
      <c r="J1793" s="3" t="str">
        <f>HYPERLINK("https://www.boe.es/gazeta/dias/1816/09/12/pdfs/GMD-1816-113.pdf#page=5","Abrir facsímil")</f>
        <v>Abrir facsímil</v>
      </c>
      <c r="K1793" s="3" t="s">
        <v>23</v>
      </c>
    </row>
    <row r="1794" spans="1:11" ht="42" customHeight="1">
      <c r="A1794" s="2" t="s">
        <v>4388</v>
      </c>
      <c r="B1794" s="2" t="s">
        <v>4388</v>
      </c>
      <c r="C1794" s="2" t="s">
        <v>67</v>
      </c>
      <c r="D1794" s="2" t="s">
        <v>18</v>
      </c>
      <c r="E1794" s="5">
        <v>-30573</v>
      </c>
      <c r="F1794" s="3" t="s">
        <v>840</v>
      </c>
      <c r="G1794" s="3" t="s">
        <v>270</v>
      </c>
      <c r="H1794" s="2" t="s">
        <v>21</v>
      </c>
      <c r="I1794" s="2" t="s">
        <v>4389</v>
      </c>
      <c r="J1794" s="3" t="str">
        <f>HYPERLINK("https://www.boe.es/gazeta/dias/1816/04/16/pdfs/GMD-1816-49.pdf#page=2","Abrir facsímil")</f>
        <v>Abrir facsímil</v>
      </c>
      <c r="K1794" s="3" t="s">
        <v>23</v>
      </c>
    </row>
    <row r="1795" spans="1:11" ht="42" customHeight="1">
      <c r="A1795" s="2" t="s">
        <v>4390</v>
      </c>
      <c r="B1795" s="2" t="s">
        <v>4391</v>
      </c>
      <c r="C1795" s="2" t="s">
        <v>26</v>
      </c>
      <c r="D1795" s="2" t="s">
        <v>18</v>
      </c>
      <c r="E1795" s="5">
        <v>-30496</v>
      </c>
      <c r="F1795" s="3" t="s">
        <v>290</v>
      </c>
      <c r="G1795" s="3" t="s">
        <v>673</v>
      </c>
      <c r="H1795" s="2" t="s">
        <v>21</v>
      </c>
      <c r="I1795" s="2" t="s">
        <v>4392</v>
      </c>
      <c r="J1795" s="3" t="str">
        <f>HYPERLINK("https://www.boe.es/gazeta/dias/1816/07/02/pdfs/GMD-1816-82.pdf#page=4","Abrir facsímil")</f>
        <v>Abrir facsímil</v>
      </c>
      <c r="K1795" s="3" t="s">
        <v>23</v>
      </c>
    </row>
    <row r="1796" spans="1:11" ht="42" customHeight="1">
      <c r="A1796" s="2" t="s">
        <v>4393</v>
      </c>
      <c r="B1796" s="2" t="s">
        <v>4394</v>
      </c>
      <c r="C1796" s="2" t="s">
        <v>17</v>
      </c>
      <c r="D1796" s="2" t="s">
        <v>18</v>
      </c>
      <c r="E1796" s="5">
        <v>-30331</v>
      </c>
      <c r="F1796" s="3" t="s">
        <v>315</v>
      </c>
      <c r="G1796" s="3" t="s">
        <v>103</v>
      </c>
      <c r="H1796" s="2" t="s">
        <v>21</v>
      </c>
      <c r="I1796" s="2" t="s">
        <v>4395</v>
      </c>
      <c r="J1796" s="3" t="str">
        <f>HYPERLINK("https://www.boe.es/gazeta/dias/1816/12/14/pdfs/GMD-1816-155.pdf#page=4","Abrir facsímil")</f>
        <v>Abrir facsímil</v>
      </c>
      <c r="K1796" s="3" t="s">
        <v>23</v>
      </c>
    </row>
    <row r="1797" spans="1:11" ht="42" customHeight="1">
      <c r="A1797" s="2" t="s">
        <v>4396</v>
      </c>
      <c r="B1797" s="2" t="s">
        <v>4397</v>
      </c>
      <c r="C1797" s="2" t="s">
        <v>34</v>
      </c>
      <c r="D1797" s="2" t="s">
        <v>56</v>
      </c>
      <c r="E1797" s="5">
        <v>-30393</v>
      </c>
      <c r="F1797" s="3" t="s">
        <v>202</v>
      </c>
      <c r="G1797" s="3" t="s">
        <v>184</v>
      </c>
      <c r="H1797" s="2" t="s">
        <v>21</v>
      </c>
      <c r="I1797" s="2" t="s">
        <v>4398</v>
      </c>
      <c r="J1797" s="3" t="str">
        <f>HYPERLINK("https://www.boe.es/gazeta/dias/1816/10/13/pdfs/GMD-1816-128E.pdf#page=3","Abrir facsímil")</f>
        <v>Abrir facsímil</v>
      </c>
      <c r="K1797" s="3" t="s">
        <v>23</v>
      </c>
    </row>
    <row r="1798" spans="1:11" ht="42" customHeight="1">
      <c r="A1798" s="2" t="s">
        <v>4399</v>
      </c>
      <c r="B1798" s="2" t="s">
        <v>4400</v>
      </c>
      <c r="C1798" s="2" t="s">
        <v>111</v>
      </c>
      <c r="D1798" s="2" t="s">
        <v>112</v>
      </c>
      <c r="E1798" s="5">
        <v>-30375</v>
      </c>
      <c r="F1798" s="3" t="s">
        <v>404</v>
      </c>
      <c r="G1798" s="3" t="s">
        <v>1276</v>
      </c>
      <c r="H1798" s="2" t="s">
        <v>21</v>
      </c>
      <c r="I1798" s="2" t="s">
        <v>4401</v>
      </c>
      <c r="J1798" s="3" t="str">
        <f>HYPERLINK("https://www.boe.es/gazeta/dias/1816/10/31/pdfs/GMD-1816-136.pdf#page=5","Abrir facsímil")</f>
        <v>Abrir facsímil</v>
      </c>
      <c r="K1798" s="3" t="s">
        <v>23</v>
      </c>
    </row>
    <row r="1799" spans="1:11" ht="42" customHeight="1">
      <c r="A1799" s="2" t="s">
        <v>4402</v>
      </c>
      <c r="B1799" s="2" t="s">
        <v>4403</v>
      </c>
      <c r="C1799" s="2" t="s">
        <v>26</v>
      </c>
      <c r="D1799" s="2" t="s">
        <v>56</v>
      </c>
      <c r="E1799" s="5">
        <v>-30393</v>
      </c>
      <c r="F1799" s="3" t="s">
        <v>202</v>
      </c>
      <c r="G1799" s="3" t="s">
        <v>203</v>
      </c>
      <c r="H1799" s="2" t="s">
        <v>21</v>
      </c>
      <c r="I1799" s="2" t="s">
        <v>4404</v>
      </c>
      <c r="J1799" s="3" t="str">
        <f>HYPERLINK("https://www.boe.es/gazeta/dias/1816/10/13/pdfs/GMD-1816-128E.pdf#page=7","Abrir facsímil")</f>
        <v>Abrir facsímil</v>
      </c>
      <c r="K1799" s="3" t="s">
        <v>23</v>
      </c>
    </row>
    <row r="1800" spans="1:11" ht="42" customHeight="1">
      <c r="A1800" s="2" t="s">
        <v>4405</v>
      </c>
      <c r="B1800" s="2" t="s">
        <v>4406</v>
      </c>
      <c r="C1800" s="2" t="s">
        <v>26</v>
      </c>
      <c r="D1800" s="2" t="s">
        <v>18</v>
      </c>
      <c r="E1800" s="5">
        <v>-30438</v>
      </c>
      <c r="F1800" s="3" t="s">
        <v>299</v>
      </c>
      <c r="G1800" s="3" t="s">
        <v>300</v>
      </c>
      <c r="H1800" s="2" t="s">
        <v>21</v>
      </c>
      <c r="I1800" s="2" t="s">
        <v>4407</v>
      </c>
      <c r="J1800" s="3" t="str">
        <f>HYPERLINK("https://www.boe.es/gazeta/dias/1816/08/29/pdfs/GMD-1816-107.pdf#page=12","Abrir facsímil")</f>
        <v>Abrir facsímil</v>
      </c>
      <c r="K1800" s="3" t="s">
        <v>23</v>
      </c>
    </row>
    <row r="1801" spans="1:11" ht="42" customHeight="1">
      <c r="A1801" s="2" t="s">
        <v>4408</v>
      </c>
      <c r="B1801" s="2" t="s">
        <v>4409</v>
      </c>
      <c r="C1801" s="2" t="s">
        <v>41</v>
      </c>
      <c r="D1801" s="2" t="s">
        <v>18</v>
      </c>
      <c r="E1801" s="5">
        <v>-30443</v>
      </c>
      <c r="F1801" s="3" t="s">
        <v>259</v>
      </c>
      <c r="G1801" s="3" t="s">
        <v>260</v>
      </c>
      <c r="H1801" s="2" t="s">
        <v>21</v>
      </c>
      <c r="I1801" s="2" t="s">
        <v>4410</v>
      </c>
      <c r="J1801" s="3" t="str">
        <f>HYPERLINK("https://www.boe.es/gazeta/dias/1816/08/24/pdfs/GMD-1816-105.pdf#page=8","Abrir facsímil")</f>
        <v>Abrir facsímil</v>
      </c>
      <c r="K1801" s="3" t="s">
        <v>23</v>
      </c>
    </row>
    <row r="1802" spans="1:11" ht="42" customHeight="1">
      <c r="A1802" s="2" t="s">
        <v>4411</v>
      </c>
      <c r="B1802" s="2" t="s">
        <v>4411</v>
      </c>
      <c r="C1802" s="2" t="s">
        <v>81</v>
      </c>
      <c r="D1802" s="2" t="s">
        <v>18</v>
      </c>
      <c r="E1802" s="5">
        <v>-30550</v>
      </c>
      <c r="F1802" s="3" t="s">
        <v>435</v>
      </c>
      <c r="G1802" s="3" t="s">
        <v>42</v>
      </c>
      <c r="H1802" s="2" t="s">
        <v>21</v>
      </c>
      <c r="I1802" s="2" t="s">
        <v>4412</v>
      </c>
      <c r="J1802" s="3" t="str">
        <f>HYPERLINK("https://www.boe.es/gazeta/dias/1816/05/09/pdfs/GMD-1816-59.pdf#page=8","Abrir facsímil")</f>
        <v>Abrir facsímil</v>
      </c>
      <c r="K1802" s="3" t="s">
        <v>23</v>
      </c>
    </row>
    <row r="1803" spans="1:11" ht="42" customHeight="1">
      <c r="A1803" s="2" t="s">
        <v>4413</v>
      </c>
      <c r="B1803" s="2" t="s">
        <v>4414</v>
      </c>
      <c r="C1803" s="2" t="s">
        <v>67</v>
      </c>
      <c r="D1803" s="2" t="s">
        <v>18</v>
      </c>
      <c r="E1803" s="5">
        <v>-30492</v>
      </c>
      <c r="F1803" s="3" t="s">
        <v>248</v>
      </c>
      <c r="G1803" s="3" t="s">
        <v>443</v>
      </c>
      <c r="H1803" s="2" t="s">
        <v>29</v>
      </c>
      <c r="I1803" s="2" t="s">
        <v>4415</v>
      </c>
      <c r="J1803" s="3" t="str">
        <f>HYPERLINK("https://www.boe.es/gazeta/dias/1816/07/06/pdfs/GMD-1816-84.pdf#page=12","Abrir facsímil")</f>
        <v>Abrir facsímil</v>
      </c>
      <c r="K1803" s="3" t="s">
        <v>31</v>
      </c>
    </row>
    <row r="1804" spans="1:11" ht="42" customHeight="1">
      <c r="A1804" s="2" t="s">
        <v>4416</v>
      </c>
      <c r="B1804" s="2" t="s">
        <v>4417</v>
      </c>
      <c r="C1804" s="2" t="s">
        <v>26</v>
      </c>
      <c r="D1804" s="2" t="s">
        <v>18</v>
      </c>
      <c r="E1804" s="5">
        <v>-30333</v>
      </c>
      <c r="F1804" s="3" t="s">
        <v>1005</v>
      </c>
      <c r="G1804" s="3" t="s">
        <v>1006</v>
      </c>
      <c r="H1804" s="2" t="s">
        <v>21</v>
      </c>
      <c r="I1804" s="2" t="s">
        <v>4418</v>
      </c>
      <c r="J1804" s="3" t="str">
        <f>HYPERLINK("https://www.boe.es/gazeta/dias/1816/12/12/pdfs/GMD-1816-154.pdf#page=5","Abrir facsímil")</f>
        <v>Abrir facsímil</v>
      </c>
      <c r="K1804" s="3" t="s">
        <v>23</v>
      </c>
    </row>
    <row r="1805" spans="1:11" ht="42" customHeight="1">
      <c r="A1805" s="2" t="s">
        <v>4419</v>
      </c>
      <c r="B1805" s="2" t="s">
        <v>4420</v>
      </c>
      <c r="C1805" s="2" t="s">
        <v>111</v>
      </c>
      <c r="D1805" s="2" t="s">
        <v>112</v>
      </c>
      <c r="E1805" s="5">
        <v>-30405</v>
      </c>
      <c r="F1805" s="3" t="s">
        <v>587</v>
      </c>
      <c r="G1805" s="3" t="s">
        <v>103</v>
      </c>
      <c r="H1805" s="2" t="s">
        <v>29</v>
      </c>
      <c r="I1805" s="2" t="s">
        <v>4421</v>
      </c>
      <c r="J1805" s="3" t="str">
        <f>HYPERLINK("https://www.boe.es/gazeta/dias/1816/10/01/pdfs/GMD-1816-121.pdf#page=4","Abrir facsímil")</f>
        <v>Abrir facsímil</v>
      </c>
      <c r="K1805" s="3" t="s">
        <v>31</v>
      </c>
    </row>
    <row r="1806" spans="1:11" ht="42" customHeight="1">
      <c r="A1806" s="2" t="s">
        <v>4422</v>
      </c>
      <c r="B1806" s="2" t="s">
        <v>4423</v>
      </c>
      <c r="C1806" s="2" t="s">
        <v>34</v>
      </c>
      <c r="D1806" s="2" t="s">
        <v>35</v>
      </c>
      <c r="E1806" s="5">
        <v>-30482</v>
      </c>
      <c r="F1806" s="3" t="s">
        <v>370</v>
      </c>
      <c r="G1806" s="3" t="s">
        <v>103</v>
      </c>
      <c r="H1806" s="2" t="s">
        <v>21</v>
      </c>
      <c r="I1806" s="2" t="s">
        <v>4424</v>
      </c>
      <c r="J1806" s="3" t="str">
        <f>HYPERLINK("https://www.boe.es/gazeta/dias/1816/07/16/pdfs/GMD-1816-88.pdf#page=4","Abrir facsímil")</f>
        <v>Abrir facsímil</v>
      </c>
      <c r="K1806" s="3" t="s">
        <v>23</v>
      </c>
    </row>
    <row r="1807" spans="1:11" ht="42" customHeight="1">
      <c r="A1807" s="2" t="s">
        <v>4425</v>
      </c>
      <c r="B1807" s="2" t="s">
        <v>4426</v>
      </c>
      <c r="C1807" s="2" t="s">
        <v>111</v>
      </c>
      <c r="D1807" s="2" t="s">
        <v>112</v>
      </c>
      <c r="E1807" s="5">
        <v>-30636</v>
      </c>
      <c r="F1807" s="3" t="s">
        <v>82</v>
      </c>
      <c r="G1807" s="3" t="s">
        <v>28</v>
      </c>
      <c r="H1807" s="2" t="s">
        <v>21</v>
      </c>
      <c r="I1807" s="2" t="s">
        <v>4427</v>
      </c>
      <c r="J1807" s="3" t="str">
        <f>HYPERLINK("https://www.boe.es/gazeta/dias/1816/02/13/pdfs/GMD-1816-20.pdf#page=6","Abrir facsímil")</f>
        <v>Abrir facsímil</v>
      </c>
      <c r="K1807" s="3" t="s">
        <v>23</v>
      </c>
    </row>
    <row r="1808" spans="1:11" ht="42" customHeight="1">
      <c r="A1808" s="2" t="s">
        <v>4425</v>
      </c>
      <c r="B1808" s="2" t="s">
        <v>4426</v>
      </c>
      <c r="C1808" s="2" t="s">
        <v>34</v>
      </c>
      <c r="D1808" s="2" t="s">
        <v>35</v>
      </c>
      <c r="E1808" s="5">
        <v>-30629</v>
      </c>
      <c r="F1808" s="3" t="s">
        <v>904</v>
      </c>
      <c r="G1808" s="3" t="s">
        <v>28</v>
      </c>
      <c r="H1808" s="2" t="s">
        <v>21</v>
      </c>
      <c r="I1808" s="2" t="s">
        <v>4428</v>
      </c>
      <c r="J1808" s="3" t="str">
        <f>HYPERLINK("https://www.boe.es/gazeta/dias/1816/02/20/pdfs/GMD-1816-23.pdf#page=6","Abrir facsímil")</f>
        <v>Abrir facsímil</v>
      </c>
      <c r="K1808" s="3" t="s">
        <v>23</v>
      </c>
    </row>
    <row r="1809" spans="1:11" ht="42" customHeight="1">
      <c r="A1809" s="2" t="s">
        <v>4425</v>
      </c>
      <c r="B1809" s="2" t="s">
        <v>4426</v>
      </c>
      <c r="C1809" s="2" t="s">
        <v>111</v>
      </c>
      <c r="D1809" s="2" t="s">
        <v>56</v>
      </c>
      <c r="E1809" s="5">
        <v>-30393</v>
      </c>
      <c r="F1809" s="3" t="s">
        <v>202</v>
      </c>
      <c r="G1809" s="3" t="s">
        <v>58</v>
      </c>
      <c r="H1809" s="2" t="s">
        <v>21</v>
      </c>
      <c r="I1809" s="2" t="s">
        <v>4429</v>
      </c>
      <c r="J1809" s="3" t="str">
        <f>HYPERLINK("https://www.boe.es/gazeta/dias/1816/10/13/pdfs/GMD-1816-128E.pdf#page=1","Abrir facsímil")</f>
        <v>Abrir facsímil</v>
      </c>
      <c r="K1809" s="3" t="s">
        <v>23</v>
      </c>
    </row>
    <row r="1810" spans="1:11" ht="42" customHeight="1">
      <c r="A1810" s="2" t="s">
        <v>4430</v>
      </c>
      <c r="B1810" s="2" t="s">
        <v>4431</v>
      </c>
      <c r="C1810" s="2" t="s">
        <v>34</v>
      </c>
      <c r="D1810" s="2" t="s">
        <v>35</v>
      </c>
      <c r="E1810" s="5">
        <v>-30608</v>
      </c>
      <c r="F1810" s="3" t="s">
        <v>550</v>
      </c>
      <c r="G1810" s="3" t="s">
        <v>28</v>
      </c>
      <c r="H1810" s="2" t="s">
        <v>21</v>
      </c>
      <c r="I1810" s="2" t="s">
        <v>4432</v>
      </c>
      <c r="J1810" s="3" t="str">
        <f>HYPERLINK("https://www.boe.es/gazeta/dias/1816/03/12/pdfs/GMD-1816-33.pdf#page=6","Abrir facsímil")</f>
        <v>Abrir facsímil</v>
      </c>
      <c r="K1810" s="3" t="s">
        <v>23</v>
      </c>
    </row>
    <row r="1811" spans="1:11" ht="42" customHeight="1">
      <c r="A1811" s="2" t="s">
        <v>4433</v>
      </c>
      <c r="B1811" s="2" t="s">
        <v>4434</v>
      </c>
      <c r="C1811" s="2" t="s">
        <v>111</v>
      </c>
      <c r="D1811" s="2" t="s">
        <v>112</v>
      </c>
      <c r="E1811" s="5">
        <v>-30398</v>
      </c>
      <c r="F1811" s="3" t="s">
        <v>447</v>
      </c>
      <c r="G1811" s="3" t="s">
        <v>47</v>
      </c>
      <c r="H1811" s="2" t="s">
        <v>29</v>
      </c>
      <c r="I1811" s="2" t="s">
        <v>4435</v>
      </c>
      <c r="J1811" s="3" t="str">
        <f>HYPERLINK("https://www.boe.es/gazeta/dias/1816/10/08/pdfs/GMD-1816-125.pdf#page=5","Abrir facsímil")</f>
        <v>Abrir facsímil</v>
      </c>
      <c r="K1811" s="3" t="s">
        <v>31</v>
      </c>
    </row>
    <row r="1812" spans="1:11" ht="42" customHeight="1">
      <c r="A1812" s="2" t="s">
        <v>4436</v>
      </c>
      <c r="B1812" s="2" t="s">
        <v>4436</v>
      </c>
      <c r="C1812" s="2" t="s">
        <v>34</v>
      </c>
      <c r="D1812" s="2" t="s">
        <v>35</v>
      </c>
      <c r="E1812" s="5">
        <v>-30632</v>
      </c>
      <c r="F1812" s="3" t="s">
        <v>89</v>
      </c>
      <c r="G1812" s="3" t="s">
        <v>184</v>
      </c>
      <c r="H1812" s="2" t="s">
        <v>21</v>
      </c>
      <c r="I1812" s="2" t="s">
        <v>4437</v>
      </c>
      <c r="J1812" s="3" t="str">
        <f>HYPERLINK("https://www.boe.es/gazeta/dias/1816/02/17/pdfs/GMD-1816-22.pdf#page=3","Abrir facsímil")</f>
        <v>Abrir facsímil</v>
      </c>
      <c r="K1812" s="3" t="s">
        <v>23</v>
      </c>
    </row>
    <row r="1813" spans="1:11" ht="42" customHeight="1">
      <c r="A1813" s="2" t="s">
        <v>4438</v>
      </c>
      <c r="B1813" s="2" t="s">
        <v>4439</v>
      </c>
      <c r="C1813" s="2" t="s">
        <v>41</v>
      </c>
      <c r="D1813" s="2" t="s">
        <v>18</v>
      </c>
      <c r="E1813" s="5">
        <v>-30387</v>
      </c>
      <c r="F1813" s="3" t="s">
        <v>224</v>
      </c>
      <c r="G1813" s="3" t="s">
        <v>28</v>
      </c>
      <c r="H1813" s="2" t="s">
        <v>21</v>
      </c>
      <c r="I1813" s="2" t="s">
        <v>4440</v>
      </c>
      <c r="J1813" s="3" t="str">
        <f>HYPERLINK("https://www.boe.es/gazeta/dias/1816/10/19/pdfs/GMD-1816-131.pdf#page=6","Abrir facsímil")</f>
        <v>Abrir facsímil</v>
      </c>
      <c r="K1813" s="3" t="s">
        <v>23</v>
      </c>
    </row>
    <row r="1814" spans="1:11" ht="42" customHeight="1">
      <c r="A1814" s="2" t="s">
        <v>4441</v>
      </c>
      <c r="B1814" s="2" t="s">
        <v>4442</v>
      </c>
      <c r="C1814" s="2" t="s">
        <v>17</v>
      </c>
      <c r="D1814" s="2" t="s">
        <v>18</v>
      </c>
      <c r="E1814" s="5">
        <v>-30426</v>
      </c>
      <c r="F1814" s="3" t="s">
        <v>779</v>
      </c>
      <c r="G1814" s="3" t="s">
        <v>72</v>
      </c>
      <c r="H1814" s="2" t="s">
        <v>29</v>
      </c>
      <c r="I1814" s="2" t="s">
        <v>4443</v>
      </c>
      <c r="J1814" s="3" t="str">
        <f>HYPERLINK("https://www.boe.es/gazeta/dias/1816/09/10/pdfs/GMD-1816-112.pdf#page=7","Abrir facsímil")</f>
        <v>Abrir facsímil</v>
      </c>
      <c r="K1814" s="3" t="s">
        <v>31</v>
      </c>
    </row>
    <row r="1815" spans="1:11" ht="42" customHeight="1">
      <c r="A1815" s="2" t="s">
        <v>4444</v>
      </c>
      <c r="B1815" s="2" t="s">
        <v>4445</v>
      </c>
      <c r="C1815" s="2" t="s">
        <v>17</v>
      </c>
      <c r="D1815" s="2" t="s">
        <v>18</v>
      </c>
      <c r="E1815" s="5">
        <v>-30426</v>
      </c>
      <c r="F1815" s="3" t="s">
        <v>779</v>
      </c>
      <c r="G1815" s="3" t="s">
        <v>72</v>
      </c>
      <c r="H1815" s="2" t="s">
        <v>29</v>
      </c>
      <c r="I1815" s="2" t="s">
        <v>4446</v>
      </c>
      <c r="J1815" s="3" t="str">
        <f>HYPERLINK("https://www.boe.es/gazeta/dias/1816/09/10/pdfs/GMD-1816-112.pdf#page=7","Abrir facsímil")</f>
        <v>Abrir facsímil</v>
      </c>
      <c r="K1815" s="3" t="s">
        <v>31</v>
      </c>
    </row>
    <row r="1816" spans="1:11" ht="42" customHeight="1">
      <c r="A1816" s="2" t="s">
        <v>4447</v>
      </c>
      <c r="B1816" s="2" t="s">
        <v>4448</v>
      </c>
      <c r="C1816" s="2" t="s">
        <v>67</v>
      </c>
      <c r="D1816" s="2" t="s">
        <v>18</v>
      </c>
      <c r="E1816" s="5">
        <v>-30566</v>
      </c>
      <c r="F1816" s="3" t="s">
        <v>113</v>
      </c>
      <c r="G1816" s="3" t="s">
        <v>42</v>
      </c>
      <c r="H1816" s="2" t="s">
        <v>21</v>
      </c>
      <c r="I1816" s="2" t="s">
        <v>4449</v>
      </c>
      <c r="J1816" s="3" t="str">
        <f>HYPERLINK("https://www.boe.es/gazeta/dias/1816/04/23/pdfs/GMD-1816-52.pdf#page=8","Abrir facsímil")</f>
        <v>Abrir facsímil</v>
      </c>
      <c r="K1816" s="3" t="s">
        <v>23</v>
      </c>
    </row>
    <row r="1817" spans="1:11" ht="42" customHeight="1">
      <c r="A1817" s="2" t="s">
        <v>4450</v>
      </c>
      <c r="B1817" s="2" t="s">
        <v>4450</v>
      </c>
      <c r="C1817" s="2" t="s">
        <v>111</v>
      </c>
      <c r="D1817" s="2" t="s">
        <v>112</v>
      </c>
      <c r="E1817" s="5">
        <v>-30632</v>
      </c>
      <c r="F1817" s="3" t="s">
        <v>89</v>
      </c>
      <c r="G1817" s="3" t="s">
        <v>28</v>
      </c>
      <c r="H1817" s="2" t="s">
        <v>21</v>
      </c>
      <c r="I1817" s="2" t="s">
        <v>4451</v>
      </c>
      <c r="J1817" s="3" t="str">
        <f>HYPERLINK("https://www.boe.es/gazeta/dias/1816/02/17/pdfs/GMD-1816-22.pdf#page=6","Abrir facsímil")</f>
        <v>Abrir facsímil</v>
      </c>
      <c r="K1817" s="3" t="s">
        <v>23</v>
      </c>
    </row>
    <row r="1818" spans="1:11" ht="42" customHeight="1">
      <c r="A1818" s="2" t="s">
        <v>4450</v>
      </c>
      <c r="B1818" s="2" t="s">
        <v>4450</v>
      </c>
      <c r="C1818" s="2" t="s">
        <v>17</v>
      </c>
      <c r="D1818" s="2" t="s">
        <v>18</v>
      </c>
      <c r="E1818" s="5">
        <v>-30625</v>
      </c>
      <c r="F1818" s="3" t="s">
        <v>631</v>
      </c>
      <c r="G1818" s="3" t="s">
        <v>72</v>
      </c>
      <c r="H1818" s="2" t="s">
        <v>21</v>
      </c>
      <c r="I1818" s="2" t="s">
        <v>4452</v>
      </c>
      <c r="J1818" s="3" t="str">
        <f>HYPERLINK("https://www.boe.es/gazeta/dias/1816/02/24/pdfs/GMD-1816-25.pdf#page=7","Abrir facsímil")</f>
        <v>Abrir facsímil</v>
      </c>
      <c r="K1818" s="3" t="s">
        <v>23</v>
      </c>
    </row>
    <row r="1819" spans="1:11" ht="42" customHeight="1">
      <c r="A1819" s="2" t="s">
        <v>4450</v>
      </c>
      <c r="B1819" s="2" t="s">
        <v>4450</v>
      </c>
      <c r="C1819" s="2" t="s">
        <v>111</v>
      </c>
      <c r="D1819" s="2" t="s">
        <v>112</v>
      </c>
      <c r="E1819" s="5">
        <v>-30578</v>
      </c>
      <c r="F1819" s="3" t="s">
        <v>91</v>
      </c>
      <c r="G1819" s="3" t="s">
        <v>286</v>
      </c>
      <c r="H1819" s="2" t="s">
        <v>21</v>
      </c>
      <c r="I1819" s="2" t="s">
        <v>4453</v>
      </c>
      <c r="J1819" s="3" t="str">
        <f>HYPERLINK("https://www.boe.es/gazeta/dias/1816/04/11/pdfs/GMD-1816-47.pdf#page=11","Abrir facsímil")</f>
        <v>Abrir facsímil</v>
      </c>
      <c r="K1819" s="3" t="s">
        <v>23</v>
      </c>
    </row>
    <row r="1820" spans="1:11" ht="42" customHeight="1">
      <c r="A1820" s="2" t="s">
        <v>4450</v>
      </c>
      <c r="B1820" s="2" t="s">
        <v>4450</v>
      </c>
      <c r="C1820" s="2" t="s">
        <v>111</v>
      </c>
      <c r="D1820" s="2" t="s">
        <v>112</v>
      </c>
      <c r="E1820" s="5">
        <v>-30550</v>
      </c>
      <c r="F1820" s="3" t="s">
        <v>435</v>
      </c>
      <c r="G1820" s="3" t="s">
        <v>28</v>
      </c>
      <c r="H1820" s="2" t="s">
        <v>21</v>
      </c>
      <c r="I1820" s="2" t="s">
        <v>4454</v>
      </c>
      <c r="J1820" s="3" t="str">
        <f>HYPERLINK("https://www.boe.es/gazeta/dias/1816/05/09/pdfs/GMD-1816-59.pdf#page=6","Abrir facsímil")</f>
        <v>Abrir facsímil</v>
      </c>
      <c r="K1820" s="3" t="s">
        <v>23</v>
      </c>
    </row>
    <row r="1821" spans="1:11" ht="42" customHeight="1">
      <c r="A1821" s="2" t="s">
        <v>4450</v>
      </c>
      <c r="B1821" s="2" t="s">
        <v>4450</v>
      </c>
      <c r="C1821" s="2" t="s">
        <v>17</v>
      </c>
      <c r="D1821" s="2" t="s">
        <v>18</v>
      </c>
      <c r="E1821" s="5">
        <v>-30515</v>
      </c>
      <c r="F1821" s="3" t="s">
        <v>2452</v>
      </c>
      <c r="G1821" s="3" t="s">
        <v>2453</v>
      </c>
      <c r="H1821" s="2" t="s">
        <v>21</v>
      </c>
      <c r="I1821" s="2" t="s">
        <v>4455</v>
      </c>
      <c r="J1821" s="3" t="str">
        <f>HYPERLINK("https://www.boe.es/gazeta/dias/1816/06/13/pdfs/GMD-1816-74.pdf#page=7","Abrir facsímil")</f>
        <v>Abrir facsímil</v>
      </c>
      <c r="K1821" s="3" t="s">
        <v>23</v>
      </c>
    </row>
    <row r="1822" spans="1:11" ht="42" customHeight="1">
      <c r="A1822" s="2" t="s">
        <v>4450</v>
      </c>
      <c r="B1822" s="2" t="s">
        <v>4450</v>
      </c>
      <c r="C1822" s="2" t="s">
        <v>111</v>
      </c>
      <c r="D1822" s="2" t="s">
        <v>112</v>
      </c>
      <c r="E1822" s="5">
        <v>-30412</v>
      </c>
      <c r="F1822" s="3" t="s">
        <v>388</v>
      </c>
      <c r="G1822" s="3" t="s">
        <v>72</v>
      </c>
      <c r="H1822" s="2" t="s">
        <v>21</v>
      </c>
      <c r="I1822" s="2" t="s">
        <v>4456</v>
      </c>
      <c r="J1822" s="3" t="str">
        <f>HYPERLINK("https://www.boe.es/gazeta/dias/1816/09/24/pdfs/GMD-1816-118.pdf#page=7","Abrir facsímil")</f>
        <v>Abrir facsímil</v>
      </c>
      <c r="K1822" s="3" t="s">
        <v>23</v>
      </c>
    </row>
    <row r="1823" spans="1:11" ht="42" customHeight="1">
      <c r="A1823" s="2" t="s">
        <v>4457</v>
      </c>
      <c r="B1823" s="2" t="s">
        <v>4457</v>
      </c>
      <c r="C1823" s="2" t="s">
        <v>34</v>
      </c>
      <c r="D1823" s="2" t="s">
        <v>35</v>
      </c>
      <c r="E1823" s="5">
        <v>-30366</v>
      </c>
      <c r="F1823" s="3" t="s">
        <v>179</v>
      </c>
      <c r="G1823" s="3" t="s">
        <v>103</v>
      </c>
      <c r="H1823" s="2" t="s">
        <v>21</v>
      </c>
      <c r="I1823" s="2" t="s">
        <v>4458</v>
      </c>
      <c r="J1823" s="3" t="str">
        <f>HYPERLINK("https://www.boe.es/gazeta/dias/1816/11/09/pdfs/GMD-1816-140.pdf#page=4","Abrir facsímil")</f>
        <v>Abrir facsímil</v>
      </c>
      <c r="K1823" s="3" t="s">
        <v>23</v>
      </c>
    </row>
    <row r="1824" spans="1:11" ht="42" customHeight="1">
      <c r="A1824" s="2" t="s">
        <v>4459</v>
      </c>
      <c r="B1824" s="2" t="s">
        <v>4459</v>
      </c>
      <c r="C1824" s="2" t="s">
        <v>34</v>
      </c>
      <c r="D1824" s="2" t="s">
        <v>35</v>
      </c>
      <c r="E1824" s="5">
        <v>-30359</v>
      </c>
      <c r="F1824" s="3" t="s">
        <v>812</v>
      </c>
      <c r="G1824" s="3" t="s">
        <v>184</v>
      </c>
      <c r="H1824" s="2" t="s">
        <v>21</v>
      </c>
      <c r="I1824" s="2" t="s">
        <v>4460</v>
      </c>
      <c r="J1824" s="3" t="str">
        <f>HYPERLINK("https://www.boe.es/gazeta/dias/1816/11/16/pdfs/GMD-1816-143.pdf#page=3","Abrir facsímil")</f>
        <v>Abrir facsímil</v>
      </c>
      <c r="K1824" s="3" t="s">
        <v>23</v>
      </c>
    </row>
    <row r="1825" spans="1:11" ht="42" customHeight="1">
      <c r="A1825" s="2" t="s">
        <v>4461</v>
      </c>
      <c r="B1825" s="2" t="s">
        <v>4462</v>
      </c>
      <c r="C1825" s="2" t="s">
        <v>41</v>
      </c>
      <c r="D1825" s="2" t="s">
        <v>18</v>
      </c>
      <c r="E1825" s="5">
        <v>-30321</v>
      </c>
      <c r="F1825" s="3" t="s">
        <v>1086</v>
      </c>
      <c r="G1825" s="3" t="s">
        <v>1100</v>
      </c>
      <c r="H1825" s="2" t="s">
        <v>21</v>
      </c>
      <c r="I1825" s="2" t="s">
        <v>4463</v>
      </c>
      <c r="J1825" s="3" t="str">
        <f>HYPERLINK("https://www.boe.es/gazeta/dias/1816/12/24/pdfs/GMD-1816-159.pdf#page=8","Abrir facsímil")</f>
        <v>Abrir facsímil</v>
      </c>
      <c r="K1825" s="3" t="s">
        <v>23</v>
      </c>
    </row>
    <row r="1826" spans="1:11" ht="42" customHeight="1">
      <c r="A1826" s="2" t="s">
        <v>4464</v>
      </c>
      <c r="B1826" s="2" t="s">
        <v>4465</v>
      </c>
      <c r="C1826" s="2" t="s">
        <v>34</v>
      </c>
      <c r="D1826" s="2" t="s">
        <v>35</v>
      </c>
      <c r="E1826" s="5">
        <v>-30662</v>
      </c>
      <c r="F1826" s="3" t="s">
        <v>485</v>
      </c>
      <c r="G1826" s="3" t="s">
        <v>72</v>
      </c>
      <c r="H1826" s="2" t="s">
        <v>29</v>
      </c>
      <c r="I1826" s="2" t="s">
        <v>4466</v>
      </c>
      <c r="J1826" s="3" t="str">
        <f>HYPERLINK("https://www.boe.es/gazeta/dias/1816/01/18/pdfs/GMD-1816-8.pdf#page=7","Abrir facsímil")</f>
        <v>Abrir facsímil</v>
      </c>
      <c r="K1826" s="3" t="s">
        <v>31</v>
      </c>
    </row>
    <row r="1827" spans="1:11" ht="42" customHeight="1">
      <c r="A1827" s="2" t="s">
        <v>4467</v>
      </c>
      <c r="B1827" s="2" t="s">
        <v>4467</v>
      </c>
      <c r="C1827" s="2" t="s">
        <v>111</v>
      </c>
      <c r="D1827" s="2" t="s">
        <v>112</v>
      </c>
      <c r="E1827" s="5">
        <v>-30398</v>
      </c>
      <c r="F1827" s="3" t="s">
        <v>447</v>
      </c>
      <c r="G1827" s="3" t="s">
        <v>270</v>
      </c>
      <c r="H1827" s="2" t="s">
        <v>21</v>
      </c>
      <c r="I1827" s="2" t="s">
        <v>4468</v>
      </c>
      <c r="J1827" s="3" t="str">
        <f>HYPERLINK("https://www.boe.es/gazeta/dias/1816/10/08/pdfs/GMD-1816-125.pdf#page=2","Abrir facsímil")</f>
        <v>Abrir facsímil</v>
      </c>
      <c r="K1827" s="3" t="s">
        <v>23</v>
      </c>
    </row>
    <row r="1828" spans="1:11" ht="42" customHeight="1">
      <c r="A1828" s="2" t="s">
        <v>4469</v>
      </c>
      <c r="B1828" s="2" t="s">
        <v>4469</v>
      </c>
      <c r="C1828" s="2" t="s">
        <v>41</v>
      </c>
      <c r="D1828" s="2" t="s">
        <v>18</v>
      </c>
      <c r="E1828" s="5">
        <v>-30501</v>
      </c>
      <c r="F1828" s="3" t="s">
        <v>475</v>
      </c>
      <c r="G1828" s="3" t="s">
        <v>3873</v>
      </c>
      <c r="H1828" s="2" t="s">
        <v>21</v>
      </c>
      <c r="I1828" s="2" t="s">
        <v>4470</v>
      </c>
      <c r="J1828" s="3" t="str">
        <f>HYPERLINK("https://www.boe.es/gazeta/dias/1816/06/27/pdfs/GMD-1816-80.pdf#page=2","Abrir facsímil")</f>
        <v>Abrir facsímil</v>
      </c>
      <c r="K1828" s="3" t="s">
        <v>23</v>
      </c>
    </row>
    <row r="1829" spans="1:11" ht="42" customHeight="1">
      <c r="A1829" s="2" t="s">
        <v>4471</v>
      </c>
      <c r="B1829" s="2" t="s">
        <v>4471</v>
      </c>
      <c r="C1829" s="2" t="s">
        <v>111</v>
      </c>
      <c r="D1829" s="2" t="s">
        <v>112</v>
      </c>
      <c r="E1829" s="5">
        <v>-30354</v>
      </c>
      <c r="F1829" s="3" t="s">
        <v>68</v>
      </c>
      <c r="G1829" s="3" t="s">
        <v>184</v>
      </c>
      <c r="H1829" s="2" t="s">
        <v>21</v>
      </c>
      <c r="I1829" s="2" t="s">
        <v>4472</v>
      </c>
      <c r="J1829" s="3" t="str">
        <f>HYPERLINK("https://www.boe.es/gazeta/dias/1816/11/21/pdfs/GMD-1816-145.pdf#page=3","Abrir facsímil")</f>
        <v>Abrir facsímil</v>
      </c>
      <c r="K1829" s="3" t="s">
        <v>23</v>
      </c>
    </row>
    <row r="1830" spans="1:11" ht="42" customHeight="1">
      <c r="A1830" s="2" t="s">
        <v>4473</v>
      </c>
      <c r="B1830" s="2" t="s">
        <v>4474</v>
      </c>
      <c r="C1830" s="2" t="s">
        <v>26</v>
      </c>
      <c r="D1830" s="2" t="s">
        <v>18</v>
      </c>
      <c r="E1830" s="5">
        <v>-30508</v>
      </c>
      <c r="F1830" s="3" t="s">
        <v>36</v>
      </c>
      <c r="G1830" s="3" t="s">
        <v>42</v>
      </c>
      <c r="H1830" s="2" t="s">
        <v>29</v>
      </c>
      <c r="I1830" s="2" t="s">
        <v>4475</v>
      </c>
      <c r="J1830" s="3" t="str">
        <f>HYPERLINK("https://www.boe.es/gazeta/dias/1816/06/20/pdfs/GMD-1816-77.pdf#page=8","Abrir facsímil")</f>
        <v>Abrir facsímil</v>
      </c>
      <c r="K1830" s="3" t="s">
        <v>31</v>
      </c>
    </row>
    <row r="1831" spans="1:11" ht="42" customHeight="1">
      <c r="A1831" s="2" t="s">
        <v>4476</v>
      </c>
      <c r="B1831" s="2" t="s">
        <v>4477</v>
      </c>
      <c r="C1831" s="2" t="s">
        <v>26</v>
      </c>
      <c r="D1831" s="2" t="s">
        <v>18</v>
      </c>
      <c r="E1831" s="5">
        <v>-30496</v>
      </c>
      <c r="F1831" s="3" t="s">
        <v>290</v>
      </c>
      <c r="G1831" s="3" t="s">
        <v>673</v>
      </c>
      <c r="H1831" s="2" t="s">
        <v>21</v>
      </c>
      <c r="I1831" s="2" t="s">
        <v>4478</v>
      </c>
      <c r="J1831" s="3" t="str">
        <f>HYPERLINK("https://www.boe.es/gazeta/dias/1816/07/02/pdfs/GMD-1816-82.pdf#page=4","Abrir facsímil")</f>
        <v>Abrir facsímil</v>
      </c>
      <c r="K1831" s="3" t="s">
        <v>23</v>
      </c>
    </row>
    <row r="1832" spans="1:11" ht="42" customHeight="1">
      <c r="A1832" s="2" t="s">
        <v>4479</v>
      </c>
      <c r="B1832" s="2" t="s">
        <v>4480</v>
      </c>
      <c r="C1832" s="2" t="s">
        <v>67</v>
      </c>
      <c r="D1832" s="2" t="s">
        <v>18</v>
      </c>
      <c r="E1832" s="5">
        <v>-30545</v>
      </c>
      <c r="F1832" s="3" t="s">
        <v>127</v>
      </c>
      <c r="G1832" s="3" t="s">
        <v>42</v>
      </c>
      <c r="H1832" s="2" t="s">
        <v>21</v>
      </c>
      <c r="I1832" s="2" t="s">
        <v>4481</v>
      </c>
      <c r="J1832" s="3" t="str">
        <f>HYPERLINK("https://www.boe.es/gazeta/dias/1816/05/14/pdfs/GMD-1816-61.pdf#page=8","Abrir facsímil")</f>
        <v>Abrir facsímil</v>
      </c>
      <c r="K1832" s="3" t="s">
        <v>23</v>
      </c>
    </row>
    <row r="1833" spans="1:11" ht="42" customHeight="1">
      <c r="A1833" s="2" t="s">
        <v>4482</v>
      </c>
      <c r="B1833" s="2" t="s">
        <v>4483</v>
      </c>
      <c r="C1833" s="2" t="s">
        <v>34</v>
      </c>
      <c r="D1833" s="2" t="s">
        <v>35</v>
      </c>
      <c r="E1833" s="5">
        <v>-30599</v>
      </c>
      <c r="F1833" s="3" t="s">
        <v>552</v>
      </c>
      <c r="G1833" s="3" t="s">
        <v>103</v>
      </c>
      <c r="H1833" s="2" t="s">
        <v>21</v>
      </c>
      <c r="I1833" s="2" t="s">
        <v>4484</v>
      </c>
      <c r="J1833" s="3" t="str">
        <f>HYPERLINK("https://www.boe.es/gazeta/dias/1816/03/21/pdfs/GMD-1816-38.pdf#page=4","Abrir facsímil")</f>
        <v>Abrir facsímil</v>
      </c>
      <c r="K1833" s="3" t="s">
        <v>23</v>
      </c>
    </row>
    <row r="1834" spans="1:11" ht="42" customHeight="1">
      <c r="A1834" s="2" t="s">
        <v>4485</v>
      </c>
      <c r="B1834" s="2" t="s">
        <v>4486</v>
      </c>
      <c r="C1834" s="2" t="s">
        <v>26</v>
      </c>
      <c r="D1834" s="2" t="s">
        <v>56</v>
      </c>
      <c r="E1834" s="5">
        <v>-30393</v>
      </c>
      <c r="F1834" s="3" t="s">
        <v>202</v>
      </c>
      <c r="G1834" s="3" t="s">
        <v>47</v>
      </c>
      <c r="H1834" s="2" t="s">
        <v>21</v>
      </c>
      <c r="I1834" s="2" t="s">
        <v>4487</v>
      </c>
      <c r="J1834" s="3" t="str">
        <f>HYPERLINK("https://www.boe.es/gazeta/dias/1816/10/13/pdfs/GMD-1816-128E.pdf#page=5","Abrir facsímil")</f>
        <v>Abrir facsímil</v>
      </c>
      <c r="K1834" s="3" t="s">
        <v>23</v>
      </c>
    </row>
    <row r="1835" spans="1:11" ht="42" customHeight="1">
      <c r="A1835" s="2" t="s">
        <v>4488</v>
      </c>
      <c r="B1835" s="2" t="s">
        <v>4488</v>
      </c>
      <c r="C1835" s="2" t="s">
        <v>387</v>
      </c>
      <c r="D1835" s="2" t="s">
        <v>18</v>
      </c>
      <c r="E1835" s="5">
        <v>-30508</v>
      </c>
      <c r="F1835" s="3" t="s">
        <v>36</v>
      </c>
      <c r="G1835" s="3" t="s">
        <v>270</v>
      </c>
      <c r="H1835" s="2" t="s">
        <v>21</v>
      </c>
      <c r="I1835" s="2" t="s">
        <v>4489</v>
      </c>
      <c r="J1835" s="3" t="str">
        <f>HYPERLINK("https://www.boe.es/gazeta/dias/1816/06/20/pdfs/GMD-1816-77.pdf#page=2","Abrir facsímil")</f>
        <v>Abrir facsímil</v>
      </c>
      <c r="K1835" s="3" t="s">
        <v>23</v>
      </c>
    </row>
    <row r="1836" spans="1:11" ht="42" customHeight="1">
      <c r="A1836" s="2" t="s">
        <v>4490</v>
      </c>
      <c r="B1836" s="2" t="s">
        <v>4490</v>
      </c>
      <c r="C1836" s="2" t="s">
        <v>111</v>
      </c>
      <c r="D1836" s="2" t="s">
        <v>112</v>
      </c>
      <c r="E1836" s="5">
        <v>-30573</v>
      </c>
      <c r="F1836" s="3" t="s">
        <v>840</v>
      </c>
      <c r="G1836" s="3" t="s">
        <v>184</v>
      </c>
      <c r="H1836" s="2" t="s">
        <v>21</v>
      </c>
      <c r="I1836" s="2" t="s">
        <v>4491</v>
      </c>
      <c r="J1836" s="3" t="str">
        <f>HYPERLINK("https://www.boe.es/gazeta/dias/1816/04/16/pdfs/GMD-1816-49.pdf#page=3","Abrir facsímil")</f>
        <v>Abrir facsímil</v>
      </c>
      <c r="K1836" s="3" t="s">
        <v>23</v>
      </c>
    </row>
    <row r="1837" spans="1:11" ht="42" customHeight="1">
      <c r="A1837" s="2" t="s">
        <v>4492</v>
      </c>
      <c r="B1837" s="2" t="s">
        <v>4493</v>
      </c>
      <c r="C1837" s="2" t="s">
        <v>111</v>
      </c>
      <c r="D1837" s="2" t="s">
        <v>112</v>
      </c>
      <c r="E1837" s="5">
        <v>-30415</v>
      </c>
      <c r="F1837" s="3" t="s">
        <v>585</v>
      </c>
      <c r="G1837" s="3" t="s">
        <v>42</v>
      </c>
      <c r="H1837" s="2" t="s">
        <v>21</v>
      </c>
      <c r="I1837" s="2" t="s">
        <v>4494</v>
      </c>
      <c r="J1837" s="3" t="str">
        <f>HYPERLINK("https://www.boe.es/gazeta/dias/1816/09/21/pdfs/GMD-1816-117.pdf#page=8","Abrir facsímil")</f>
        <v>Abrir facsímil</v>
      </c>
      <c r="K1837" s="3" t="s">
        <v>23</v>
      </c>
    </row>
    <row r="1838" spans="1:11" ht="42" customHeight="1">
      <c r="A1838" s="2" t="s">
        <v>4495</v>
      </c>
      <c r="B1838" s="2" t="s">
        <v>4496</v>
      </c>
      <c r="C1838" s="2" t="s">
        <v>111</v>
      </c>
      <c r="D1838" s="2" t="s">
        <v>112</v>
      </c>
      <c r="E1838" s="5">
        <v>-30377</v>
      </c>
      <c r="F1838" s="3" t="s">
        <v>138</v>
      </c>
      <c r="G1838" s="3" t="s">
        <v>42</v>
      </c>
      <c r="H1838" s="2" t="s">
        <v>21</v>
      </c>
      <c r="I1838" s="2" t="s">
        <v>4497</v>
      </c>
      <c r="J1838" s="3" t="str">
        <f>HYPERLINK("https://www.boe.es/gazeta/dias/1816/10/29/pdfs/GMD-1816-135.pdf#page=8","Abrir facsímil")</f>
        <v>Abrir facsímil</v>
      </c>
      <c r="K1838" s="3" t="s">
        <v>23</v>
      </c>
    </row>
    <row r="1839" spans="1:11" ht="42" customHeight="1">
      <c r="A1839" s="2" t="s">
        <v>4498</v>
      </c>
      <c r="B1839" s="2" t="s">
        <v>4499</v>
      </c>
      <c r="C1839" s="2" t="s">
        <v>34</v>
      </c>
      <c r="D1839" s="2" t="s">
        <v>35</v>
      </c>
      <c r="E1839" s="5">
        <v>-30405</v>
      </c>
      <c r="F1839" s="3" t="s">
        <v>587</v>
      </c>
      <c r="G1839" s="3" t="s">
        <v>103</v>
      </c>
      <c r="H1839" s="2" t="s">
        <v>21</v>
      </c>
      <c r="I1839" s="2" t="s">
        <v>4500</v>
      </c>
      <c r="J1839" s="3" t="str">
        <f>HYPERLINK("https://www.boe.es/gazeta/dias/1816/10/01/pdfs/GMD-1816-121.pdf#page=4","Abrir facsímil")</f>
        <v>Abrir facsímil</v>
      </c>
      <c r="K1839" s="3" t="s">
        <v>23</v>
      </c>
    </row>
    <row r="1840" spans="1:11" ht="42" customHeight="1">
      <c r="A1840" s="2" t="s">
        <v>4501</v>
      </c>
      <c r="B1840" s="2" t="s">
        <v>4502</v>
      </c>
      <c r="C1840" s="2" t="s">
        <v>34</v>
      </c>
      <c r="D1840" s="2" t="s">
        <v>35</v>
      </c>
      <c r="E1840" s="5">
        <v>-30478</v>
      </c>
      <c r="F1840" s="3" t="s">
        <v>123</v>
      </c>
      <c r="G1840" s="3" t="s">
        <v>42</v>
      </c>
      <c r="H1840" s="2" t="s">
        <v>21</v>
      </c>
      <c r="I1840" s="2" t="s">
        <v>4503</v>
      </c>
      <c r="J1840" s="3" t="str">
        <f>HYPERLINK("https://www.boe.es/gazeta/dias/1816/07/20/pdfs/GMD-1816-90.pdf#page=8","Abrir facsímil")</f>
        <v>Abrir facsímil</v>
      </c>
      <c r="K1840" s="3" t="s">
        <v>23</v>
      </c>
    </row>
    <row r="1841" spans="1:11" ht="42" customHeight="1">
      <c r="A1841" s="2" t="s">
        <v>4504</v>
      </c>
      <c r="B1841" s="2" t="s">
        <v>4504</v>
      </c>
      <c r="C1841" s="2" t="s">
        <v>111</v>
      </c>
      <c r="D1841" s="2" t="s">
        <v>112</v>
      </c>
      <c r="E1841" s="5">
        <v>-30583</v>
      </c>
      <c r="F1841" s="3" t="s">
        <v>241</v>
      </c>
      <c r="G1841" s="3" t="s">
        <v>58</v>
      </c>
      <c r="H1841" s="2" t="s">
        <v>21</v>
      </c>
      <c r="I1841" s="2" t="s">
        <v>4505</v>
      </c>
      <c r="J1841" s="3" t="str">
        <f>HYPERLINK("https://www.boe.es/gazeta/dias/1816/04/06/pdfs/GMD-1816-45.pdf#page=1","Abrir facsímil")</f>
        <v>Abrir facsímil</v>
      </c>
      <c r="K1841" s="3" t="s">
        <v>23</v>
      </c>
    </row>
    <row r="1842" spans="1:11" ht="42" customHeight="1">
      <c r="A1842" s="2" t="s">
        <v>4506</v>
      </c>
      <c r="B1842" s="2" t="s">
        <v>4506</v>
      </c>
      <c r="C1842" s="2" t="s">
        <v>67</v>
      </c>
      <c r="D1842" s="2" t="s">
        <v>18</v>
      </c>
      <c r="E1842" s="5">
        <v>-30585</v>
      </c>
      <c r="F1842" s="3" t="s">
        <v>633</v>
      </c>
      <c r="G1842" s="3" t="s">
        <v>42</v>
      </c>
      <c r="H1842" s="2" t="s">
        <v>21</v>
      </c>
      <c r="I1842" s="2" t="s">
        <v>4507</v>
      </c>
      <c r="J1842" s="3" t="str">
        <f>HYPERLINK("https://www.boe.es/gazeta/dias/1816/04/04/pdfs/GMD-1816-44.pdf#page=8","Abrir facsímil")</f>
        <v>Abrir facsímil</v>
      </c>
      <c r="K1842" s="3" t="s">
        <v>23</v>
      </c>
    </row>
    <row r="1843" spans="1:11" ht="42" customHeight="1">
      <c r="A1843" s="2" t="s">
        <v>4506</v>
      </c>
      <c r="B1843" s="2" t="s">
        <v>4506</v>
      </c>
      <c r="C1843" s="2" t="s">
        <v>26</v>
      </c>
      <c r="D1843" s="2" t="s">
        <v>18</v>
      </c>
      <c r="E1843" s="5">
        <v>-30578</v>
      </c>
      <c r="F1843" s="3" t="s">
        <v>91</v>
      </c>
      <c r="G1843" s="3" t="s">
        <v>3063</v>
      </c>
      <c r="H1843" s="2" t="s">
        <v>21</v>
      </c>
      <c r="I1843" s="2" t="s">
        <v>4508</v>
      </c>
      <c r="J1843" s="3" t="str">
        <f>HYPERLINK("https://www.boe.es/gazeta/dias/1816/04/11/pdfs/GMD-1816-47.pdf#page=5","Abrir facsímil")</f>
        <v>Abrir facsímil</v>
      </c>
      <c r="K1843" s="3" t="s">
        <v>23</v>
      </c>
    </row>
    <row r="1844" spans="1:11" ht="42" customHeight="1">
      <c r="A1844" s="2" t="s">
        <v>4506</v>
      </c>
      <c r="B1844" s="2" t="s">
        <v>4506</v>
      </c>
      <c r="C1844" s="2" t="s">
        <v>81</v>
      </c>
      <c r="D1844" s="2" t="s">
        <v>18</v>
      </c>
      <c r="E1844" s="5">
        <v>-30578</v>
      </c>
      <c r="F1844" s="3" t="s">
        <v>91</v>
      </c>
      <c r="G1844" s="3" t="s">
        <v>286</v>
      </c>
      <c r="H1844" s="2" t="s">
        <v>21</v>
      </c>
      <c r="I1844" s="2" t="s">
        <v>4509</v>
      </c>
      <c r="J1844" s="3" t="str">
        <f>HYPERLINK("https://www.boe.es/gazeta/dias/1816/04/11/pdfs/GMD-1816-47.pdf#page=11","Abrir facsímil")</f>
        <v>Abrir facsímil</v>
      </c>
      <c r="K1844" s="3" t="s">
        <v>23</v>
      </c>
    </row>
    <row r="1845" spans="1:11" ht="42" customHeight="1">
      <c r="A1845" s="2" t="s">
        <v>4506</v>
      </c>
      <c r="B1845" s="2" t="s">
        <v>4506</v>
      </c>
      <c r="C1845" s="2" t="s">
        <v>111</v>
      </c>
      <c r="D1845" s="2" t="s">
        <v>112</v>
      </c>
      <c r="E1845" s="5">
        <v>-30576</v>
      </c>
      <c r="F1845" s="3" t="s">
        <v>353</v>
      </c>
      <c r="G1845" s="3" t="s">
        <v>42</v>
      </c>
      <c r="H1845" s="2" t="s">
        <v>21</v>
      </c>
      <c r="I1845" s="2" t="s">
        <v>4510</v>
      </c>
      <c r="J1845" s="3" t="str">
        <f>HYPERLINK("https://www.boe.es/gazeta/dias/1816/04/13/pdfs/GMD-1816-48.pdf#page=8","Abrir facsímil")</f>
        <v>Abrir facsímil</v>
      </c>
      <c r="K1845" s="3" t="s">
        <v>23</v>
      </c>
    </row>
    <row r="1846" spans="1:11" ht="42" customHeight="1">
      <c r="A1846" s="2" t="s">
        <v>4506</v>
      </c>
      <c r="B1846" s="2" t="s">
        <v>4506</v>
      </c>
      <c r="C1846" s="2" t="s">
        <v>111</v>
      </c>
      <c r="D1846" s="2" t="s">
        <v>112</v>
      </c>
      <c r="E1846" s="5">
        <v>-30482</v>
      </c>
      <c r="F1846" s="3" t="s">
        <v>370</v>
      </c>
      <c r="G1846" s="3" t="s">
        <v>52</v>
      </c>
      <c r="H1846" s="2" t="s">
        <v>21</v>
      </c>
      <c r="I1846" s="2" t="s">
        <v>4511</v>
      </c>
      <c r="J1846" s="3" t="str">
        <f>HYPERLINK("https://www.boe.es/gazeta/dias/1816/07/16/pdfs/GMD-1816-88.pdf#page=12","Abrir facsímil")</f>
        <v>Abrir facsímil</v>
      </c>
      <c r="K1846" s="3" t="s">
        <v>23</v>
      </c>
    </row>
    <row r="1847" spans="1:11" ht="42" customHeight="1">
      <c r="A1847" s="2" t="s">
        <v>4506</v>
      </c>
      <c r="B1847" s="2" t="s">
        <v>4506</v>
      </c>
      <c r="C1847" s="2" t="s">
        <v>67</v>
      </c>
      <c r="D1847" s="2" t="s">
        <v>18</v>
      </c>
      <c r="E1847" s="5">
        <v>-30433</v>
      </c>
      <c r="F1847" s="3" t="s">
        <v>954</v>
      </c>
      <c r="G1847" s="3" t="s">
        <v>955</v>
      </c>
      <c r="H1847" s="2" t="s">
        <v>21</v>
      </c>
      <c r="I1847" s="2" t="s">
        <v>4512</v>
      </c>
      <c r="J1847" s="3" t="str">
        <f>HYPERLINK("https://www.boe.es/gazeta/dias/1816/09/03/pdfs/GMD-1816-109.pdf#page=7","Abrir facsímil")</f>
        <v>Abrir facsímil</v>
      </c>
      <c r="K1847" s="3" t="s">
        <v>23</v>
      </c>
    </row>
    <row r="1848" spans="1:11" ht="42" customHeight="1">
      <c r="A1848" s="2" t="s">
        <v>4513</v>
      </c>
      <c r="B1848" s="2" t="s">
        <v>4514</v>
      </c>
      <c r="C1848" s="2" t="s">
        <v>26</v>
      </c>
      <c r="D1848" s="2" t="s">
        <v>18</v>
      </c>
      <c r="E1848" s="5">
        <v>-30431</v>
      </c>
      <c r="F1848" s="3" t="s">
        <v>756</v>
      </c>
      <c r="G1848" s="3" t="s">
        <v>47</v>
      </c>
      <c r="H1848" s="2" t="s">
        <v>21</v>
      </c>
      <c r="I1848" s="2" t="s">
        <v>4515</v>
      </c>
      <c r="J1848" s="3" t="str">
        <f>HYPERLINK("https://www.boe.es/gazeta/dias/1816/09/05/pdfs/GMD-1816-110.pdf#page=5","Abrir facsímil")</f>
        <v>Abrir facsímil</v>
      </c>
      <c r="K1848" s="3" t="s">
        <v>23</v>
      </c>
    </row>
    <row r="1849" spans="1:11" ht="42" customHeight="1">
      <c r="A1849" s="2" t="s">
        <v>4516</v>
      </c>
      <c r="B1849" s="2" t="s">
        <v>4517</v>
      </c>
      <c r="C1849" s="2" t="s">
        <v>34</v>
      </c>
      <c r="D1849" s="2" t="s">
        <v>35</v>
      </c>
      <c r="E1849" s="5">
        <v>-30587</v>
      </c>
      <c r="F1849" s="3" t="s">
        <v>341</v>
      </c>
      <c r="G1849" s="3" t="s">
        <v>42</v>
      </c>
      <c r="H1849" s="2" t="s">
        <v>21</v>
      </c>
      <c r="I1849" s="2" t="s">
        <v>4518</v>
      </c>
      <c r="J1849" s="3" t="str">
        <f>HYPERLINK("https://www.boe.es/gazeta/dias/1816/04/02/pdfs/GMD-1816-43.pdf#page=8","Abrir facsímil")</f>
        <v>Abrir facsímil</v>
      </c>
      <c r="K1849" s="3" t="s">
        <v>23</v>
      </c>
    </row>
    <row r="1850" spans="1:11" ht="42" customHeight="1">
      <c r="A1850" s="2" t="s">
        <v>4519</v>
      </c>
      <c r="B1850" s="2" t="s">
        <v>4520</v>
      </c>
      <c r="C1850" s="2" t="s">
        <v>34</v>
      </c>
      <c r="D1850" s="2" t="s">
        <v>35</v>
      </c>
      <c r="E1850" s="5">
        <v>-30317</v>
      </c>
      <c r="F1850" s="3" t="s">
        <v>1030</v>
      </c>
      <c r="G1850" s="3" t="s">
        <v>4521</v>
      </c>
      <c r="H1850" s="2" t="s">
        <v>21</v>
      </c>
      <c r="I1850" s="2" t="s">
        <v>4522</v>
      </c>
      <c r="J1850" s="3" t="str">
        <f>HYPERLINK("https://www.boe.es/gazeta/dias/1816/12/28/pdfs/GMD-1816-161.pdf#page=4","Abrir facsímil")</f>
        <v>Abrir facsímil</v>
      </c>
      <c r="K1850" s="3" t="s">
        <v>23</v>
      </c>
    </row>
    <row r="1851" spans="1:11" ht="42" customHeight="1">
      <c r="A1851" s="2" t="s">
        <v>4523</v>
      </c>
      <c r="B1851" s="2" t="s">
        <v>4524</v>
      </c>
      <c r="C1851" s="2" t="s">
        <v>111</v>
      </c>
      <c r="D1851" s="2" t="s">
        <v>112</v>
      </c>
      <c r="E1851" s="5">
        <v>-30541</v>
      </c>
      <c r="F1851" s="3" t="s">
        <v>96</v>
      </c>
      <c r="G1851" s="3" t="s">
        <v>42</v>
      </c>
      <c r="H1851" s="2" t="s">
        <v>21</v>
      </c>
      <c r="I1851" s="2" t="s">
        <v>4525</v>
      </c>
      <c r="J1851" s="3" t="str">
        <f>HYPERLINK("https://www.boe.es/gazeta/dias/1816/05/18/pdfs/GMD-1816-63.pdf#page=8","Abrir facsímil")</f>
        <v>Abrir facsímil</v>
      </c>
      <c r="K1851" s="3" t="s">
        <v>23</v>
      </c>
    </row>
    <row r="1852" spans="1:11" ht="42" customHeight="1">
      <c r="A1852" s="2" t="s">
        <v>4526</v>
      </c>
      <c r="B1852" s="2" t="s">
        <v>4526</v>
      </c>
      <c r="C1852" s="2" t="s">
        <v>34</v>
      </c>
      <c r="D1852" s="2" t="s">
        <v>35</v>
      </c>
      <c r="E1852" s="5">
        <v>-30618</v>
      </c>
      <c r="F1852" s="3" t="s">
        <v>207</v>
      </c>
      <c r="G1852" s="3" t="s">
        <v>687</v>
      </c>
      <c r="H1852" s="2" t="s">
        <v>21</v>
      </c>
      <c r="I1852" s="2" t="s">
        <v>4527</v>
      </c>
      <c r="J1852" s="3" t="str">
        <f>HYPERLINK("https://www.boe.es/gazeta/dias/1816/03/02/pdfs/GMD-1816-29.pdf#page=4","Abrir facsímil")</f>
        <v>Abrir facsímil</v>
      </c>
      <c r="K1852" s="3" t="s">
        <v>23</v>
      </c>
    </row>
    <row r="1853" spans="1:11" ht="42" customHeight="1">
      <c r="A1853" s="2" t="s">
        <v>4526</v>
      </c>
      <c r="B1853" s="2" t="s">
        <v>4526</v>
      </c>
      <c r="C1853" s="2" t="s">
        <v>111</v>
      </c>
      <c r="D1853" s="2" t="s">
        <v>112</v>
      </c>
      <c r="E1853" s="5">
        <v>-30613</v>
      </c>
      <c r="F1853" s="3" t="s">
        <v>392</v>
      </c>
      <c r="G1853" s="3" t="s">
        <v>1395</v>
      </c>
      <c r="H1853" s="2" t="s">
        <v>21</v>
      </c>
      <c r="I1853" s="2" t="s">
        <v>4528</v>
      </c>
      <c r="J1853" s="3" t="str">
        <f>HYPERLINK("https://www.boe.es/gazeta/dias/1816/03/07/pdfs/GMD-1816-31.pdf#page=8","Abrir facsímil")</f>
        <v>Abrir facsímil</v>
      </c>
      <c r="K1853" s="3" t="s">
        <v>23</v>
      </c>
    </row>
    <row r="1854" spans="1:11" ht="42" customHeight="1">
      <c r="A1854" s="2" t="s">
        <v>4526</v>
      </c>
      <c r="B1854" s="2" t="s">
        <v>4526</v>
      </c>
      <c r="C1854" s="2" t="s">
        <v>34</v>
      </c>
      <c r="D1854" s="2" t="s">
        <v>35</v>
      </c>
      <c r="E1854" s="5">
        <v>-30594</v>
      </c>
      <c r="F1854" s="3" t="s">
        <v>234</v>
      </c>
      <c r="G1854" s="3" t="s">
        <v>72</v>
      </c>
      <c r="H1854" s="2" t="s">
        <v>21</v>
      </c>
      <c r="I1854" s="2" t="s">
        <v>4529</v>
      </c>
      <c r="J1854" s="3" t="str">
        <f>HYPERLINK("https://www.boe.es/gazeta/dias/1816/03/26/pdfs/GMD-1816-40.pdf#page=7","Abrir facsímil")</f>
        <v>Abrir facsímil</v>
      </c>
      <c r="K1854" s="3" t="s">
        <v>23</v>
      </c>
    </row>
    <row r="1855" spans="1:11" ht="42" customHeight="1">
      <c r="A1855" s="2" t="s">
        <v>4526</v>
      </c>
      <c r="B1855" s="2" t="s">
        <v>4526</v>
      </c>
      <c r="C1855" s="2" t="s">
        <v>111</v>
      </c>
      <c r="D1855" s="2" t="s">
        <v>112</v>
      </c>
      <c r="E1855" s="5">
        <v>-30562</v>
      </c>
      <c r="F1855" s="3" t="s">
        <v>1664</v>
      </c>
      <c r="G1855" s="3" t="s">
        <v>3755</v>
      </c>
      <c r="H1855" s="2" t="s">
        <v>21</v>
      </c>
      <c r="I1855" s="2" t="s">
        <v>4530</v>
      </c>
      <c r="J1855" s="3" t="str">
        <f>HYPERLINK("https://www.boe.es/gazeta/dias/1816/04/27/pdfs/GMD-1816-54.pdf#page=4","Abrir facsímil")</f>
        <v>Abrir facsímil</v>
      </c>
      <c r="K1855" s="3" t="s">
        <v>23</v>
      </c>
    </row>
    <row r="1856" spans="1:11" ht="42" customHeight="1">
      <c r="A1856" s="2" t="s">
        <v>4526</v>
      </c>
      <c r="B1856" s="2" t="s">
        <v>4526</v>
      </c>
      <c r="C1856" s="2" t="s">
        <v>34</v>
      </c>
      <c r="D1856" s="2" t="s">
        <v>35</v>
      </c>
      <c r="E1856" s="5">
        <v>-30503</v>
      </c>
      <c r="F1856" s="3" t="s">
        <v>1600</v>
      </c>
      <c r="G1856" s="3" t="s">
        <v>47</v>
      </c>
      <c r="H1856" s="2" t="s">
        <v>21</v>
      </c>
      <c r="I1856" s="2" t="s">
        <v>4531</v>
      </c>
      <c r="J1856" s="3" t="str">
        <f>HYPERLINK("https://www.boe.es/gazeta/dias/1816/06/25/pdfs/GMD-1816-79.pdf#page=5","Abrir facsímil")</f>
        <v>Abrir facsímil</v>
      </c>
      <c r="K1856" s="3" t="s">
        <v>23</v>
      </c>
    </row>
    <row r="1857" spans="1:11" ht="42" customHeight="1">
      <c r="A1857" s="2" t="s">
        <v>4526</v>
      </c>
      <c r="B1857" s="2" t="s">
        <v>4526</v>
      </c>
      <c r="C1857" s="2" t="s">
        <v>67</v>
      </c>
      <c r="D1857" s="2" t="s">
        <v>18</v>
      </c>
      <c r="E1857" s="5">
        <v>-30461</v>
      </c>
      <c r="F1857" s="3" t="s">
        <v>912</v>
      </c>
      <c r="G1857" s="3" t="s">
        <v>1375</v>
      </c>
      <c r="H1857" s="2" t="s">
        <v>21</v>
      </c>
      <c r="I1857" s="2" t="s">
        <v>4532</v>
      </c>
      <c r="J1857" s="3" t="str">
        <f>HYPERLINK("https://www.boe.es/gazeta/dias/1816/08/06/pdfs/GMD-1816-97.pdf#page=6","Abrir facsímil")</f>
        <v>Abrir facsímil</v>
      </c>
      <c r="K1857" s="3" t="s">
        <v>23</v>
      </c>
    </row>
    <row r="1858" spans="1:11" ht="42" customHeight="1">
      <c r="A1858" s="2" t="s">
        <v>4526</v>
      </c>
      <c r="B1858" s="2" t="s">
        <v>4526</v>
      </c>
      <c r="C1858" s="2" t="s">
        <v>26</v>
      </c>
      <c r="D1858" s="2" t="s">
        <v>18</v>
      </c>
      <c r="E1858" s="5">
        <v>-30436</v>
      </c>
      <c r="F1858" s="3" t="s">
        <v>102</v>
      </c>
      <c r="G1858" s="3" t="s">
        <v>184</v>
      </c>
      <c r="H1858" s="2" t="s">
        <v>21</v>
      </c>
      <c r="I1858" s="2" t="s">
        <v>4533</v>
      </c>
      <c r="J1858" s="3" t="str">
        <f>HYPERLINK("https://www.boe.es/gazeta/dias/1816/08/31/pdfs/GMD-1816-108.pdf#page=3","Abrir facsímil")</f>
        <v>Abrir facsímil</v>
      </c>
      <c r="K1858" s="3" t="s">
        <v>23</v>
      </c>
    </row>
    <row r="1859" spans="1:11" ht="42" customHeight="1">
      <c r="A1859" s="2" t="s">
        <v>4526</v>
      </c>
      <c r="B1859" s="2" t="s">
        <v>4526</v>
      </c>
      <c r="C1859" s="2" t="s">
        <v>26</v>
      </c>
      <c r="D1859" s="2" t="s">
        <v>18</v>
      </c>
      <c r="E1859" s="5">
        <v>-30417</v>
      </c>
      <c r="F1859" s="3" t="s">
        <v>62</v>
      </c>
      <c r="G1859" s="3" t="s">
        <v>63</v>
      </c>
      <c r="H1859" s="2" t="s">
        <v>21</v>
      </c>
      <c r="I1859" s="2" t="s">
        <v>4534</v>
      </c>
      <c r="J1859" s="3" t="str">
        <f>HYPERLINK("https://www.boe.es/gazeta/dias/1816/09/19/pdfs/GMD-1816-116.pdf#page=8","Abrir facsímil")</f>
        <v>Abrir facsímil</v>
      </c>
      <c r="K1859" s="3" t="s">
        <v>23</v>
      </c>
    </row>
    <row r="1860" spans="1:11" ht="42" customHeight="1">
      <c r="A1860" s="2" t="s">
        <v>4526</v>
      </c>
      <c r="B1860" s="2" t="s">
        <v>4526</v>
      </c>
      <c r="C1860" s="2" t="s">
        <v>111</v>
      </c>
      <c r="D1860" s="2" t="s">
        <v>112</v>
      </c>
      <c r="E1860" s="5">
        <v>-30398</v>
      </c>
      <c r="F1860" s="3" t="s">
        <v>447</v>
      </c>
      <c r="G1860" s="3" t="s">
        <v>42</v>
      </c>
      <c r="H1860" s="2" t="s">
        <v>21</v>
      </c>
      <c r="I1860" s="2" t="s">
        <v>4535</v>
      </c>
      <c r="J1860" s="3" t="str">
        <f>HYPERLINK("https://www.boe.es/gazeta/dias/1816/10/08/pdfs/GMD-1816-125.pdf#page=8","Abrir facsímil")</f>
        <v>Abrir facsímil</v>
      </c>
      <c r="K1860" s="3" t="s">
        <v>23</v>
      </c>
    </row>
    <row r="1861" spans="1:11" ht="42" customHeight="1">
      <c r="A1861" s="2" t="s">
        <v>4526</v>
      </c>
      <c r="B1861" s="2" t="s">
        <v>4526</v>
      </c>
      <c r="C1861" s="2" t="s">
        <v>26</v>
      </c>
      <c r="D1861" s="2" t="s">
        <v>18</v>
      </c>
      <c r="E1861" s="5">
        <v>-30387</v>
      </c>
      <c r="F1861" s="3" t="s">
        <v>224</v>
      </c>
      <c r="G1861" s="3" t="s">
        <v>28</v>
      </c>
      <c r="H1861" s="2" t="s">
        <v>21</v>
      </c>
      <c r="I1861" s="2" t="s">
        <v>4536</v>
      </c>
      <c r="J1861" s="3" t="str">
        <f>HYPERLINK("https://www.boe.es/gazeta/dias/1816/10/19/pdfs/GMD-1816-131.pdf#page=6","Abrir facsímil")</f>
        <v>Abrir facsímil</v>
      </c>
      <c r="K1861" s="3" t="s">
        <v>23</v>
      </c>
    </row>
    <row r="1862" spans="1:11" ht="42" customHeight="1">
      <c r="A1862" s="2" t="s">
        <v>4526</v>
      </c>
      <c r="B1862" s="2" t="s">
        <v>4526</v>
      </c>
      <c r="C1862" s="2" t="s">
        <v>111</v>
      </c>
      <c r="D1862" s="2" t="s">
        <v>112</v>
      </c>
      <c r="E1862" s="5">
        <v>-30382</v>
      </c>
      <c r="F1862" s="3" t="s">
        <v>326</v>
      </c>
      <c r="G1862" s="3" t="s">
        <v>28</v>
      </c>
      <c r="H1862" s="2" t="s">
        <v>21</v>
      </c>
      <c r="I1862" s="2" t="s">
        <v>4537</v>
      </c>
      <c r="J1862" s="3" t="str">
        <f>HYPERLINK("https://www.boe.es/gazeta/dias/1816/10/24/pdfs/GMD-1816-133.pdf#page=6","Abrir facsímil")</f>
        <v>Abrir facsímil</v>
      </c>
      <c r="K1862" s="3" t="s">
        <v>23</v>
      </c>
    </row>
    <row r="1863" spans="1:11" ht="42" customHeight="1">
      <c r="A1863" s="2" t="s">
        <v>4526</v>
      </c>
      <c r="B1863" s="2" t="s">
        <v>4526</v>
      </c>
      <c r="C1863" s="2" t="s">
        <v>26</v>
      </c>
      <c r="D1863" s="2" t="s">
        <v>18</v>
      </c>
      <c r="E1863" s="5">
        <v>-30368</v>
      </c>
      <c r="F1863" s="3" t="s">
        <v>531</v>
      </c>
      <c r="G1863" s="3" t="s">
        <v>72</v>
      </c>
      <c r="H1863" s="2" t="s">
        <v>21</v>
      </c>
      <c r="I1863" s="2" t="s">
        <v>4538</v>
      </c>
      <c r="J1863" s="3" t="str">
        <f>HYPERLINK("https://www.boe.es/gazeta/dias/1816/11/07/pdfs/GMD-1816-139.pdf#page=7","Abrir facsímil")</f>
        <v>Abrir facsímil</v>
      </c>
      <c r="K1863" s="3" t="s">
        <v>23</v>
      </c>
    </row>
    <row r="1864" spans="1:11" ht="42" customHeight="1">
      <c r="A1864" s="2" t="s">
        <v>4526</v>
      </c>
      <c r="B1864" s="2" t="s">
        <v>4526</v>
      </c>
      <c r="C1864" s="2" t="s">
        <v>34</v>
      </c>
      <c r="D1864" s="2" t="s">
        <v>35</v>
      </c>
      <c r="E1864" s="5">
        <v>-30352</v>
      </c>
      <c r="F1864" s="3" t="s">
        <v>407</v>
      </c>
      <c r="G1864" s="3" t="s">
        <v>42</v>
      </c>
      <c r="H1864" s="2" t="s">
        <v>21</v>
      </c>
      <c r="I1864" s="2" t="s">
        <v>4539</v>
      </c>
      <c r="J1864" s="3" t="str">
        <f>HYPERLINK("https://www.boe.es/gazeta/dias/1816/11/23/pdfs/GMD-1816-146.pdf#page=8","Abrir facsímil")</f>
        <v>Abrir facsímil</v>
      </c>
      <c r="K1864" s="3" t="s">
        <v>23</v>
      </c>
    </row>
    <row r="1865" spans="1:11" ht="42" customHeight="1">
      <c r="A1865" s="2" t="s">
        <v>4540</v>
      </c>
      <c r="B1865" s="2" t="s">
        <v>4541</v>
      </c>
      <c r="C1865" s="2" t="s">
        <v>26</v>
      </c>
      <c r="D1865" s="2" t="s">
        <v>18</v>
      </c>
      <c r="E1865" s="5">
        <v>-30487</v>
      </c>
      <c r="F1865" s="3" t="s">
        <v>397</v>
      </c>
      <c r="G1865" s="3" t="s">
        <v>28</v>
      </c>
      <c r="H1865" s="2" t="s">
        <v>21</v>
      </c>
      <c r="I1865" s="2" t="s">
        <v>4542</v>
      </c>
      <c r="J1865" s="3" t="str">
        <f>HYPERLINK("https://www.boe.es/gazeta/dias/1816/07/11/pdfs/GMD-1816-86.pdf#page=6","Abrir facsímil")</f>
        <v>Abrir facsímil</v>
      </c>
      <c r="K1865" s="3" t="s">
        <v>23</v>
      </c>
    </row>
    <row r="1866" spans="1:11" ht="42" customHeight="1">
      <c r="A1866" s="2" t="s">
        <v>4540</v>
      </c>
      <c r="B1866" s="2" t="s">
        <v>4541</v>
      </c>
      <c r="C1866" s="2" t="s">
        <v>111</v>
      </c>
      <c r="D1866" s="2" t="s">
        <v>112</v>
      </c>
      <c r="E1866" s="5">
        <v>-30380</v>
      </c>
      <c r="F1866" s="3" t="s">
        <v>819</v>
      </c>
      <c r="G1866" s="3" t="s">
        <v>47</v>
      </c>
      <c r="H1866" s="2" t="s">
        <v>21</v>
      </c>
      <c r="I1866" s="2" t="s">
        <v>4543</v>
      </c>
      <c r="J1866" s="3" t="str">
        <f>HYPERLINK("https://www.boe.es/gazeta/dias/1816/10/26/pdfs/GMD-1816-134.pdf#page=5","Abrir facsímil")</f>
        <v>Abrir facsímil</v>
      </c>
      <c r="K1866" s="3" t="s">
        <v>23</v>
      </c>
    </row>
    <row r="1867" spans="1:11" ht="42" customHeight="1">
      <c r="A1867" s="2" t="s">
        <v>4540</v>
      </c>
      <c r="B1867" s="2" t="s">
        <v>4541</v>
      </c>
      <c r="C1867" s="2" t="s">
        <v>111</v>
      </c>
      <c r="D1867" s="2" t="s">
        <v>112</v>
      </c>
      <c r="E1867" s="5">
        <v>-30342</v>
      </c>
      <c r="F1867" s="3" t="s">
        <v>116</v>
      </c>
      <c r="G1867" s="3" t="s">
        <v>42</v>
      </c>
      <c r="H1867" s="2" t="s">
        <v>21</v>
      </c>
      <c r="I1867" s="2" t="s">
        <v>4544</v>
      </c>
      <c r="J1867" s="3" t="str">
        <f>HYPERLINK("https://www.boe.es/gazeta/dias/1816/12/03/pdfs/GMD-1816-150.pdf#page=8","Abrir facsímil")</f>
        <v>Abrir facsímil</v>
      </c>
      <c r="K1867" s="3" t="s">
        <v>23</v>
      </c>
    </row>
    <row r="1868" spans="1:11" ht="42" customHeight="1">
      <c r="A1868" s="2" t="s">
        <v>4545</v>
      </c>
      <c r="B1868" s="2" t="s">
        <v>4546</v>
      </c>
      <c r="C1868" s="2" t="s">
        <v>26</v>
      </c>
      <c r="D1868" s="2" t="s">
        <v>18</v>
      </c>
      <c r="E1868" s="5">
        <v>-30578</v>
      </c>
      <c r="F1868" s="3" t="s">
        <v>91</v>
      </c>
      <c r="G1868" s="3" t="s">
        <v>1239</v>
      </c>
      <c r="H1868" s="2" t="s">
        <v>21</v>
      </c>
      <c r="I1868" s="2" t="s">
        <v>4547</v>
      </c>
      <c r="J1868" s="3" t="str">
        <f>HYPERLINK("https://www.boe.es/gazeta/dias/1816/04/11/pdfs/GMD-1816-47.pdf#page=6","Abrir facsímil")</f>
        <v>Abrir facsímil</v>
      </c>
      <c r="K1868" s="3" t="s">
        <v>23</v>
      </c>
    </row>
    <row r="1869" spans="1:11" ht="42" customHeight="1">
      <c r="A1869" s="2" t="s">
        <v>4548</v>
      </c>
      <c r="B1869" s="2" t="s">
        <v>4548</v>
      </c>
      <c r="C1869" s="2" t="s">
        <v>67</v>
      </c>
      <c r="D1869" s="2" t="s">
        <v>18</v>
      </c>
      <c r="E1869" s="5">
        <v>-30662</v>
      </c>
      <c r="F1869" s="3" t="s">
        <v>485</v>
      </c>
      <c r="G1869" s="3" t="s">
        <v>72</v>
      </c>
      <c r="H1869" s="2" t="s">
        <v>21</v>
      </c>
      <c r="I1869" s="2" t="s">
        <v>4549</v>
      </c>
      <c r="J1869" s="3" t="str">
        <f>HYPERLINK("https://www.boe.es/gazeta/dias/1816/01/18/pdfs/GMD-1816-8.pdf#page=7","Abrir facsímil")</f>
        <v>Abrir facsímil</v>
      </c>
      <c r="K1869" s="3" t="s">
        <v>23</v>
      </c>
    </row>
    <row r="1870" spans="1:11" ht="42" customHeight="1">
      <c r="A1870" s="2" t="s">
        <v>4550</v>
      </c>
      <c r="B1870" s="2" t="s">
        <v>4550</v>
      </c>
      <c r="C1870" s="2" t="s">
        <v>67</v>
      </c>
      <c r="D1870" s="2" t="s">
        <v>18</v>
      </c>
      <c r="E1870" s="5">
        <v>-30447</v>
      </c>
      <c r="F1870" s="3" t="s">
        <v>151</v>
      </c>
      <c r="G1870" s="3" t="s">
        <v>270</v>
      </c>
      <c r="H1870" s="2" t="s">
        <v>21</v>
      </c>
      <c r="I1870" s="2" t="s">
        <v>4551</v>
      </c>
      <c r="J1870" s="3" t="str">
        <f>HYPERLINK("https://www.boe.es/gazeta/dias/1816/08/20/pdfs/GMD-1816-103.pdf#page=2","Abrir facsímil")</f>
        <v>Abrir facsímil</v>
      </c>
      <c r="K1870" s="3" t="s">
        <v>23</v>
      </c>
    </row>
    <row r="1871" spans="1:11" ht="42" customHeight="1">
      <c r="A1871" s="2" t="s">
        <v>4552</v>
      </c>
      <c r="B1871" s="2" t="s">
        <v>4552</v>
      </c>
      <c r="C1871" s="2" t="s">
        <v>111</v>
      </c>
      <c r="D1871" s="2" t="s">
        <v>112</v>
      </c>
      <c r="E1871" s="5">
        <v>-30333</v>
      </c>
      <c r="F1871" s="3" t="s">
        <v>1005</v>
      </c>
      <c r="G1871" s="3" t="s">
        <v>1006</v>
      </c>
      <c r="H1871" s="2" t="s">
        <v>21</v>
      </c>
      <c r="I1871" s="2" t="s">
        <v>4553</v>
      </c>
      <c r="J1871" s="3" t="str">
        <f>HYPERLINK("https://www.boe.es/gazeta/dias/1816/12/12/pdfs/GMD-1816-154.pdf#page=5","Abrir facsímil")</f>
        <v>Abrir facsímil</v>
      </c>
      <c r="K1871" s="3" t="s">
        <v>23</v>
      </c>
    </row>
    <row r="1872" spans="1:11" ht="42" customHeight="1">
      <c r="A1872" s="2" t="s">
        <v>4554</v>
      </c>
      <c r="B1872" s="2" t="s">
        <v>4555</v>
      </c>
      <c r="C1872" s="2" t="s">
        <v>34</v>
      </c>
      <c r="D1872" s="2" t="s">
        <v>35</v>
      </c>
      <c r="E1872" s="5">
        <v>-30394</v>
      </c>
      <c r="F1872" s="3" t="s">
        <v>589</v>
      </c>
      <c r="G1872" s="3" t="s">
        <v>47</v>
      </c>
      <c r="H1872" s="2" t="s">
        <v>21</v>
      </c>
      <c r="I1872" s="2" t="s">
        <v>4556</v>
      </c>
      <c r="J1872" s="3" t="str">
        <f>HYPERLINK("https://www.boe.es/gazeta/dias/1816/10/12/pdfs/GMD-1816-127.pdf#page=5","Abrir facsímil")</f>
        <v>Abrir facsímil</v>
      </c>
      <c r="K1872" s="3" t="s">
        <v>23</v>
      </c>
    </row>
    <row r="1873" spans="1:11" ht="42" customHeight="1">
      <c r="A1873" s="2" t="s">
        <v>4557</v>
      </c>
      <c r="B1873" s="2" t="s">
        <v>4558</v>
      </c>
      <c r="C1873" s="2" t="s">
        <v>26</v>
      </c>
      <c r="D1873" s="2" t="s">
        <v>18</v>
      </c>
      <c r="E1873" s="5">
        <v>-30494</v>
      </c>
      <c r="F1873" s="3" t="s">
        <v>174</v>
      </c>
      <c r="G1873" s="3" t="s">
        <v>72</v>
      </c>
      <c r="H1873" s="2" t="s">
        <v>21</v>
      </c>
      <c r="I1873" s="2" t="s">
        <v>4559</v>
      </c>
      <c r="J1873" s="3" t="str">
        <f>HYPERLINK("https://www.boe.es/gazeta/dias/1816/07/04/pdfs/GMD-1816-83.pdf#page=7","Abrir facsímil")</f>
        <v>Abrir facsímil</v>
      </c>
      <c r="K1873" s="3" t="s">
        <v>23</v>
      </c>
    </row>
    <row r="1874" spans="1:11" ht="42" customHeight="1">
      <c r="A1874" s="2" t="s">
        <v>4560</v>
      </c>
      <c r="B1874" s="2" t="s">
        <v>4560</v>
      </c>
      <c r="C1874" s="2" t="s">
        <v>17</v>
      </c>
      <c r="D1874" s="2" t="s">
        <v>18</v>
      </c>
      <c r="E1874" s="5">
        <v>-30632</v>
      </c>
      <c r="F1874" s="3" t="s">
        <v>89</v>
      </c>
      <c r="G1874" s="3" t="s">
        <v>42</v>
      </c>
      <c r="H1874" s="2" t="s">
        <v>21</v>
      </c>
      <c r="I1874" s="2" t="s">
        <v>4561</v>
      </c>
      <c r="J1874" s="3" t="str">
        <f>HYPERLINK("https://www.boe.es/gazeta/dias/1816/02/17/pdfs/GMD-1816-22.pdf#page=8","Abrir facsímil")</f>
        <v>Abrir facsímil</v>
      </c>
      <c r="K1874" s="3" t="s">
        <v>23</v>
      </c>
    </row>
    <row r="1875" spans="1:11" ht="42" customHeight="1">
      <c r="A1875" s="2" t="s">
        <v>4560</v>
      </c>
      <c r="B1875" s="2" t="s">
        <v>4560</v>
      </c>
      <c r="C1875" s="2" t="s">
        <v>387</v>
      </c>
      <c r="D1875" s="2" t="s">
        <v>18</v>
      </c>
      <c r="E1875" s="5">
        <v>-30424</v>
      </c>
      <c r="F1875" s="3" t="s">
        <v>142</v>
      </c>
      <c r="G1875" s="3" t="s">
        <v>175</v>
      </c>
      <c r="H1875" s="2" t="s">
        <v>21</v>
      </c>
      <c r="I1875" s="2" t="s">
        <v>4562</v>
      </c>
      <c r="J1875" s="3" t="str">
        <f>HYPERLINK("https://www.boe.es/gazeta/dias/1816/09/12/pdfs/GMD-1816-113.pdf#page=11","Abrir facsímil")</f>
        <v>Abrir facsímil</v>
      </c>
      <c r="K1875" s="3" t="s">
        <v>23</v>
      </c>
    </row>
    <row r="1876" spans="1:11" ht="42" customHeight="1">
      <c r="A1876" s="2" t="s">
        <v>4560</v>
      </c>
      <c r="B1876" s="2" t="s">
        <v>4560</v>
      </c>
      <c r="C1876" s="2" t="s">
        <v>34</v>
      </c>
      <c r="D1876" s="2" t="s">
        <v>56</v>
      </c>
      <c r="E1876" s="5">
        <v>-30393</v>
      </c>
      <c r="F1876" s="3" t="s">
        <v>202</v>
      </c>
      <c r="G1876" s="3" t="s">
        <v>42</v>
      </c>
      <c r="H1876" s="2" t="s">
        <v>21</v>
      </c>
      <c r="I1876" s="2" t="s">
        <v>4563</v>
      </c>
      <c r="J1876" s="3" t="str">
        <f>HYPERLINK("https://www.boe.es/gazeta/dias/1816/10/13/pdfs/GMD-1816-128E.pdf#page=8","Abrir facsímil")</f>
        <v>Abrir facsímil</v>
      </c>
      <c r="K1876" s="3" t="s">
        <v>23</v>
      </c>
    </row>
    <row r="1877" spans="1:11" ht="42" customHeight="1">
      <c r="A1877" s="2" t="s">
        <v>4560</v>
      </c>
      <c r="B1877" s="2" t="s">
        <v>4560</v>
      </c>
      <c r="C1877" s="2" t="s">
        <v>111</v>
      </c>
      <c r="D1877" s="2" t="s">
        <v>112</v>
      </c>
      <c r="E1877" s="5">
        <v>-30345</v>
      </c>
      <c r="F1877" s="3" t="s">
        <v>1382</v>
      </c>
      <c r="G1877" s="3" t="s">
        <v>42</v>
      </c>
      <c r="H1877" s="2" t="s">
        <v>21</v>
      </c>
      <c r="I1877" s="2" t="s">
        <v>4564</v>
      </c>
      <c r="J1877" s="3" t="str">
        <f>HYPERLINK("https://www.boe.es/gazeta/dias/1816/11/30/pdfs/GMD-1816-149.pdf#page=8","Abrir facsímil")</f>
        <v>Abrir facsímil</v>
      </c>
      <c r="K1877" s="3" t="s">
        <v>23</v>
      </c>
    </row>
    <row r="1878" spans="1:11" ht="42" customHeight="1">
      <c r="A1878" s="2" t="s">
        <v>4560</v>
      </c>
      <c r="B1878" s="2" t="s">
        <v>4560</v>
      </c>
      <c r="C1878" s="2" t="s">
        <v>26</v>
      </c>
      <c r="D1878" s="2" t="s">
        <v>18</v>
      </c>
      <c r="E1878" s="5">
        <v>-30333</v>
      </c>
      <c r="F1878" s="3" t="s">
        <v>1005</v>
      </c>
      <c r="G1878" s="3" t="s">
        <v>1006</v>
      </c>
      <c r="H1878" s="2" t="s">
        <v>21</v>
      </c>
      <c r="I1878" s="2" t="s">
        <v>4565</v>
      </c>
      <c r="J1878" s="3" t="str">
        <f>HYPERLINK("https://www.boe.es/gazeta/dias/1816/12/12/pdfs/GMD-1816-154.pdf#page=5","Abrir facsímil")</f>
        <v>Abrir facsímil</v>
      </c>
      <c r="K1878" s="3" t="s">
        <v>23</v>
      </c>
    </row>
    <row r="1879" spans="1:11" ht="42" customHeight="1">
      <c r="A1879" s="2" t="s">
        <v>4566</v>
      </c>
      <c r="B1879" s="2" t="s">
        <v>4566</v>
      </c>
      <c r="C1879" s="2" t="s">
        <v>26</v>
      </c>
      <c r="D1879" s="2" t="s">
        <v>18</v>
      </c>
      <c r="E1879" s="5">
        <v>-30492</v>
      </c>
      <c r="F1879" s="3" t="s">
        <v>248</v>
      </c>
      <c r="G1879" s="3" t="s">
        <v>42</v>
      </c>
      <c r="H1879" s="2" t="s">
        <v>21</v>
      </c>
      <c r="I1879" s="2" t="s">
        <v>4567</v>
      </c>
      <c r="J1879" s="3" t="str">
        <f>HYPERLINK("https://www.boe.es/gazeta/dias/1816/07/06/pdfs/GMD-1816-84.pdf#page=8","Abrir facsímil")</f>
        <v>Abrir facsímil</v>
      </c>
      <c r="K1879" s="3" t="s">
        <v>23</v>
      </c>
    </row>
    <row r="1880" spans="1:11" ht="42" customHeight="1">
      <c r="A1880" s="2" t="s">
        <v>4566</v>
      </c>
      <c r="B1880" s="2" t="s">
        <v>4566</v>
      </c>
      <c r="C1880" s="2" t="s">
        <v>111</v>
      </c>
      <c r="D1880" s="2" t="s">
        <v>112</v>
      </c>
      <c r="E1880" s="5">
        <v>-30487</v>
      </c>
      <c r="F1880" s="3" t="s">
        <v>397</v>
      </c>
      <c r="G1880" s="3" t="s">
        <v>47</v>
      </c>
      <c r="H1880" s="2" t="s">
        <v>21</v>
      </c>
      <c r="I1880" s="2" t="s">
        <v>4568</v>
      </c>
      <c r="J1880" s="3" t="str">
        <f>HYPERLINK("https://www.boe.es/gazeta/dias/1816/07/11/pdfs/GMD-1816-86.pdf#page=5","Abrir facsímil")</f>
        <v>Abrir facsímil</v>
      </c>
      <c r="K1880" s="3" t="s">
        <v>23</v>
      </c>
    </row>
    <row r="1881" spans="1:11" ht="42" customHeight="1">
      <c r="A1881" s="2" t="s">
        <v>4566</v>
      </c>
      <c r="B1881" s="2" t="s">
        <v>4566</v>
      </c>
      <c r="C1881" s="2" t="s">
        <v>26</v>
      </c>
      <c r="D1881" s="2" t="s">
        <v>18</v>
      </c>
      <c r="E1881" s="5">
        <v>-30415</v>
      </c>
      <c r="F1881" s="3" t="s">
        <v>585</v>
      </c>
      <c r="G1881" s="3" t="s">
        <v>42</v>
      </c>
      <c r="H1881" s="2" t="s">
        <v>21</v>
      </c>
      <c r="I1881" s="2" t="s">
        <v>4569</v>
      </c>
      <c r="J1881" s="3" t="str">
        <f>HYPERLINK("https://www.boe.es/gazeta/dias/1816/09/21/pdfs/GMD-1816-117.pdf#page=8","Abrir facsímil")</f>
        <v>Abrir facsímil</v>
      </c>
      <c r="K1881" s="3" t="s">
        <v>23</v>
      </c>
    </row>
    <row r="1882" spans="1:11" ht="42" customHeight="1">
      <c r="A1882" s="2" t="s">
        <v>4570</v>
      </c>
      <c r="B1882" s="2" t="s">
        <v>4571</v>
      </c>
      <c r="C1882" s="2" t="s">
        <v>26</v>
      </c>
      <c r="D1882" s="2" t="s">
        <v>18</v>
      </c>
      <c r="E1882" s="5">
        <v>-30489</v>
      </c>
      <c r="F1882" s="3" t="s">
        <v>1120</v>
      </c>
      <c r="G1882" s="3" t="s">
        <v>103</v>
      </c>
      <c r="H1882" s="2" t="s">
        <v>21</v>
      </c>
      <c r="I1882" s="2" t="s">
        <v>4572</v>
      </c>
      <c r="J1882" s="3" t="str">
        <f>HYPERLINK("https://www.boe.es/gazeta/dias/1816/07/09/pdfs/GMD-1816-85.pdf#page=4","Abrir facsímil")</f>
        <v>Abrir facsímil</v>
      </c>
      <c r="K1882" s="3" t="s">
        <v>23</v>
      </c>
    </row>
    <row r="1883" spans="1:11" ht="42" customHeight="1">
      <c r="A1883" s="2" t="s">
        <v>4570</v>
      </c>
      <c r="B1883" s="2" t="s">
        <v>4571</v>
      </c>
      <c r="C1883" s="2" t="s">
        <v>34</v>
      </c>
      <c r="D1883" s="2" t="s">
        <v>35</v>
      </c>
      <c r="E1883" s="5">
        <v>-30487</v>
      </c>
      <c r="F1883" s="3" t="s">
        <v>397</v>
      </c>
      <c r="G1883" s="3" t="s">
        <v>103</v>
      </c>
      <c r="H1883" s="2" t="s">
        <v>21</v>
      </c>
      <c r="I1883" s="2" t="s">
        <v>4573</v>
      </c>
      <c r="J1883" s="3" t="str">
        <f>HYPERLINK("https://www.boe.es/gazeta/dias/1816/07/11/pdfs/GMD-1816-86.pdf#page=4","Abrir facsímil")</f>
        <v>Abrir facsímil</v>
      </c>
      <c r="K1883" s="3" t="s">
        <v>23</v>
      </c>
    </row>
    <row r="1884" spans="1:11" ht="42" customHeight="1">
      <c r="A1884" s="2" t="s">
        <v>4570</v>
      </c>
      <c r="B1884" s="2" t="s">
        <v>4571</v>
      </c>
      <c r="C1884" s="2" t="s">
        <v>26</v>
      </c>
      <c r="D1884" s="2" t="s">
        <v>18</v>
      </c>
      <c r="E1884" s="5">
        <v>-30487</v>
      </c>
      <c r="F1884" s="3" t="s">
        <v>397</v>
      </c>
      <c r="G1884" s="3" t="s">
        <v>47</v>
      </c>
      <c r="H1884" s="2" t="s">
        <v>21</v>
      </c>
      <c r="I1884" s="2" t="s">
        <v>4574</v>
      </c>
      <c r="J1884" s="3" t="str">
        <f>HYPERLINK("https://www.boe.es/gazeta/dias/1816/07/11/pdfs/GMD-1816-86.pdf#page=5","Abrir facsímil")</f>
        <v>Abrir facsímil</v>
      </c>
      <c r="K1884" s="3" t="s">
        <v>23</v>
      </c>
    </row>
    <row r="1885" spans="1:11" ht="42" customHeight="1">
      <c r="A1885" s="2" t="s">
        <v>4575</v>
      </c>
      <c r="B1885" s="2" t="s">
        <v>4576</v>
      </c>
      <c r="C1885" s="2" t="s">
        <v>26</v>
      </c>
      <c r="D1885" s="2" t="s">
        <v>18</v>
      </c>
      <c r="E1885" s="5">
        <v>-30401</v>
      </c>
      <c r="F1885" s="3" t="s">
        <v>652</v>
      </c>
      <c r="G1885" s="3" t="s">
        <v>72</v>
      </c>
      <c r="H1885" s="2" t="s">
        <v>21</v>
      </c>
      <c r="I1885" s="2" t="s">
        <v>4577</v>
      </c>
      <c r="J1885" s="3" t="str">
        <f>HYPERLINK("https://www.boe.es/gazeta/dias/1816/10/05/pdfs/GMD-1816-123.pdf#page=7","Abrir facsímil")</f>
        <v>Abrir facsímil</v>
      </c>
      <c r="K1885" s="3" t="s">
        <v>23</v>
      </c>
    </row>
    <row r="1886" spans="1:11" ht="42" customHeight="1">
      <c r="A1886" s="2" t="s">
        <v>4578</v>
      </c>
      <c r="B1886" s="2" t="s">
        <v>4579</v>
      </c>
      <c r="C1886" s="2" t="s">
        <v>26</v>
      </c>
      <c r="D1886" s="2" t="s">
        <v>18</v>
      </c>
      <c r="E1886" s="5">
        <v>-30515</v>
      </c>
      <c r="F1886" s="3" t="s">
        <v>2452</v>
      </c>
      <c r="G1886" s="3" t="s">
        <v>3166</v>
      </c>
      <c r="H1886" s="2" t="s">
        <v>21</v>
      </c>
      <c r="I1886" s="2" t="s">
        <v>4580</v>
      </c>
      <c r="J1886" s="3" t="str">
        <f>HYPERLINK("https://www.boe.es/gazeta/dias/1816/06/13/pdfs/GMD-1816-74.pdf#page=6","Abrir facsímil")</f>
        <v>Abrir facsímil</v>
      </c>
      <c r="K1886" s="3" t="s">
        <v>23</v>
      </c>
    </row>
    <row r="1887" spans="1:11" ht="42" customHeight="1">
      <c r="A1887" s="2" t="s">
        <v>4581</v>
      </c>
      <c r="B1887" s="2" t="s">
        <v>4582</v>
      </c>
      <c r="C1887" s="2" t="s">
        <v>17</v>
      </c>
      <c r="D1887" s="2" t="s">
        <v>18</v>
      </c>
      <c r="E1887" s="5">
        <v>-30522</v>
      </c>
      <c r="F1887" s="3" t="s">
        <v>282</v>
      </c>
      <c r="G1887" s="3" t="s">
        <v>47</v>
      </c>
      <c r="H1887" s="2" t="s">
        <v>21</v>
      </c>
      <c r="I1887" s="2" t="s">
        <v>4583</v>
      </c>
      <c r="J1887" s="3" t="str">
        <f>HYPERLINK("https://www.boe.es/gazeta/dias/1816/06/06/pdfs/GMD-1816-71.pdf#page=5","Abrir facsímil")</f>
        <v>Abrir facsímil</v>
      </c>
      <c r="K1887" s="3" t="s">
        <v>23</v>
      </c>
    </row>
    <row r="1888" spans="1:11" ht="42" customHeight="1">
      <c r="A1888" s="2" t="s">
        <v>4581</v>
      </c>
      <c r="B1888" s="2" t="s">
        <v>4582</v>
      </c>
      <c r="C1888" s="2" t="s">
        <v>111</v>
      </c>
      <c r="D1888" s="2" t="s">
        <v>112</v>
      </c>
      <c r="E1888" s="5">
        <v>-30510</v>
      </c>
      <c r="F1888" s="3" t="s">
        <v>450</v>
      </c>
      <c r="G1888" s="3" t="s">
        <v>47</v>
      </c>
      <c r="H1888" s="2" t="s">
        <v>21</v>
      </c>
      <c r="I1888" s="2" t="s">
        <v>4584</v>
      </c>
      <c r="J1888" s="3" t="str">
        <f>HYPERLINK("https://www.boe.es/gazeta/dias/1816/06/18/pdfs/GMD-1816-76.pdf#page=5","Abrir facsímil")</f>
        <v>Abrir facsímil</v>
      </c>
      <c r="K1888" s="3" t="s">
        <v>23</v>
      </c>
    </row>
    <row r="1889" spans="1:11" ht="42" customHeight="1">
      <c r="A1889" s="2" t="s">
        <v>4581</v>
      </c>
      <c r="B1889" s="2" t="s">
        <v>4582</v>
      </c>
      <c r="C1889" s="2" t="s">
        <v>41</v>
      </c>
      <c r="D1889" s="2" t="s">
        <v>18</v>
      </c>
      <c r="E1889" s="5">
        <v>-30508</v>
      </c>
      <c r="F1889" s="3" t="s">
        <v>36</v>
      </c>
      <c r="G1889" s="3" t="s">
        <v>1054</v>
      </c>
      <c r="H1889" s="2" t="s">
        <v>21</v>
      </c>
      <c r="I1889" s="2" t="s">
        <v>4585</v>
      </c>
      <c r="J1889" s="3" t="str">
        <f>HYPERLINK("https://www.boe.es/gazeta/dias/1816/06/20/pdfs/GMD-1816-77.pdf#page=4","Abrir facsímil")</f>
        <v>Abrir facsímil</v>
      </c>
      <c r="K1889" s="3" t="s">
        <v>23</v>
      </c>
    </row>
    <row r="1890" spans="1:11" ht="42" customHeight="1">
      <c r="A1890" s="2" t="s">
        <v>4581</v>
      </c>
      <c r="B1890" s="2" t="s">
        <v>4582</v>
      </c>
      <c r="C1890" s="2" t="s">
        <v>387</v>
      </c>
      <c r="D1890" s="2" t="s">
        <v>18</v>
      </c>
      <c r="E1890" s="5">
        <v>-30506</v>
      </c>
      <c r="F1890" s="3" t="s">
        <v>220</v>
      </c>
      <c r="G1890" s="3" t="s">
        <v>28</v>
      </c>
      <c r="H1890" s="2" t="s">
        <v>21</v>
      </c>
      <c r="I1890" s="2" t="s">
        <v>4586</v>
      </c>
      <c r="J1890" s="3" t="str">
        <f>HYPERLINK("https://www.boe.es/gazeta/dias/1816/06/22/pdfs/GMD-1816-78.pdf#page=6","Abrir facsímil")</f>
        <v>Abrir facsímil</v>
      </c>
      <c r="K1890" s="3" t="s">
        <v>23</v>
      </c>
    </row>
    <row r="1891" spans="1:11" ht="42" customHeight="1">
      <c r="A1891" s="2" t="s">
        <v>4581</v>
      </c>
      <c r="B1891" s="2" t="s">
        <v>4582</v>
      </c>
      <c r="C1891" s="2" t="s">
        <v>26</v>
      </c>
      <c r="D1891" s="2" t="s">
        <v>18</v>
      </c>
      <c r="E1891" s="5">
        <v>-30499</v>
      </c>
      <c r="F1891" s="3" t="s">
        <v>971</v>
      </c>
      <c r="G1891" s="3" t="s">
        <v>2505</v>
      </c>
      <c r="H1891" s="2" t="s">
        <v>21</v>
      </c>
      <c r="I1891" s="2" t="s">
        <v>4587</v>
      </c>
      <c r="J1891" s="3" t="str">
        <f>HYPERLINK("https://www.boe.es/gazeta/dias/1816/06/29/pdfs/GMD-1816-81.pdf#page=4","Abrir facsímil")</f>
        <v>Abrir facsímil</v>
      </c>
      <c r="K1891" s="3" t="s">
        <v>23</v>
      </c>
    </row>
    <row r="1892" spans="1:11" ht="42" customHeight="1">
      <c r="A1892" s="2" t="s">
        <v>4581</v>
      </c>
      <c r="B1892" s="2" t="s">
        <v>4582</v>
      </c>
      <c r="C1892" s="2" t="s">
        <v>81</v>
      </c>
      <c r="D1892" s="2" t="s">
        <v>18</v>
      </c>
      <c r="E1892" s="5">
        <v>-30496</v>
      </c>
      <c r="F1892" s="3" t="s">
        <v>290</v>
      </c>
      <c r="G1892" s="3" t="s">
        <v>3657</v>
      </c>
      <c r="H1892" s="2" t="s">
        <v>21</v>
      </c>
      <c r="I1892" s="2" t="s">
        <v>4588</v>
      </c>
      <c r="J1892" s="3" t="str">
        <f>HYPERLINK("https://www.boe.es/gazeta/dias/1816/07/02/pdfs/GMD-1816-82.pdf#page=6","Abrir facsímil")</f>
        <v>Abrir facsímil</v>
      </c>
      <c r="K1892" s="3" t="s">
        <v>23</v>
      </c>
    </row>
    <row r="1893" spans="1:11" ht="42" customHeight="1">
      <c r="A1893" s="2" t="s">
        <v>4581</v>
      </c>
      <c r="B1893" s="2" t="s">
        <v>4582</v>
      </c>
      <c r="C1893" s="2" t="s">
        <v>26</v>
      </c>
      <c r="D1893" s="2" t="s">
        <v>18</v>
      </c>
      <c r="E1893" s="5">
        <v>-30494</v>
      </c>
      <c r="F1893" s="3" t="s">
        <v>174</v>
      </c>
      <c r="G1893" s="3" t="s">
        <v>92</v>
      </c>
      <c r="H1893" s="2" t="s">
        <v>21</v>
      </c>
      <c r="I1893" s="2" t="s">
        <v>4589</v>
      </c>
      <c r="J1893" s="3" t="str">
        <f>HYPERLINK("https://www.boe.es/gazeta/dias/1816/07/04/pdfs/GMD-1816-83.pdf#page=9","Abrir facsímil")</f>
        <v>Abrir facsímil</v>
      </c>
      <c r="K1893" s="3" t="s">
        <v>23</v>
      </c>
    </row>
    <row r="1894" spans="1:11" ht="42" customHeight="1">
      <c r="A1894" s="2" t="s">
        <v>4581</v>
      </c>
      <c r="B1894" s="2" t="s">
        <v>4582</v>
      </c>
      <c r="C1894" s="2" t="s">
        <v>111</v>
      </c>
      <c r="D1894" s="2" t="s">
        <v>112</v>
      </c>
      <c r="E1894" s="5">
        <v>-30492</v>
      </c>
      <c r="F1894" s="3" t="s">
        <v>248</v>
      </c>
      <c r="G1894" s="3" t="s">
        <v>42</v>
      </c>
      <c r="H1894" s="2" t="s">
        <v>21</v>
      </c>
      <c r="I1894" s="2" t="s">
        <v>4590</v>
      </c>
      <c r="J1894" s="3" t="str">
        <f>HYPERLINK("https://www.boe.es/gazeta/dias/1816/07/06/pdfs/GMD-1816-84.pdf#page=8","Abrir facsímil")</f>
        <v>Abrir facsímil</v>
      </c>
      <c r="K1894" s="3" t="s">
        <v>23</v>
      </c>
    </row>
    <row r="1895" spans="1:11" ht="42" customHeight="1">
      <c r="A1895" s="2" t="s">
        <v>4581</v>
      </c>
      <c r="B1895" s="2" t="s">
        <v>4582</v>
      </c>
      <c r="C1895" s="2" t="s">
        <v>387</v>
      </c>
      <c r="D1895" s="2" t="s">
        <v>18</v>
      </c>
      <c r="E1895" s="5">
        <v>-30489</v>
      </c>
      <c r="F1895" s="3" t="s">
        <v>1120</v>
      </c>
      <c r="G1895" s="3" t="s">
        <v>28</v>
      </c>
      <c r="H1895" s="2" t="s">
        <v>21</v>
      </c>
      <c r="I1895" s="2" t="s">
        <v>4591</v>
      </c>
      <c r="J1895" s="3" t="str">
        <f>HYPERLINK("https://www.boe.es/gazeta/dias/1816/07/09/pdfs/GMD-1816-85.pdf#page=6","Abrir facsímil")</f>
        <v>Abrir facsímil</v>
      </c>
      <c r="K1895" s="3" t="s">
        <v>23</v>
      </c>
    </row>
    <row r="1896" spans="1:11" ht="42" customHeight="1">
      <c r="A1896" s="2" t="s">
        <v>4581</v>
      </c>
      <c r="B1896" s="2" t="s">
        <v>4582</v>
      </c>
      <c r="C1896" s="2" t="s">
        <v>387</v>
      </c>
      <c r="D1896" s="2" t="s">
        <v>18</v>
      </c>
      <c r="E1896" s="5">
        <v>-30433</v>
      </c>
      <c r="F1896" s="3" t="s">
        <v>954</v>
      </c>
      <c r="G1896" s="3" t="s">
        <v>955</v>
      </c>
      <c r="H1896" s="2" t="s">
        <v>21</v>
      </c>
      <c r="I1896" s="2" t="s">
        <v>4592</v>
      </c>
      <c r="J1896" s="3" t="str">
        <f>HYPERLINK("https://www.boe.es/gazeta/dias/1816/09/03/pdfs/GMD-1816-109.pdf#page=7","Abrir facsímil")</f>
        <v>Abrir facsímil</v>
      </c>
      <c r="K1896" s="3" t="s">
        <v>23</v>
      </c>
    </row>
    <row r="1897" spans="1:11" ht="42" customHeight="1">
      <c r="A1897" s="2" t="s">
        <v>4581</v>
      </c>
      <c r="B1897" s="2" t="s">
        <v>4582</v>
      </c>
      <c r="C1897" s="2" t="s">
        <v>111</v>
      </c>
      <c r="D1897" s="2" t="s">
        <v>112</v>
      </c>
      <c r="E1897" s="5">
        <v>-30433</v>
      </c>
      <c r="F1897" s="3" t="s">
        <v>954</v>
      </c>
      <c r="G1897" s="3" t="s">
        <v>28</v>
      </c>
      <c r="H1897" s="2" t="s">
        <v>21</v>
      </c>
      <c r="I1897" s="2" t="s">
        <v>4593</v>
      </c>
      <c r="J1897" s="3" t="str">
        <f>HYPERLINK("https://www.boe.es/gazeta/dias/1816/09/03/pdfs/GMD-1816-109.pdf#page=6","Abrir facsímil")</f>
        <v>Abrir facsímil</v>
      </c>
      <c r="K1897" s="3" t="s">
        <v>23</v>
      </c>
    </row>
    <row r="1898" spans="1:11" ht="42" customHeight="1">
      <c r="A1898" s="2" t="s">
        <v>4581</v>
      </c>
      <c r="B1898" s="2" t="s">
        <v>4582</v>
      </c>
      <c r="C1898" s="2" t="s">
        <v>26</v>
      </c>
      <c r="D1898" s="2" t="s">
        <v>18</v>
      </c>
      <c r="E1898" s="5">
        <v>-30426</v>
      </c>
      <c r="F1898" s="3" t="s">
        <v>779</v>
      </c>
      <c r="G1898" s="3" t="s">
        <v>28</v>
      </c>
      <c r="H1898" s="2" t="s">
        <v>21</v>
      </c>
      <c r="I1898" s="2" t="s">
        <v>4594</v>
      </c>
      <c r="J1898" s="3" t="str">
        <f>HYPERLINK("https://www.boe.es/gazeta/dias/1816/09/10/pdfs/GMD-1816-112.pdf#page=6","Abrir facsímil")</f>
        <v>Abrir facsímil</v>
      </c>
      <c r="K1898" s="3" t="s">
        <v>23</v>
      </c>
    </row>
    <row r="1899" spans="1:11" ht="42" customHeight="1">
      <c r="A1899" s="2" t="s">
        <v>4581</v>
      </c>
      <c r="B1899" s="2" t="s">
        <v>4582</v>
      </c>
      <c r="C1899" s="2" t="s">
        <v>26</v>
      </c>
      <c r="D1899" s="2" t="s">
        <v>18</v>
      </c>
      <c r="E1899" s="5">
        <v>-30419</v>
      </c>
      <c r="F1899" s="3" t="s">
        <v>1256</v>
      </c>
      <c r="G1899" s="3" t="s">
        <v>184</v>
      </c>
      <c r="H1899" s="2" t="s">
        <v>21</v>
      </c>
      <c r="I1899" s="2" t="s">
        <v>4595</v>
      </c>
      <c r="J1899" s="3" t="str">
        <f>HYPERLINK("https://www.boe.es/gazeta/dias/1816/09/17/pdfs/GMD-1816-115.pdf#page=3","Abrir facsímil")</f>
        <v>Abrir facsímil</v>
      </c>
      <c r="K1899" s="3" t="s">
        <v>23</v>
      </c>
    </row>
    <row r="1900" spans="1:11" ht="42" customHeight="1">
      <c r="A1900" s="2" t="s">
        <v>4581</v>
      </c>
      <c r="B1900" s="2" t="s">
        <v>4582</v>
      </c>
      <c r="C1900" s="2" t="s">
        <v>26</v>
      </c>
      <c r="D1900" s="2" t="s">
        <v>18</v>
      </c>
      <c r="E1900" s="5">
        <v>-30415</v>
      </c>
      <c r="F1900" s="3" t="s">
        <v>585</v>
      </c>
      <c r="G1900" s="3" t="s">
        <v>42</v>
      </c>
      <c r="H1900" s="2" t="s">
        <v>21</v>
      </c>
      <c r="I1900" s="2" t="s">
        <v>4596</v>
      </c>
      <c r="J1900" s="3" t="str">
        <f>HYPERLINK("https://www.boe.es/gazeta/dias/1816/09/21/pdfs/GMD-1816-117.pdf#page=8","Abrir facsímil")</f>
        <v>Abrir facsímil</v>
      </c>
      <c r="K1900" s="3" t="s">
        <v>23</v>
      </c>
    </row>
    <row r="1901" spans="1:11" ht="42" customHeight="1">
      <c r="A1901" s="2" t="s">
        <v>4581</v>
      </c>
      <c r="B1901" s="2" t="s">
        <v>4582</v>
      </c>
      <c r="C1901" s="2" t="s">
        <v>387</v>
      </c>
      <c r="D1901" s="2" t="s">
        <v>18</v>
      </c>
      <c r="E1901" s="5">
        <v>-30415</v>
      </c>
      <c r="F1901" s="3" t="s">
        <v>585</v>
      </c>
      <c r="G1901" s="3" t="s">
        <v>92</v>
      </c>
      <c r="H1901" s="2" t="s">
        <v>21</v>
      </c>
      <c r="I1901" s="2" t="s">
        <v>4597</v>
      </c>
      <c r="J1901" s="3" t="str">
        <f>HYPERLINK("https://www.boe.es/gazeta/dias/1816/09/21/pdfs/GMD-1816-117.pdf#page=9","Abrir facsímil")</f>
        <v>Abrir facsímil</v>
      </c>
      <c r="K1901" s="3" t="s">
        <v>23</v>
      </c>
    </row>
    <row r="1902" spans="1:11" ht="42" customHeight="1">
      <c r="A1902" s="2" t="s">
        <v>4581</v>
      </c>
      <c r="B1902" s="2" t="s">
        <v>4582</v>
      </c>
      <c r="C1902" s="2" t="s">
        <v>34</v>
      </c>
      <c r="D1902" s="2" t="s">
        <v>35</v>
      </c>
      <c r="E1902" s="5">
        <v>-30403</v>
      </c>
      <c r="F1902" s="3" t="s">
        <v>1264</v>
      </c>
      <c r="G1902" s="3" t="s">
        <v>72</v>
      </c>
      <c r="H1902" s="2" t="s">
        <v>21</v>
      </c>
      <c r="I1902" s="2" t="s">
        <v>4598</v>
      </c>
      <c r="J1902" s="3" t="str">
        <f>HYPERLINK("https://www.boe.es/gazeta/dias/1816/10/03/pdfs/GMD-1816-122.pdf#page=7","Abrir facsímil")</f>
        <v>Abrir facsímil</v>
      </c>
      <c r="K1902" s="3" t="s">
        <v>23</v>
      </c>
    </row>
    <row r="1903" spans="1:11" ht="42" customHeight="1">
      <c r="A1903" s="2" t="s">
        <v>4581</v>
      </c>
      <c r="B1903" s="2" t="s">
        <v>4582</v>
      </c>
      <c r="C1903" s="2" t="s">
        <v>111</v>
      </c>
      <c r="D1903" s="2" t="s">
        <v>112</v>
      </c>
      <c r="E1903" s="5">
        <v>-30319</v>
      </c>
      <c r="F1903" s="3" t="s">
        <v>131</v>
      </c>
      <c r="G1903" s="3" t="s">
        <v>4599</v>
      </c>
      <c r="H1903" s="2" t="s">
        <v>21</v>
      </c>
      <c r="I1903" s="2" t="s">
        <v>4600</v>
      </c>
      <c r="J1903" s="3" t="str">
        <f>HYPERLINK("https://www.boe.es/gazeta/dias/1816/12/26/pdfs/GMD-1816-160.pdf#page=5","Abrir facsímil")</f>
        <v>Abrir facsímil</v>
      </c>
      <c r="K1903" s="3" t="s">
        <v>23</v>
      </c>
    </row>
    <row r="1904" spans="1:11" ht="42" customHeight="1">
      <c r="A1904" s="2" t="s">
        <v>4601</v>
      </c>
      <c r="B1904" s="2" t="s">
        <v>4602</v>
      </c>
      <c r="C1904" s="2" t="s">
        <v>111</v>
      </c>
      <c r="D1904" s="2" t="s">
        <v>112</v>
      </c>
      <c r="E1904" s="5">
        <v>-30622</v>
      </c>
      <c r="F1904" s="3" t="s">
        <v>27</v>
      </c>
      <c r="G1904" s="3" t="s">
        <v>47</v>
      </c>
      <c r="H1904" s="2" t="s">
        <v>21</v>
      </c>
      <c r="I1904" s="2" t="s">
        <v>4603</v>
      </c>
      <c r="J1904" s="3" t="str">
        <f>HYPERLINK("https://www.boe.es/gazeta/dias/1816/02/27/pdfs/GMD-1816-26.pdf#page=5","Abrir facsímil")</f>
        <v>Abrir facsímil</v>
      </c>
      <c r="K1904" s="3" t="s">
        <v>23</v>
      </c>
    </row>
    <row r="1905" spans="1:11" ht="42" customHeight="1">
      <c r="A1905" s="2" t="s">
        <v>4601</v>
      </c>
      <c r="B1905" s="2" t="s">
        <v>4602</v>
      </c>
      <c r="C1905" s="2" t="s">
        <v>26</v>
      </c>
      <c r="D1905" s="2" t="s">
        <v>18</v>
      </c>
      <c r="E1905" s="5">
        <v>-30590</v>
      </c>
      <c r="F1905" s="3" t="s">
        <v>195</v>
      </c>
      <c r="G1905" s="3" t="s">
        <v>103</v>
      </c>
      <c r="H1905" s="2" t="s">
        <v>21</v>
      </c>
      <c r="I1905" s="2" t="s">
        <v>4604</v>
      </c>
      <c r="J1905" s="3" t="str">
        <f>HYPERLINK("https://www.boe.es/gazeta/dias/1816/03/30/pdfs/GMD-1816-42.pdf#page=4","Abrir facsímil")</f>
        <v>Abrir facsímil</v>
      </c>
      <c r="K1905" s="3" t="s">
        <v>23</v>
      </c>
    </row>
    <row r="1906" spans="1:11" ht="42" customHeight="1">
      <c r="A1906" s="2" t="s">
        <v>4601</v>
      </c>
      <c r="B1906" s="2" t="s">
        <v>4602</v>
      </c>
      <c r="C1906" s="2" t="s">
        <v>111</v>
      </c>
      <c r="D1906" s="2" t="s">
        <v>112</v>
      </c>
      <c r="E1906" s="5">
        <v>-30583</v>
      </c>
      <c r="F1906" s="3" t="s">
        <v>241</v>
      </c>
      <c r="G1906" s="3" t="s">
        <v>103</v>
      </c>
      <c r="H1906" s="2" t="s">
        <v>21</v>
      </c>
      <c r="I1906" s="2" t="s">
        <v>4605</v>
      </c>
      <c r="J1906" s="3" t="str">
        <f>HYPERLINK("https://www.boe.es/gazeta/dias/1816/04/06/pdfs/GMD-1816-45.pdf#page=4","Abrir facsímil")</f>
        <v>Abrir facsímil</v>
      </c>
      <c r="K1906" s="3" t="s">
        <v>23</v>
      </c>
    </row>
    <row r="1907" spans="1:11" ht="42" customHeight="1">
      <c r="A1907" s="2" t="s">
        <v>4601</v>
      </c>
      <c r="B1907" s="2" t="s">
        <v>4602</v>
      </c>
      <c r="C1907" s="2" t="s">
        <v>111</v>
      </c>
      <c r="D1907" s="2" t="s">
        <v>112</v>
      </c>
      <c r="E1907" s="5">
        <v>-30580</v>
      </c>
      <c r="F1907" s="3" t="s">
        <v>107</v>
      </c>
      <c r="G1907" s="3" t="s">
        <v>47</v>
      </c>
      <c r="H1907" s="2" t="s">
        <v>21</v>
      </c>
      <c r="I1907" s="2" t="s">
        <v>4606</v>
      </c>
      <c r="J1907" s="3" t="str">
        <f>HYPERLINK("https://www.boe.es/gazeta/dias/1816/04/09/pdfs/GMD-1816-46.pdf#page=5","Abrir facsímil")</f>
        <v>Abrir facsímil</v>
      </c>
      <c r="K1907" s="3" t="s">
        <v>23</v>
      </c>
    </row>
    <row r="1908" spans="1:11" ht="42" customHeight="1">
      <c r="A1908" s="2" t="s">
        <v>4601</v>
      </c>
      <c r="B1908" s="2" t="s">
        <v>4602</v>
      </c>
      <c r="C1908" s="2" t="s">
        <v>26</v>
      </c>
      <c r="D1908" s="2" t="s">
        <v>18</v>
      </c>
      <c r="E1908" s="5">
        <v>-30573</v>
      </c>
      <c r="F1908" s="3" t="s">
        <v>840</v>
      </c>
      <c r="G1908" s="3" t="s">
        <v>72</v>
      </c>
      <c r="H1908" s="2" t="s">
        <v>21</v>
      </c>
      <c r="I1908" s="2" t="s">
        <v>4607</v>
      </c>
      <c r="J1908" s="3" t="str">
        <f>HYPERLINK("https://www.boe.es/gazeta/dias/1816/04/16/pdfs/GMD-1816-49.pdf#page=7","Abrir facsímil")</f>
        <v>Abrir facsímil</v>
      </c>
      <c r="K1908" s="3" t="s">
        <v>23</v>
      </c>
    </row>
    <row r="1909" spans="1:11" ht="42" customHeight="1">
      <c r="A1909" s="2" t="s">
        <v>4601</v>
      </c>
      <c r="B1909" s="2" t="s">
        <v>4602</v>
      </c>
      <c r="C1909" s="2" t="s">
        <v>26</v>
      </c>
      <c r="D1909" s="2" t="s">
        <v>18</v>
      </c>
      <c r="E1909" s="5">
        <v>-30543</v>
      </c>
      <c r="F1909" s="3" t="s">
        <v>94</v>
      </c>
      <c r="G1909" s="3" t="s">
        <v>103</v>
      </c>
      <c r="H1909" s="2" t="s">
        <v>21</v>
      </c>
      <c r="I1909" s="2" t="s">
        <v>4608</v>
      </c>
      <c r="J1909" s="3" t="str">
        <f>HYPERLINK("https://www.boe.es/gazeta/dias/1816/05/16/pdfs/GMD-1816-62.pdf#page=4","Abrir facsímil")</f>
        <v>Abrir facsímil</v>
      </c>
      <c r="K1909" s="3" t="s">
        <v>23</v>
      </c>
    </row>
    <row r="1910" spans="1:11" ht="42" customHeight="1">
      <c r="A1910" s="2" t="s">
        <v>4601</v>
      </c>
      <c r="B1910" s="2" t="s">
        <v>4602</v>
      </c>
      <c r="C1910" s="2" t="s">
        <v>111</v>
      </c>
      <c r="D1910" s="2" t="s">
        <v>112</v>
      </c>
      <c r="E1910" s="5">
        <v>-30513</v>
      </c>
      <c r="F1910" s="3" t="s">
        <v>582</v>
      </c>
      <c r="G1910" s="3" t="s">
        <v>28</v>
      </c>
      <c r="H1910" s="2" t="s">
        <v>21</v>
      </c>
      <c r="I1910" s="2" t="s">
        <v>4609</v>
      </c>
      <c r="J1910" s="3" t="str">
        <f>HYPERLINK("https://www.boe.es/gazeta/dias/1816/06/15/pdfs/GMD-1816-75.pdf#page=6","Abrir facsímil")</f>
        <v>Abrir facsímil</v>
      </c>
      <c r="K1910" s="3" t="s">
        <v>23</v>
      </c>
    </row>
    <row r="1911" spans="1:11" ht="42" customHeight="1">
      <c r="A1911" s="2" t="s">
        <v>4601</v>
      </c>
      <c r="B1911" s="2" t="s">
        <v>4602</v>
      </c>
      <c r="C1911" s="2" t="s">
        <v>67</v>
      </c>
      <c r="D1911" s="2" t="s">
        <v>18</v>
      </c>
      <c r="E1911" s="5">
        <v>-30510</v>
      </c>
      <c r="F1911" s="3" t="s">
        <v>450</v>
      </c>
      <c r="G1911" s="3" t="s">
        <v>103</v>
      </c>
      <c r="H1911" s="2" t="s">
        <v>21</v>
      </c>
      <c r="I1911" s="2" t="s">
        <v>4610</v>
      </c>
      <c r="J1911" s="3" t="str">
        <f>HYPERLINK("https://www.boe.es/gazeta/dias/1816/06/18/pdfs/GMD-1816-76.pdf#page=4","Abrir facsímil")</f>
        <v>Abrir facsímil</v>
      </c>
      <c r="K1911" s="3" t="s">
        <v>23</v>
      </c>
    </row>
    <row r="1912" spans="1:11" ht="42" customHeight="1">
      <c r="A1912" s="2" t="s">
        <v>4601</v>
      </c>
      <c r="B1912" s="2" t="s">
        <v>4602</v>
      </c>
      <c r="C1912" s="2" t="s">
        <v>34</v>
      </c>
      <c r="D1912" s="2" t="s">
        <v>35</v>
      </c>
      <c r="E1912" s="5">
        <v>-30496</v>
      </c>
      <c r="F1912" s="3" t="s">
        <v>290</v>
      </c>
      <c r="G1912" s="3" t="s">
        <v>673</v>
      </c>
      <c r="H1912" s="2" t="s">
        <v>21</v>
      </c>
      <c r="I1912" s="2" t="s">
        <v>4611</v>
      </c>
      <c r="J1912" s="3" t="str">
        <f>HYPERLINK("https://www.boe.es/gazeta/dias/1816/07/02/pdfs/GMD-1816-82.pdf#page=4","Abrir facsímil")</f>
        <v>Abrir facsímil</v>
      </c>
      <c r="K1912" s="3" t="s">
        <v>23</v>
      </c>
    </row>
    <row r="1913" spans="1:11" ht="42" customHeight="1">
      <c r="A1913" s="2" t="s">
        <v>4601</v>
      </c>
      <c r="B1913" s="2" t="s">
        <v>4602</v>
      </c>
      <c r="C1913" s="2" t="s">
        <v>111</v>
      </c>
      <c r="D1913" s="2" t="s">
        <v>112</v>
      </c>
      <c r="E1913" s="5">
        <v>-30492</v>
      </c>
      <c r="F1913" s="3" t="s">
        <v>248</v>
      </c>
      <c r="G1913" s="3" t="s">
        <v>42</v>
      </c>
      <c r="H1913" s="2" t="s">
        <v>21</v>
      </c>
      <c r="I1913" s="2" t="s">
        <v>4612</v>
      </c>
      <c r="J1913" s="3" t="str">
        <f>HYPERLINK("https://www.boe.es/gazeta/dias/1816/07/06/pdfs/GMD-1816-84.pdf#page=8","Abrir facsímil")</f>
        <v>Abrir facsímil</v>
      </c>
      <c r="K1913" s="3" t="s">
        <v>23</v>
      </c>
    </row>
    <row r="1914" spans="1:11" ht="42" customHeight="1">
      <c r="A1914" s="2" t="s">
        <v>4601</v>
      </c>
      <c r="B1914" s="2" t="s">
        <v>4602</v>
      </c>
      <c r="C1914" s="2" t="s">
        <v>26</v>
      </c>
      <c r="D1914" s="2" t="s">
        <v>18</v>
      </c>
      <c r="E1914" s="5">
        <v>-30487</v>
      </c>
      <c r="F1914" s="3" t="s">
        <v>397</v>
      </c>
      <c r="G1914" s="3" t="s">
        <v>28</v>
      </c>
      <c r="H1914" s="2" t="s">
        <v>21</v>
      </c>
      <c r="I1914" s="2" t="s">
        <v>4613</v>
      </c>
      <c r="J1914" s="3" t="str">
        <f>HYPERLINK("https://www.boe.es/gazeta/dias/1816/07/11/pdfs/GMD-1816-86.pdf#page=6","Abrir facsímil")</f>
        <v>Abrir facsímil</v>
      </c>
      <c r="K1914" s="3" t="s">
        <v>23</v>
      </c>
    </row>
    <row r="1915" spans="1:11" ht="42" customHeight="1">
      <c r="A1915" s="2" t="s">
        <v>4601</v>
      </c>
      <c r="B1915" s="2" t="s">
        <v>4602</v>
      </c>
      <c r="C1915" s="2" t="s">
        <v>111</v>
      </c>
      <c r="D1915" s="2" t="s">
        <v>112</v>
      </c>
      <c r="E1915" s="5">
        <v>-30431</v>
      </c>
      <c r="F1915" s="3" t="s">
        <v>756</v>
      </c>
      <c r="G1915" s="3" t="s">
        <v>103</v>
      </c>
      <c r="H1915" s="2" t="s">
        <v>21</v>
      </c>
      <c r="I1915" s="2" t="s">
        <v>4614</v>
      </c>
      <c r="J1915" s="3" t="str">
        <f>HYPERLINK("https://www.boe.es/gazeta/dias/1816/09/05/pdfs/GMD-1816-110.pdf#page=4","Abrir facsímil")</f>
        <v>Abrir facsímil</v>
      </c>
      <c r="K1915" s="3" t="s">
        <v>23</v>
      </c>
    </row>
    <row r="1916" spans="1:11" ht="42" customHeight="1">
      <c r="A1916" s="2" t="s">
        <v>4601</v>
      </c>
      <c r="B1916" s="2" t="s">
        <v>4602</v>
      </c>
      <c r="C1916" s="2" t="s">
        <v>111</v>
      </c>
      <c r="D1916" s="2" t="s">
        <v>112</v>
      </c>
      <c r="E1916" s="5">
        <v>-30419</v>
      </c>
      <c r="F1916" s="3" t="s">
        <v>1256</v>
      </c>
      <c r="G1916" s="3" t="s">
        <v>184</v>
      </c>
      <c r="H1916" s="2" t="s">
        <v>21</v>
      </c>
      <c r="I1916" s="2" t="s">
        <v>4615</v>
      </c>
      <c r="J1916" s="3" t="str">
        <f>HYPERLINK("https://www.boe.es/gazeta/dias/1816/09/17/pdfs/GMD-1816-115.pdf#page=3","Abrir facsímil")</f>
        <v>Abrir facsímil</v>
      </c>
      <c r="K1916" s="3" t="s">
        <v>23</v>
      </c>
    </row>
    <row r="1917" spans="1:11" ht="42" customHeight="1">
      <c r="A1917" s="2" t="s">
        <v>4601</v>
      </c>
      <c r="B1917" s="2" t="s">
        <v>4602</v>
      </c>
      <c r="C1917" s="2" t="s">
        <v>26</v>
      </c>
      <c r="D1917" s="2" t="s">
        <v>18</v>
      </c>
      <c r="E1917" s="5">
        <v>-30417</v>
      </c>
      <c r="F1917" s="3" t="s">
        <v>62</v>
      </c>
      <c r="G1917" s="3" t="s">
        <v>103</v>
      </c>
      <c r="H1917" s="2" t="s">
        <v>21</v>
      </c>
      <c r="I1917" s="2" t="s">
        <v>4616</v>
      </c>
      <c r="J1917" s="3" t="str">
        <f>HYPERLINK("https://www.boe.es/gazeta/dias/1816/09/19/pdfs/GMD-1816-116.pdf#page=4","Abrir facsímil")</f>
        <v>Abrir facsímil</v>
      </c>
      <c r="K1917" s="3" t="s">
        <v>23</v>
      </c>
    </row>
    <row r="1918" spans="1:11" ht="42" customHeight="1">
      <c r="A1918" s="2" t="s">
        <v>4601</v>
      </c>
      <c r="B1918" s="2" t="s">
        <v>4602</v>
      </c>
      <c r="C1918" s="2" t="s">
        <v>111</v>
      </c>
      <c r="D1918" s="2" t="s">
        <v>112</v>
      </c>
      <c r="E1918" s="5">
        <v>-30410</v>
      </c>
      <c r="F1918" s="3" t="s">
        <v>1259</v>
      </c>
      <c r="G1918" s="3" t="s">
        <v>1260</v>
      </c>
      <c r="H1918" s="2" t="s">
        <v>21</v>
      </c>
      <c r="I1918" s="2" t="s">
        <v>4617</v>
      </c>
      <c r="J1918" s="3" t="str">
        <f>HYPERLINK("https://www.boe.es/gazeta/dias/1816/09/26/pdfs/GMD-1816-119.pdf#page=7","Abrir facsímil")</f>
        <v>Abrir facsímil</v>
      </c>
      <c r="K1918" s="3" t="s">
        <v>23</v>
      </c>
    </row>
    <row r="1919" spans="1:11" ht="42" customHeight="1">
      <c r="A1919" s="2" t="s">
        <v>4601</v>
      </c>
      <c r="B1919" s="2" t="s">
        <v>4602</v>
      </c>
      <c r="C1919" s="2" t="s">
        <v>111</v>
      </c>
      <c r="D1919" s="2" t="s">
        <v>112</v>
      </c>
      <c r="E1919" s="5">
        <v>-30410</v>
      </c>
      <c r="F1919" s="3" t="s">
        <v>1259</v>
      </c>
      <c r="G1919" s="3" t="s">
        <v>4618</v>
      </c>
      <c r="H1919" s="2" t="s">
        <v>21</v>
      </c>
      <c r="I1919" s="2" t="s">
        <v>4619</v>
      </c>
      <c r="J1919" s="3" t="str">
        <f>HYPERLINK("https://www.boe.es/gazeta/dias/1816/09/26/pdfs/GMD-1816-119.pdf#page=8","Abrir facsímil")</f>
        <v>Abrir facsímil</v>
      </c>
      <c r="K1919" s="3" t="s">
        <v>23</v>
      </c>
    </row>
    <row r="1920" spans="1:11" ht="42" customHeight="1">
      <c r="A1920" s="2" t="s">
        <v>4601</v>
      </c>
      <c r="B1920" s="2" t="s">
        <v>4602</v>
      </c>
      <c r="C1920" s="2" t="s">
        <v>26</v>
      </c>
      <c r="D1920" s="2" t="s">
        <v>18</v>
      </c>
      <c r="E1920" s="5">
        <v>-30375</v>
      </c>
      <c r="F1920" s="3" t="s">
        <v>404</v>
      </c>
      <c r="G1920" s="3" t="s">
        <v>1278</v>
      </c>
      <c r="H1920" s="2" t="s">
        <v>21</v>
      </c>
      <c r="I1920" s="2" t="s">
        <v>4620</v>
      </c>
      <c r="J1920" s="3" t="str">
        <f>HYPERLINK("https://www.boe.es/gazeta/dias/1816/10/31/pdfs/GMD-1816-136.pdf#page=7","Abrir facsímil")</f>
        <v>Abrir facsímil</v>
      </c>
      <c r="K1920" s="3" t="s">
        <v>23</v>
      </c>
    </row>
    <row r="1921" spans="1:11" ht="42" customHeight="1">
      <c r="A1921" s="2" t="s">
        <v>4601</v>
      </c>
      <c r="B1921" s="2" t="s">
        <v>4602</v>
      </c>
      <c r="C1921" s="2" t="s">
        <v>26</v>
      </c>
      <c r="D1921" s="2" t="s">
        <v>18</v>
      </c>
      <c r="E1921" s="5">
        <v>-30375</v>
      </c>
      <c r="F1921" s="3" t="s">
        <v>404</v>
      </c>
      <c r="G1921" s="3" t="s">
        <v>184</v>
      </c>
      <c r="H1921" s="2" t="s">
        <v>21</v>
      </c>
      <c r="I1921" s="2" t="s">
        <v>4621</v>
      </c>
      <c r="J1921" s="3" t="str">
        <f>HYPERLINK("https://www.boe.es/gazeta/dias/1816/10/31/pdfs/GMD-1816-136.pdf#page=3","Abrir facsímil")</f>
        <v>Abrir facsímil</v>
      </c>
      <c r="K1921" s="3" t="s">
        <v>23</v>
      </c>
    </row>
    <row r="1922" spans="1:11" ht="42" customHeight="1">
      <c r="A1922" s="2" t="s">
        <v>4601</v>
      </c>
      <c r="B1922" s="2" t="s">
        <v>4602</v>
      </c>
      <c r="C1922" s="2" t="s">
        <v>26</v>
      </c>
      <c r="D1922" s="2" t="s">
        <v>18</v>
      </c>
      <c r="E1922" s="5">
        <v>-30373</v>
      </c>
      <c r="F1922" s="3" t="s">
        <v>1280</v>
      </c>
      <c r="G1922" s="3" t="s">
        <v>1281</v>
      </c>
      <c r="H1922" s="2" t="s">
        <v>21</v>
      </c>
      <c r="I1922" s="2" t="s">
        <v>4622</v>
      </c>
      <c r="J1922" s="3" t="str">
        <f>HYPERLINK("https://www.boe.es/gazeta/dias/1816/11/02/pdfs/GMD-1816-137.pdf#page=6","Abrir facsímil")</f>
        <v>Abrir facsímil</v>
      </c>
      <c r="K1922" s="3" t="s">
        <v>23</v>
      </c>
    </row>
    <row r="1923" spans="1:11" ht="42" customHeight="1">
      <c r="A1923" s="2" t="s">
        <v>4601</v>
      </c>
      <c r="B1923" s="2" t="s">
        <v>4602</v>
      </c>
      <c r="C1923" s="2" t="s">
        <v>26</v>
      </c>
      <c r="D1923" s="2" t="s">
        <v>18</v>
      </c>
      <c r="E1923" s="5">
        <v>-30342</v>
      </c>
      <c r="F1923" s="3" t="s">
        <v>116</v>
      </c>
      <c r="G1923" s="3" t="s">
        <v>28</v>
      </c>
      <c r="H1923" s="2" t="s">
        <v>21</v>
      </c>
      <c r="I1923" s="2" t="s">
        <v>4623</v>
      </c>
      <c r="J1923" s="3" t="str">
        <f>HYPERLINK("https://www.boe.es/gazeta/dias/1816/12/03/pdfs/GMD-1816-150.pdf#page=6","Abrir facsímil")</f>
        <v>Abrir facsímil</v>
      </c>
      <c r="K1923" s="3" t="s">
        <v>23</v>
      </c>
    </row>
    <row r="1924" spans="1:11" ht="42" customHeight="1">
      <c r="A1924" s="2" t="s">
        <v>4624</v>
      </c>
      <c r="B1924" s="2" t="s">
        <v>4625</v>
      </c>
      <c r="C1924" s="2" t="s">
        <v>111</v>
      </c>
      <c r="D1924" s="2" t="s">
        <v>112</v>
      </c>
      <c r="E1924" s="5">
        <v>-30349</v>
      </c>
      <c r="F1924" s="3" t="s">
        <v>360</v>
      </c>
      <c r="G1924" s="3" t="s">
        <v>103</v>
      </c>
      <c r="H1924" s="2" t="s">
        <v>21</v>
      </c>
      <c r="I1924" s="2" t="s">
        <v>4626</v>
      </c>
      <c r="J1924" s="3" t="str">
        <f>HYPERLINK("https://www.boe.es/gazeta/dias/1816/11/26/pdfs/GMD-1816-147.pdf#page=4","Abrir facsímil")</f>
        <v>Abrir facsímil</v>
      </c>
      <c r="K1924" s="3" t="s">
        <v>23</v>
      </c>
    </row>
    <row r="1925" spans="1:11" ht="42" customHeight="1">
      <c r="A1925" s="2" t="s">
        <v>4627</v>
      </c>
      <c r="B1925" s="2" t="s">
        <v>4627</v>
      </c>
      <c r="C1925" s="2" t="s">
        <v>67</v>
      </c>
      <c r="D1925" s="2" t="s">
        <v>18</v>
      </c>
      <c r="E1925" s="5">
        <v>-30641</v>
      </c>
      <c r="F1925" s="3" t="s">
        <v>192</v>
      </c>
      <c r="G1925" s="3" t="s">
        <v>42</v>
      </c>
      <c r="H1925" s="2" t="s">
        <v>21</v>
      </c>
      <c r="I1925" s="2" t="s">
        <v>4628</v>
      </c>
      <c r="J1925" s="3" t="str">
        <f>HYPERLINK("https://www.boe.es/gazeta/dias/1816/02/08/pdfs/GMD-1816-18.pdf#page=8","Abrir facsímil")</f>
        <v>Abrir facsímil</v>
      </c>
      <c r="K1925" s="3" t="s">
        <v>23</v>
      </c>
    </row>
    <row r="1926" spans="1:11" ht="42" customHeight="1">
      <c r="A1926" s="2" t="s">
        <v>4627</v>
      </c>
      <c r="B1926" s="2" t="s">
        <v>4627</v>
      </c>
      <c r="C1926" s="2" t="s">
        <v>111</v>
      </c>
      <c r="D1926" s="2" t="s">
        <v>112</v>
      </c>
      <c r="E1926" s="5">
        <v>-30632</v>
      </c>
      <c r="F1926" s="3" t="s">
        <v>89</v>
      </c>
      <c r="G1926" s="3" t="s">
        <v>42</v>
      </c>
      <c r="H1926" s="2" t="s">
        <v>21</v>
      </c>
      <c r="I1926" s="2" t="s">
        <v>4629</v>
      </c>
      <c r="J1926" s="3" t="str">
        <f>HYPERLINK("https://www.boe.es/gazeta/dias/1816/02/17/pdfs/GMD-1816-22.pdf#page=8","Abrir facsímil")</f>
        <v>Abrir facsímil</v>
      </c>
      <c r="K1926" s="3" t="s">
        <v>23</v>
      </c>
    </row>
    <row r="1927" spans="1:11" ht="42" customHeight="1">
      <c r="A1927" s="2" t="s">
        <v>4627</v>
      </c>
      <c r="B1927" s="2" t="s">
        <v>4627</v>
      </c>
      <c r="C1927" s="2" t="s">
        <v>26</v>
      </c>
      <c r="D1927" s="2" t="s">
        <v>18</v>
      </c>
      <c r="E1927" s="5">
        <v>-30611</v>
      </c>
      <c r="F1927" s="3" t="s">
        <v>211</v>
      </c>
      <c r="G1927" s="3" t="s">
        <v>42</v>
      </c>
      <c r="H1927" s="2" t="s">
        <v>21</v>
      </c>
      <c r="I1927" s="2" t="s">
        <v>4630</v>
      </c>
      <c r="J1927" s="3" t="str">
        <f>HYPERLINK("https://www.boe.es/gazeta/dias/1816/03/09/pdfs/GMD-1816-32.pdf#page=8","Abrir facsímil")</f>
        <v>Abrir facsímil</v>
      </c>
      <c r="K1927" s="3" t="s">
        <v>23</v>
      </c>
    </row>
    <row r="1928" spans="1:11" ht="42" customHeight="1">
      <c r="A1928" s="2" t="s">
        <v>4627</v>
      </c>
      <c r="B1928" s="2" t="s">
        <v>4627</v>
      </c>
      <c r="C1928" s="2" t="s">
        <v>111</v>
      </c>
      <c r="D1928" s="2" t="s">
        <v>112</v>
      </c>
      <c r="E1928" s="5">
        <v>-30585</v>
      </c>
      <c r="F1928" s="3" t="s">
        <v>633</v>
      </c>
      <c r="G1928" s="3" t="s">
        <v>72</v>
      </c>
      <c r="H1928" s="2" t="s">
        <v>21</v>
      </c>
      <c r="I1928" s="2" t="s">
        <v>4631</v>
      </c>
      <c r="J1928" s="3" t="str">
        <f>HYPERLINK("https://www.boe.es/gazeta/dias/1816/04/04/pdfs/GMD-1816-44.pdf#page=7","Abrir facsímil")</f>
        <v>Abrir facsímil</v>
      </c>
      <c r="K1928" s="3" t="s">
        <v>23</v>
      </c>
    </row>
    <row r="1929" spans="1:11" ht="42" customHeight="1">
      <c r="A1929" s="2" t="s">
        <v>4627</v>
      </c>
      <c r="B1929" s="2" t="s">
        <v>4627</v>
      </c>
      <c r="C1929" s="2" t="s">
        <v>34</v>
      </c>
      <c r="D1929" s="2" t="s">
        <v>35</v>
      </c>
      <c r="E1929" s="5">
        <v>-30531</v>
      </c>
      <c r="F1929" s="3" t="s">
        <v>535</v>
      </c>
      <c r="G1929" s="3" t="s">
        <v>28</v>
      </c>
      <c r="H1929" s="2" t="s">
        <v>21</v>
      </c>
      <c r="I1929" s="2" t="s">
        <v>4632</v>
      </c>
      <c r="J1929" s="3" t="str">
        <f>HYPERLINK("https://www.boe.es/gazeta/dias/1816/05/28/pdfs/GMD-1816-67.pdf#page=6","Abrir facsímil")</f>
        <v>Abrir facsímil</v>
      </c>
      <c r="K1929" s="3" t="s">
        <v>23</v>
      </c>
    </row>
    <row r="1930" spans="1:11" ht="42" customHeight="1">
      <c r="A1930" s="2" t="s">
        <v>4627</v>
      </c>
      <c r="B1930" s="2" t="s">
        <v>4627</v>
      </c>
      <c r="C1930" s="2" t="s">
        <v>34</v>
      </c>
      <c r="D1930" s="2" t="s">
        <v>35</v>
      </c>
      <c r="E1930" s="5">
        <v>-30520</v>
      </c>
      <c r="F1930" s="3" t="s">
        <v>731</v>
      </c>
      <c r="G1930" s="3" t="s">
        <v>42</v>
      </c>
      <c r="H1930" s="2" t="s">
        <v>21</v>
      </c>
      <c r="I1930" s="2" t="s">
        <v>4633</v>
      </c>
      <c r="J1930" s="3" t="str">
        <f>HYPERLINK("https://www.boe.es/gazeta/dias/1816/06/08/pdfs/GMD-1816-72.pdf#page=8","Abrir facsímil")</f>
        <v>Abrir facsímil</v>
      </c>
      <c r="K1930" s="3" t="s">
        <v>23</v>
      </c>
    </row>
    <row r="1931" spans="1:11" ht="42" customHeight="1">
      <c r="A1931" s="2" t="s">
        <v>4627</v>
      </c>
      <c r="B1931" s="2" t="s">
        <v>4627</v>
      </c>
      <c r="C1931" s="2" t="s">
        <v>34</v>
      </c>
      <c r="D1931" s="2" t="s">
        <v>35</v>
      </c>
      <c r="E1931" s="5">
        <v>-30501</v>
      </c>
      <c r="F1931" s="3" t="s">
        <v>475</v>
      </c>
      <c r="G1931" s="3" t="s">
        <v>47</v>
      </c>
      <c r="H1931" s="2" t="s">
        <v>21</v>
      </c>
      <c r="I1931" s="2" t="s">
        <v>4634</v>
      </c>
      <c r="J1931" s="3" t="str">
        <f>HYPERLINK("https://www.boe.es/gazeta/dias/1816/06/27/pdfs/GMD-1816-80.pdf#page=5","Abrir facsímil")</f>
        <v>Abrir facsímil</v>
      </c>
      <c r="K1931" s="3" t="s">
        <v>23</v>
      </c>
    </row>
    <row r="1932" spans="1:11" ht="42" customHeight="1">
      <c r="A1932" s="2" t="s">
        <v>4627</v>
      </c>
      <c r="B1932" s="2" t="s">
        <v>4627</v>
      </c>
      <c r="C1932" s="2" t="s">
        <v>111</v>
      </c>
      <c r="D1932" s="2" t="s">
        <v>112</v>
      </c>
      <c r="E1932" s="5">
        <v>-30405</v>
      </c>
      <c r="F1932" s="3" t="s">
        <v>587</v>
      </c>
      <c r="G1932" s="3" t="s">
        <v>103</v>
      </c>
      <c r="H1932" s="2" t="s">
        <v>21</v>
      </c>
      <c r="I1932" s="2" t="s">
        <v>4635</v>
      </c>
      <c r="J1932" s="3" t="str">
        <f>HYPERLINK("https://www.boe.es/gazeta/dias/1816/10/01/pdfs/GMD-1816-121.pdf#page=4","Abrir facsímil")</f>
        <v>Abrir facsímil</v>
      </c>
      <c r="K1932" s="3" t="s">
        <v>23</v>
      </c>
    </row>
    <row r="1933" spans="1:11" ht="42" customHeight="1">
      <c r="A1933" s="2" t="s">
        <v>4627</v>
      </c>
      <c r="B1933" s="2" t="s">
        <v>4627</v>
      </c>
      <c r="C1933" s="2" t="s">
        <v>26</v>
      </c>
      <c r="D1933" s="2" t="s">
        <v>56</v>
      </c>
      <c r="E1933" s="5">
        <v>-30393</v>
      </c>
      <c r="F1933" s="3" t="s">
        <v>202</v>
      </c>
      <c r="G1933" s="3" t="s">
        <v>834</v>
      </c>
      <c r="H1933" s="2" t="s">
        <v>21</v>
      </c>
      <c r="I1933" s="2" t="s">
        <v>4636</v>
      </c>
      <c r="J1933" s="3" t="str">
        <f>HYPERLINK("https://www.boe.es/gazeta/dias/1816/10/13/pdfs/GMD-1816-128E.pdf#page=6","Abrir facsímil")</f>
        <v>Abrir facsímil</v>
      </c>
      <c r="K1933" s="3" t="s">
        <v>23</v>
      </c>
    </row>
    <row r="1934" spans="1:11" ht="42" customHeight="1">
      <c r="A1934" s="2" t="s">
        <v>4627</v>
      </c>
      <c r="B1934" s="2" t="s">
        <v>4627</v>
      </c>
      <c r="C1934" s="2" t="s">
        <v>34</v>
      </c>
      <c r="D1934" s="2" t="s">
        <v>56</v>
      </c>
      <c r="E1934" s="5">
        <v>-30393</v>
      </c>
      <c r="F1934" s="3" t="s">
        <v>202</v>
      </c>
      <c r="G1934" s="3" t="s">
        <v>270</v>
      </c>
      <c r="H1934" s="2" t="s">
        <v>21</v>
      </c>
      <c r="I1934" s="2" t="s">
        <v>4637</v>
      </c>
      <c r="J1934" s="3" t="str">
        <f>HYPERLINK("https://www.boe.es/gazeta/dias/1816/10/13/pdfs/GMD-1816-128E.pdf#page=2","Abrir facsímil")</f>
        <v>Abrir facsímil</v>
      </c>
      <c r="K1934" s="3" t="s">
        <v>23</v>
      </c>
    </row>
    <row r="1935" spans="1:11" ht="42" customHeight="1">
      <c r="A1935" s="2" t="s">
        <v>4627</v>
      </c>
      <c r="B1935" s="2" t="s">
        <v>4627</v>
      </c>
      <c r="C1935" s="2" t="s">
        <v>26</v>
      </c>
      <c r="D1935" s="2" t="s">
        <v>18</v>
      </c>
      <c r="E1935" s="5">
        <v>-30366</v>
      </c>
      <c r="F1935" s="3" t="s">
        <v>179</v>
      </c>
      <c r="G1935" s="3" t="s">
        <v>103</v>
      </c>
      <c r="H1935" s="2" t="s">
        <v>21</v>
      </c>
      <c r="I1935" s="2" t="s">
        <v>4638</v>
      </c>
      <c r="J1935" s="3" t="str">
        <f>HYPERLINK("https://www.boe.es/gazeta/dias/1816/11/09/pdfs/GMD-1816-140.pdf#page=4","Abrir facsímil")</f>
        <v>Abrir facsímil</v>
      </c>
      <c r="K1935" s="3" t="s">
        <v>23</v>
      </c>
    </row>
    <row r="1936" spans="1:11" ht="42" customHeight="1">
      <c r="A1936" s="2" t="s">
        <v>4627</v>
      </c>
      <c r="B1936" s="2" t="s">
        <v>4627</v>
      </c>
      <c r="C1936" s="2" t="s">
        <v>34</v>
      </c>
      <c r="D1936" s="2" t="s">
        <v>35</v>
      </c>
      <c r="E1936" s="5">
        <v>-30347</v>
      </c>
      <c r="F1936" s="3" t="s">
        <v>2994</v>
      </c>
      <c r="G1936" s="3" t="s">
        <v>28</v>
      </c>
      <c r="H1936" s="2" t="s">
        <v>21</v>
      </c>
      <c r="I1936" s="2" t="s">
        <v>4639</v>
      </c>
      <c r="J1936" s="3" t="str">
        <f>HYPERLINK("https://www.boe.es/gazeta/dias/1816/11/28/pdfs/GMD-1816-148.pdf#page=6","Abrir facsímil")</f>
        <v>Abrir facsímil</v>
      </c>
      <c r="K1936" s="3" t="s">
        <v>23</v>
      </c>
    </row>
    <row r="1937" spans="1:11" ht="42" customHeight="1">
      <c r="A1937" s="2" t="s">
        <v>4627</v>
      </c>
      <c r="B1937" s="2" t="s">
        <v>4627</v>
      </c>
      <c r="C1937" s="2" t="s">
        <v>81</v>
      </c>
      <c r="D1937" s="2" t="s">
        <v>18</v>
      </c>
      <c r="E1937" s="5">
        <v>-30319</v>
      </c>
      <c r="F1937" s="3" t="s">
        <v>131</v>
      </c>
      <c r="G1937" s="3" t="s">
        <v>2122</v>
      </c>
      <c r="H1937" s="2" t="s">
        <v>21</v>
      </c>
      <c r="I1937" s="2" t="s">
        <v>4640</v>
      </c>
      <c r="J1937" s="3" t="str">
        <f>HYPERLINK("https://www.boe.es/gazeta/dias/1816/12/26/pdfs/GMD-1816-160.pdf#page=7","Abrir facsímil")</f>
        <v>Abrir facsímil</v>
      </c>
      <c r="K1937" s="3" t="s">
        <v>23</v>
      </c>
    </row>
    <row r="1938" spans="1:11" ht="42" customHeight="1">
      <c r="A1938" s="2" t="s">
        <v>4627</v>
      </c>
      <c r="B1938" s="2" t="s">
        <v>4627</v>
      </c>
      <c r="C1938" s="2" t="s">
        <v>34</v>
      </c>
      <c r="D1938" s="2" t="s">
        <v>35</v>
      </c>
      <c r="E1938" s="5">
        <v>-30314</v>
      </c>
      <c r="F1938" s="3" t="s">
        <v>1899</v>
      </c>
      <c r="G1938" s="3" t="s">
        <v>2360</v>
      </c>
      <c r="H1938" s="2" t="s">
        <v>21</v>
      </c>
      <c r="I1938" s="2" t="s">
        <v>4641</v>
      </c>
      <c r="J1938" s="3" t="str">
        <f>HYPERLINK("https://www.boe.es/gazeta/dias/1816/12/31/pdfs/GMD-1816-162.pdf#page=4","Abrir facsímil")</f>
        <v>Abrir facsímil</v>
      </c>
      <c r="K1938" s="3" t="s">
        <v>23</v>
      </c>
    </row>
    <row r="1939" spans="1:11" ht="42" customHeight="1">
      <c r="A1939" s="2" t="s">
        <v>4642</v>
      </c>
      <c r="B1939" s="2" t="s">
        <v>4642</v>
      </c>
      <c r="C1939" s="2" t="s">
        <v>111</v>
      </c>
      <c r="D1939" s="2" t="s">
        <v>112</v>
      </c>
      <c r="E1939" s="5">
        <v>-30347</v>
      </c>
      <c r="F1939" s="3" t="s">
        <v>2994</v>
      </c>
      <c r="G1939" s="3" t="s">
        <v>58</v>
      </c>
      <c r="H1939" s="2" t="s">
        <v>21</v>
      </c>
      <c r="I1939" s="2" t="s">
        <v>4643</v>
      </c>
      <c r="J1939" s="3" t="str">
        <f>HYPERLINK("https://www.boe.es/gazeta/dias/1816/11/28/pdfs/GMD-1816-148.pdf#page=1","Abrir facsímil")</f>
        <v>Abrir facsímil</v>
      </c>
      <c r="K1939" s="3" t="s">
        <v>23</v>
      </c>
    </row>
    <row r="1940" spans="1:11" ht="42" customHeight="1">
      <c r="A1940" s="2" t="s">
        <v>4644</v>
      </c>
      <c r="B1940" s="2" t="s">
        <v>4645</v>
      </c>
      <c r="C1940" s="2" t="s">
        <v>17</v>
      </c>
      <c r="D1940" s="2" t="s">
        <v>18</v>
      </c>
      <c r="E1940" s="5">
        <v>-30573</v>
      </c>
      <c r="F1940" s="3" t="s">
        <v>840</v>
      </c>
      <c r="G1940" s="3" t="s">
        <v>42</v>
      </c>
      <c r="H1940" s="2" t="s">
        <v>21</v>
      </c>
      <c r="I1940" s="2" t="s">
        <v>4646</v>
      </c>
      <c r="J1940" s="3" t="str">
        <f>HYPERLINK("https://www.boe.es/gazeta/dias/1816/04/16/pdfs/GMD-1816-49.pdf#page=8","Abrir facsímil")</f>
        <v>Abrir facsímil</v>
      </c>
      <c r="K1940" s="3" t="s">
        <v>23</v>
      </c>
    </row>
    <row r="1941" spans="1:11" ht="42" customHeight="1">
      <c r="A1941" s="2" t="s">
        <v>4647</v>
      </c>
      <c r="B1941" s="2" t="s">
        <v>4648</v>
      </c>
      <c r="C1941" s="2" t="s">
        <v>17</v>
      </c>
      <c r="D1941" s="2" t="s">
        <v>18</v>
      </c>
      <c r="E1941" s="5">
        <v>-30573</v>
      </c>
      <c r="F1941" s="3" t="s">
        <v>840</v>
      </c>
      <c r="G1941" s="3" t="s">
        <v>42</v>
      </c>
      <c r="H1941" s="2" t="s">
        <v>21</v>
      </c>
      <c r="I1941" s="2" t="s">
        <v>4649</v>
      </c>
      <c r="J1941" s="3" t="str">
        <f>HYPERLINK("https://www.boe.es/gazeta/dias/1816/04/16/pdfs/GMD-1816-49.pdf#page=8","Abrir facsímil")</f>
        <v>Abrir facsímil</v>
      </c>
      <c r="K1941" s="3" t="s">
        <v>23</v>
      </c>
    </row>
    <row r="1942" spans="1:11" ht="42" customHeight="1">
      <c r="A1942" s="2" t="s">
        <v>4650</v>
      </c>
      <c r="B1942" s="2" t="s">
        <v>4651</v>
      </c>
      <c r="C1942" s="2" t="s">
        <v>26</v>
      </c>
      <c r="D1942" s="2" t="s">
        <v>56</v>
      </c>
      <c r="E1942" s="5">
        <v>-30393</v>
      </c>
      <c r="F1942" s="3" t="s">
        <v>202</v>
      </c>
      <c r="G1942" s="3" t="s">
        <v>834</v>
      </c>
      <c r="H1942" s="2" t="s">
        <v>21</v>
      </c>
      <c r="I1942" s="2" t="s">
        <v>4652</v>
      </c>
      <c r="J1942" s="3" t="str">
        <f>HYPERLINK("https://www.boe.es/gazeta/dias/1816/10/13/pdfs/GMD-1816-128E.pdf#page=6","Abrir facsímil")</f>
        <v>Abrir facsímil</v>
      </c>
      <c r="K1942" s="3" t="s">
        <v>23</v>
      </c>
    </row>
    <row r="1943" spans="1:11" ht="42" customHeight="1">
      <c r="A1943" s="2" t="s">
        <v>4653</v>
      </c>
      <c r="B1943" s="2" t="s">
        <v>4654</v>
      </c>
      <c r="C1943" s="2" t="s">
        <v>34</v>
      </c>
      <c r="D1943" s="2" t="s">
        <v>35</v>
      </c>
      <c r="E1943" s="5">
        <v>-30552</v>
      </c>
      <c r="F1943" s="3" t="s">
        <v>1842</v>
      </c>
      <c r="G1943" s="3" t="s">
        <v>72</v>
      </c>
      <c r="H1943" s="2" t="s">
        <v>21</v>
      </c>
      <c r="I1943" s="2" t="s">
        <v>4655</v>
      </c>
      <c r="J1943" s="3" t="str">
        <f>HYPERLINK("https://www.boe.es/gazeta/dias/1816/05/07/pdfs/GMD-1816-58.pdf#page=7","Abrir facsímil")</f>
        <v>Abrir facsímil</v>
      </c>
      <c r="K1943" s="3" t="s">
        <v>23</v>
      </c>
    </row>
    <row r="1944" spans="1:11" ht="42" customHeight="1">
      <c r="A1944" s="2" t="s">
        <v>4656</v>
      </c>
      <c r="B1944" s="2" t="s">
        <v>4657</v>
      </c>
      <c r="C1944" s="2" t="s">
        <v>34</v>
      </c>
      <c r="D1944" s="2" t="s">
        <v>35</v>
      </c>
      <c r="E1944" s="5">
        <v>-30552</v>
      </c>
      <c r="F1944" s="3" t="s">
        <v>1842</v>
      </c>
      <c r="G1944" s="3" t="s">
        <v>28</v>
      </c>
      <c r="H1944" s="2" t="s">
        <v>21</v>
      </c>
      <c r="I1944" s="2" t="s">
        <v>4658</v>
      </c>
      <c r="J1944" s="3" t="str">
        <f>HYPERLINK("https://www.boe.es/gazeta/dias/1816/05/07/pdfs/GMD-1816-58.pdf#page=6","Abrir facsímil")</f>
        <v>Abrir facsímil</v>
      </c>
      <c r="K1944" s="3" t="s">
        <v>23</v>
      </c>
    </row>
    <row r="1945" spans="1:11" ht="42" customHeight="1">
      <c r="A1945" s="2" t="s">
        <v>4659</v>
      </c>
      <c r="B1945" s="2" t="s">
        <v>4660</v>
      </c>
      <c r="C1945" s="2" t="s">
        <v>34</v>
      </c>
      <c r="D1945" s="2" t="s">
        <v>35</v>
      </c>
      <c r="E1945" s="5">
        <v>-30594</v>
      </c>
      <c r="F1945" s="3" t="s">
        <v>234</v>
      </c>
      <c r="G1945" s="3" t="s">
        <v>28</v>
      </c>
      <c r="H1945" s="2" t="s">
        <v>21</v>
      </c>
      <c r="I1945" s="2" t="s">
        <v>4661</v>
      </c>
      <c r="J1945" s="3" t="str">
        <f>HYPERLINK("https://www.boe.es/gazeta/dias/1816/03/26/pdfs/GMD-1816-40.pdf#page=6","Abrir facsímil")</f>
        <v>Abrir facsímil</v>
      </c>
      <c r="K1945" s="3" t="s">
        <v>23</v>
      </c>
    </row>
    <row r="1946" spans="1:11" ht="42" customHeight="1">
      <c r="A1946" s="2" t="s">
        <v>4659</v>
      </c>
      <c r="B1946" s="2" t="s">
        <v>4660</v>
      </c>
      <c r="C1946" s="2" t="s">
        <v>34</v>
      </c>
      <c r="D1946" s="2" t="s">
        <v>35</v>
      </c>
      <c r="E1946" s="5">
        <v>-30580</v>
      </c>
      <c r="F1946" s="3" t="s">
        <v>107</v>
      </c>
      <c r="G1946" s="3" t="s">
        <v>28</v>
      </c>
      <c r="H1946" s="2" t="s">
        <v>21</v>
      </c>
      <c r="I1946" s="2" t="s">
        <v>4662</v>
      </c>
      <c r="J1946" s="3" t="str">
        <f>HYPERLINK("https://www.boe.es/gazeta/dias/1816/04/09/pdfs/GMD-1816-46.pdf#page=6","Abrir facsímil")</f>
        <v>Abrir facsímil</v>
      </c>
      <c r="K1946" s="3" t="s">
        <v>23</v>
      </c>
    </row>
    <row r="1947" spans="1:11" ht="42" customHeight="1">
      <c r="A1947" s="2" t="s">
        <v>4663</v>
      </c>
      <c r="B1947" s="2" t="s">
        <v>4664</v>
      </c>
      <c r="C1947" s="2" t="s">
        <v>111</v>
      </c>
      <c r="D1947" s="2" t="s">
        <v>112</v>
      </c>
      <c r="E1947" s="5">
        <v>-30634</v>
      </c>
      <c r="F1947" s="3" t="s">
        <v>1104</v>
      </c>
      <c r="G1947" s="3" t="s">
        <v>2234</v>
      </c>
      <c r="H1947" s="2" t="s">
        <v>21</v>
      </c>
      <c r="I1947" s="2" t="s">
        <v>4665</v>
      </c>
      <c r="J1947" s="3" t="str">
        <f>HYPERLINK("https://www.boe.es/gazeta/dias/1816/02/15/pdfs/GMD-1816-21.pdf#page=8","Abrir facsímil")</f>
        <v>Abrir facsímil</v>
      </c>
      <c r="K1947" s="3" t="s">
        <v>23</v>
      </c>
    </row>
    <row r="1948" spans="1:11" ht="42" customHeight="1">
      <c r="A1948" s="2" t="s">
        <v>4666</v>
      </c>
      <c r="B1948" s="2" t="s">
        <v>4667</v>
      </c>
      <c r="C1948" s="2" t="s">
        <v>26</v>
      </c>
      <c r="D1948" s="2" t="s">
        <v>18</v>
      </c>
      <c r="E1948" s="5">
        <v>-30576</v>
      </c>
      <c r="F1948" s="3" t="s">
        <v>353</v>
      </c>
      <c r="G1948" s="3" t="s">
        <v>72</v>
      </c>
      <c r="H1948" s="2" t="s">
        <v>21</v>
      </c>
      <c r="I1948" s="2" t="s">
        <v>4668</v>
      </c>
      <c r="J1948" s="3" t="str">
        <f>HYPERLINK("https://www.boe.es/gazeta/dias/1816/04/13/pdfs/GMD-1816-48.pdf#page=7","Abrir facsímil")</f>
        <v>Abrir facsímil</v>
      </c>
      <c r="K1948" s="3" t="s">
        <v>23</v>
      </c>
    </row>
    <row r="1949" spans="1:11" ht="42" customHeight="1">
      <c r="A1949" s="2" t="s">
        <v>4669</v>
      </c>
      <c r="B1949" s="2" t="s">
        <v>4670</v>
      </c>
      <c r="C1949" s="2" t="s">
        <v>111</v>
      </c>
      <c r="D1949" s="2" t="s">
        <v>112</v>
      </c>
      <c r="E1949" s="5">
        <v>-30384</v>
      </c>
      <c r="F1949" s="3" t="s">
        <v>460</v>
      </c>
      <c r="G1949" s="3" t="s">
        <v>932</v>
      </c>
      <c r="H1949" s="2" t="s">
        <v>21</v>
      </c>
      <c r="I1949" s="2" t="s">
        <v>4671</v>
      </c>
      <c r="J1949" s="3" t="str">
        <f>HYPERLINK("https://www.boe.es/gazeta/dias/1816/10/22/pdfs/GMD-1816-132.pdf#page=7","Abrir facsímil")</f>
        <v>Abrir facsímil</v>
      </c>
      <c r="K1949" s="3" t="s">
        <v>23</v>
      </c>
    </row>
    <row r="1950" spans="1:11" ht="42" customHeight="1">
      <c r="A1950" s="2" t="s">
        <v>4672</v>
      </c>
      <c r="B1950" s="2" t="s">
        <v>4673</v>
      </c>
      <c r="C1950" s="2" t="s">
        <v>34</v>
      </c>
      <c r="D1950" s="2" t="s">
        <v>35</v>
      </c>
      <c r="E1950" s="5">
        <v>-30391</v>
      </c>
      <c r="F1950" s="3" t="s">
        <v>482</v>
      </c>
      <c r="G1950" s="3" t="s">
        <v>28</v>
      </c>
      <c r="H1950" s="2" t="s">
        <v>21</v>
      </c>
      <c r="I1950" s="2" t="s">
        <v>4674</v>
      </c>
      <c r="J1950" s="3" t="str">
        <f>HYPERLINK("https://www.boe.es/gazeta/dias/1816/10/15/pdfs/GMD-1816-129.pdf#page=6","Abrir facsímil")</f>
        <v>Abrir facsímil</v>
      </c>
      <c r="K1950" s="3" t="s">
        <v>23</v>
      </c>
    </row>
    <row r="1951" spans="1:11" ht="42" customHeight="1">
      <c r="A1951" s="2" t="s">
        <v>4675</v>
      </c>
      <c r="B1951" s="2" t="s">
        <v>4675</v>
      </c>
      <c r="C1951" s="2" t="s">
        <v>34</v>
      </c>
      <c r="D1951" s="2" t="s">
        <v>35</v>
      </c>
      <c r="E1951" s="5">
        <v>-30389</v>
      </c>
      <c r="F1951" s="3" t="s">
        <v>522</v>
      </c>
      <c r="G1951" s="3" t="s">
        <v>1273</v>
      </c>
      <c r="H1951" s="2" t="s">
        <v>21</v>
      </c>
      <c r="I1951" s="2" t="s">
        <v>4676</v>
      </c>
      <c r="J1951" s="3" t="str">
        <f>HYPERLINK("https://www.boe.es/gazeta/dias/1816/10/17/pdfs/GMD-1816-130.pdf#page=4","Abrir facsímil")</f>
        <v>Abrir facsímil</v>
      </c>
      <c r="K1951" s="3" t="s">
        <v>23</v>
      </c>
    </row>
    <row r="1952" spans="1:11" ht="42" customHeight="1">
      <c r="A1952" s="2" t="s">
        <v>4675</v>
      </c>
      <c r="B1952" s="2" t="s">
        <v>4675</v>
      </c>
      <c r="C1952" s="2" t="s">
        <v>34</v>
      </c>
      <c r="D1952" s="2" t="s">
        <v>35</v>
      </c>
      <c r="E1952" s="5">
        <v>-30389</v>
      </c>
      <c r="F1952" s="3" t="s">
        <v>522</v>
      </c>
      <c r="G1952" s="3" t="s">
        <v>184</v>
      </c>
      <c r="H1952" s="2" t="s">
        <v>21</v>
      </c>
      <c r="I1952" s="2" t="s">
        <v>4677</v>
      </c>
      <c r="J1952" s="3" t="str">
        <f>HYPERLINK("https://www.boe.es/gazeta/dias/1816/10/17/pdfs/GMD-1816-130.pdf#page=3","Abrir facsímil")</f>
        <v>Abrir facsímil</v>
      </c>
      <c r="K1952" s="3" t="s">
        <v>23</v>
      </c>
    </row>
    <row r="1953" spans="1:11" ht="42" customHeight="1">
      <c r="A1953" s="2" t="s">
        <v>4678</v>
      </c>
      <c r="B1953" s="2" t="s">
        <v>4679</v>
      </c>
      <c r="C1953" s="2" t="s">
        <v>111</v>
      </c>
      <c r="D1953" s="2" t="s">
        <v>112</v>
      </c>
      <c r="E1953" s="5">
        <v>-30517</v>
      </c>
      <c r="F1953" s="3" t="s">
        <v>557</v>
      </c>
      <c r="G1953" s="3" t="s">
        <v>103</v>
      </c>
      <c r="H1953" s="2" t="s">
        <v>21</v>
      </c>
      <c r="I1953" s="2" t="s">
        <v>4680</v>
      </c>
      <c r="J1953" s="3" t="str">
        <f>HYPERLINK("https://www.boe.es/gazeta/dias/1816/06/11/pdfs/GMD-1816-73.pdf#page=4","Abrir facsímil")</f>
        <v>Abrir facsímil</v>
      </c>
      <c r="K1953" s="3" t="s">
        <v>23</v>
      </c>
    </row>
    <row r="1954" spans="1:11" ht="42" customHeight="1">
      <c r="A1954" s="2" t="s">
        <v>4681</v>
      </c>
      <c r="B1954" s="2" t="s">
        <v>4681</v>
      </c>
      <c r="C1954" s="2" t="s">
        <v>26</v>
      </c>
      <c r="D1954" s="2" t="s">
        <v>18</v>
      </c>
      <c r="E1954" s="5">
        <v>-30494</v>
      </c>
      <c r="F1954" s="3" t="s">
        <v>174</v>
      </c>
      <c r="G1954" s="3" t="s">
        <v>42</v>
      </c>
      <c r="H1954" s="2" t="s">
        <v>21</v>
      </c>
      <c r="I1954" s="2" t="s">
        <v>4682</v>
      </c>
      <c r="J1954" s="3" t="str">
        <f>HYPERLINK("https://www.boe.es/gazeta/dias/1816/07/04/pdfs/GMD-1816-83.pdf#page=8","Abrir facsímil")</f>
        <v>Abrir facsímil</v>
      </c>
      <c r="K1954" s="3" t="s">
        <v>23</v>
      </c>
    </row>
    <row r="1955" spans="1:11" ht="42" customHeight="1">
      <c r="A1955" s="2" t="s">
        <v>4683</v>
      </c>
      <c r="B1955" s="2" t="s">
        <v>4684</v>
      </c>
      <c r="C1955" s="2" t="s">
        <v>26</v>
      </c>
      <c r="D1955" s="2" t="s">
        <v>18</v>
      </c>
      <c r="E1955" s="5">
        <v>-30494</v>
      </c>
      <c r="F1955" s="3" t="s">
        <v>174</v>
      </c>
      <c r="G1955" s="3" t="s">
        <v>42</v>
      </c>
      <c r="H1955" s="2" t="s">
        <v>21</v>
      </c>
      <c r="I1955" s="2" t="s">
        <v>4685</v>
      </c>
      <c r="J1955" s="3" t="str">
        <f>HYPERLINK("https://www.boe.es/gazeta/dias/1816/07/04/pdfs/GMD-1816-83.pdf#page=8","Abrir facsímil")</f>
        <v>Abrir facsímil</v>
      </c>
      <c r="K1955" s="3" t="s">
        <v>23</v>
      </c>
    </row>
    <row r="1956" spans="1:11" ht="42" customHeight="1">
      <c r="A1956" s="2" t="s">
        <v>4686</v>
      </c>
      <c r="B1956" s="2" t="s">
        <v>4687</v>
      </c>
      <c r="C1956" s="2" t="s">
        <v>81</v>
      </c>
      <c r="D1956" s="2" t="s">
        <v>18</v>
      </c>
      <c r="E1956" s="5">
        <v>-30678</v>
      </c>
      <c r="F1956" s="3" t="s">
        <v>76</v>
      </c>
      <c r="G1956" s="3" t="s">
        <v>77</v>
      </c>
      <c r="H1956" s="2" t="s">
        <v>21</v>
      </c>
      <c r="I1956" s="2" t="s">
        <v>4688</v>
      </c>
      <c r="J1956" s="3" t="str">
        <f>HYPERLINK("https://www.boe.es/gazeta/dias/1816/01/02/pdfs/GMD-1816-1.pdf#page=8","Abrir facsímil")</f>
        <v>Abrir facsímil</v>
      </c>
      <c r="K1956" s="3" t="s">
        <v>23</v>
      </c>
    </row>
    <row r="1957" spans="1:11" ht="42" customHeight="1">
      <c r="A1957" s="2" t="s">
        <v>4689</v>
      </c>
      <c r="B1957" s="2" t="s">
        <v>4690</v>
      </c>
      <c r="C1957" s="2" t="s">
        <v>111</v>
      </c>
      <c r="D1957" s="2" t="s">
        <v>112</v>
      </c>
      <c r="E1957" s="5">
        <v>-30321</v>
      </c>
      <c r="F1957" s="3" t="s">
        <v>1086</v>
      </c>
      <c r="G1957" s="3" t="s">
        <v>184</v>
      </c>
      <c r="H1957" s="2" t="s">
        <v>21</v>
      </c>
      <c r="I1957" s="2" t="s">
        <v>4691</v>
      </c>
      <c r="J1957" s="3" t="str">
        <f>HYPERLINK("https://www.boe.es/gazeta/dias/1816/12/24/pdfs/GMD-1816-159.pdf#page=3","Abrir facsímil")</f>
        <v>Abrir facsímil</v>
      </c>
      <c r="K1957" s="3" t="s">
        <v>23</v>
      </c>
    </row>
    <row r="1958" spans="1:11" ht="42" customHeight="1">
      <c r="A1958" s="2" t="s">
        <v>4692</v>
      </c>
      <c r="B1958" s="2" t="s">
        <v>4693</v>
      </c>
      <c r="C1958" s="2" t="s">
        <v>34</v>
      </c>
      <c r="D1958" s="2" t="s">
        <v>35</v>
      </c>
      <c r="E1958" s="5">
        <v>-30655</v>
      </c>
      <c r="F1958" s="3" t="s">
        <v>170</v>
      </c>
      <c r="G1958" s="3" t="s">
        <v>72</v>
      </c>
      <c r="H1958" s="2" t="s">
        <v>29</v>
      </c>
      <c r="I1958" s="2" t="s">
        <v>4694</v>
      </c>
      <c r="J1958" s="3" t="str">
        <f>HYPERLINK("https://www.boe.es/gazeta/dias/1816/01/25/pdfs/GMD-1816-11.pdf#page=7","Abrir facsímil")</f>
        <v>Abrir facsímil</v>
      </c>
      <c r="K1958" s="3" t="s">
        <v>31</v>
      </c>
    </row>
    <row r="1959" spans="1:11" ht="42" customHeight="1">
      <c r="A1959" s="2" t="s">
        <v>4695</v>
      </c>
      <c r="B1959" s="2" t="s">
        <v>4696</v>
      </c>
      <c r="C1959" s="2" t="s">
        <v>34</v>
      </c>
      <c r="D1959" s="2" t="s">
        <v>35</v>
      </c>
      <c r="E1959" s="5">
        <v>-30541</v>
      </c>
      <c r="F1959" s="3" t="s">
        <v>96</v>
      </c>
      <c r="G1959" s="3" t="s">
        <v>47</v>
      </c>
      <c r="H1959" s="2" t="s">
        <v>21</v>
      </c>
      <c r="I1959" s="2" t="s">
        <v>4697</v>
      </c>
      <c r="J1959" s="3" t="str">
        <f>HYPERLINK("https://www.boe.es/gazeta/dias/1816/05/18/pdfs/GMD-1816-63.pdf#page=5","Abrir facsímil")</f>
        <v>Abrir facsímil</v>
      </c>
      <c r="K1959" s="3" t="s">
        <v>23</v>
      </c>
    </row>
    <row r="1960" spans="1:11" ht="42" customHeight="1">
      <c r="A1960" s="2" t="s">
        <v>4695</v>
      </c>
      <c r="B1960" s="2" t="s">
        <v>4696</v>
      </c>
      <c r="C1960" s="2" t="s">
        <v>34</v>
      </c>
      <c r="D1960" s="2" t="s">
        <v>35</v>
      </c>
      <c r="E1960" s="5">
        <v>-30541</v>
      </c>
      <c r="F1960" s="3" t="s">
        <v>96</v>
      </c>
      <c r="G1960" s="3" t="s">
        <v>28</v>
      </c>
      <c r="H1960" s="2" t="s">
        <v>21</v>
      </c>
      <c r="I1960" s="2" t="s">
        <v>4698</v>
      </c>
      <c r="J1960" s="3" t="str">
        <f>HYPERLINK("https://www.boe.es/gazeta/dias/1816/05/18/pdfs/GMD-1816-63.pdf#page=6","Abrir facsímil")</f>
        <v>Abrir facsímil</v>
      </c>
      <c r="K1960" s="3" t="s">
        <v>23</v>
      </c>
    </row>
    <row r="1961" spans="1:11" ht="42" customHeight="1">
      <c r="A1961" s="2" t="s">
        <v>4699</v>
      </c>
      <c r="B1961" s="2" t="s">
        <v>4700</v>
      </c>
      <c r="C1961" s="2" t="s">
        <v>111</v>
      </c>
      <c r="D1961" s="2" t="s">
        <v>112</v>
      </c>
      <c r="E1961" s="5">
        <v>-30541</v>
      </c>
      <c r="F1961" s="3" t="s">
        <v>96</v>
      </c>
      <c r="G1961" s="3" t="s">
        <v>47</v>
      </c>
      <c r="H1961" s="2" t="s">
        <v>21</v>
      </c>
      <c r="I1961" s="2" t="s">
        <v>4701</v>
      </c>
      <c r="J1961" s="3" t="str">
        <f>HYPERLINK("https://www.boe.es/gazeta/dias/1816/05/18/pdfs/GMD-1816-63.pdf#page=5","Abrir facsímil")</f>
        <v>Abrir facsímil</v>
      </c>
      <c r="K1961" s="3" t="s">
        <v>23</v>
      </c>
    </row>
    <row r="1962" spans="1:11" ht="42" customHeight="1">
      <c r="A1962" s="2" t="s">
        <v>4702</v>
      </c>
      <c r="B1962" s="2" t="s">
        <v>4702</v>
      </c>
      <c r="C1962" s="2" t="s">
        <v>387</v>
      </c>
      <c r="D1962" s="2" t="s">
        <v>18</v>
      </c>
      <c r="E1962" s="5">
        <v>-30508</v>
      </c>
      <c r="F1962" s="3" t="s">
        <v>36</v>
      </c>
      <c r="G1962" s="3" t="s">
        <v>270</v>
      </c>
      <c r="H1962" s="2" t="s">
        <v>21</v>
      </c>
      <c r="I1962" s="2" t="s">
        <v>4703</v>
      </c>
      <c r="J1962" s="3" t="str">
        <f>HYPERLINK("https://www.boe.es/gazeta/dias/1816/06/20/pdfs/GMD-1816-77.pdf#page=2","Abrir facsímil")</f>
        <v>Abrir facsímil</v>
      </c>
      <c r="K1962" s="3" t="s">
        <v>23</v>
      </c>
    </row>
    <row r="1963" spans="1:11" ht="42" customHeight="1">
      <c r="A1963" s="2" t="s">
        <v>4704</v>
      </c>
      <c r="B1963" s="2" t="s">
        <v>4705</v>
      </c>
      <c r="C1963" s="2" t="s">
        <v>26</v>
      </c>
      <c r="D1963" s="2" t="s">
        <v>18</v>
      </c>
      <c r="E1963" s="5">
        <v>-30629</v>
      </c>
      <c r="F1963" s="3" t="s">
        <v>904</v>
      </c>
      <c r="G1963" s="3" t="s">
        <v>72</v>
      </c>
      <c r="H1963" s="2" t="s">
        <v>29</v>
      </c>
      <c r="I1963" s="2" t="s">
        <v>4706</v>
      </c>
      <c r="J1963" s="3" t="str">
        <f>HYPERLINK("https://www.boe.es/gazeta/dias/1816/02/20/pdfs/GMD-1816-23.pdf#page=7","Abrir facsímil")</f>
        <v>Abrir facsímil</v>
      </c>
      <c r="K1963" s="3" t="s">
        <v>31</v>
      </c>
    </row>
    <row r="1964" spans="1:11" ht="42" customHeight="1">
      <c r="A1964" s="2" t="s">
        <v>4707</v>
      </c>
      <c r="B1964" s="2" t="s">
        <v>4708</v>
      </c>
      <c r="C1964" s="2" t="s">
        <v>34</v>
      </c>
      <c r="D1964" s="2" t="s">
        <v>35</v>
      </c>
      <c r="E1964" s="5">
        <v>-30536</v>
      </c>
      <c r="F1964" s="3" t="s">
        <v>580</v>
      </c>
      <c r="G1964" s="3" t="s">
        <v>47</v>
      </c>
      <c r="H1964" s="2" t="s">
        <v>29</v>
      </c>
      <c r="I1964" s="2" t="s">
        <v>4709</v>
      </c>
      <c r="J1964" s="3" t="str">
        <f>HYPERLINK("https://www.boe.es/gazeta/dias/1816/05/23/pdfs/GMD-1816-65.pdf#page=5","Abrir facsímil")</f>
        <v>Abrir facsímil</v>
      </c>
      <c r="K1964" s="3" t="s">
        <v>31</v>
      </c>
    </row>
    <row r="1965" spans="1:11" ht="42" customHeight="1">
      <c r="A1965" s="2" t="s">
        <v>4710</v>
      </c>
      <c r="B1965" s="2" t="s">
        <v>4711</v>
      </c>
      <c r="C1965" s="2" t="s">
        <v>111</v>
      </c>
      <c r="D1965" s="2" t="s">
        <v>112</v>
      </c>
      <c r="E1965" s="5">
        <v>-30445</v>
      </c>
      <c r="F1965" s="3" t="s">
        <v>51</v>
      </c>
      <c r="G1965" s="3" t="s">
        <v>175</v>
      </c>
      <c r="H1965" s="2" t="s">
        <v>29</v>
      </c>
      <c r="I1965" s="2" t="s">
        <v>4712</v>
      </c>
      <c r="J1965" s="3" t="str">
        <f>HYPERLINK("https://www.boe.es/gazeta/dias/1816/08/22/pdfs/GMD-1816-104.pdf#page=11","Abrir facsímil")</f>
        <v>Abrir facsímil</v>
      </c>
      <c r="K1965" s="3" t="s">
        <v>31</v>
      </c>
    </row>
    <row r="1966" spans="1:11" ht="42" customHeight="1">
      <c r="A1966" s="2" t="s">
        <v>4713</v>
      </c>
      <c r="B1966" s="2" t="s">
        <v>4713</v>
      </c>
      <c r="C1966" s="2" t="s">
        <v>81</v>
      </c>
      <c r="D1966" s="2" t="s">
        <v>18</v>
      </c>
      <c r="E1966" s="5">
        <v>-30478</v>
      </c>
      <c r="F1966" s="3" t="s">
        <v>123</v>
      </c>
      <c r="G1966" s="3" t="s">
        <v>42</v>
      </c>
      <c r="H1966" s="2" t="s">
        <v>21</v>
      </c>
      <c r="I1966" s="2" t="s">
        <v>4714</v>
      </c>
      <c r="J1966" s="3" t="str">
        <f>HYPERLINK("https://www.boe.es/gazeta/dias/1816/07/20/pdfs/GMD-1816-90.pdf#page=8","Abrir facsímil")</f>
        <v>Abrir facsímil</v>
      </c>
      <c r="K1966" s="3" t="s">
        <v>23</v>
      </c>
    </row>
    <row r="1967" spans="1:11" ht="42" customHeight="1">
      <c r="A1967" s="2" t="s">
        <v>4715</v>
      </c>
      <c r="B1967" s="2" t="s">
        <v>4716</v>
      </c>
      <c r="C1967" s="2" t="s">
        <v>111</v>
      </c>
      <c r="D1967" s="2" t="s">
        <v>112</v>
      </c>
      <c r="E1967" s="5">
        <v>-30366</v>
      </c>
      <c r="F1967" s="3" t="s">
        <v>179</v>
      </c>
      <c r="G1967" s="3" t="s">
        <v>28</v>
      </c>
      <c r="H1967" s="2" t="s">
        <v>21</v>
      </c>
      <c r="I1967" s="2" t="s">
        <v>4717</v>
      </c>
      <c r="J1967" s="3" t="str">
        <f>HYPERLINK("https://www.boe.es/gazeta/dias/1816/11/09/pdfs/GMD-1816-140.pdf#page=6","Abrir facsímil")</f>
        <v>Abrir facsímil</v>
      </c>
      <c r="K1967" s="3" t="s">
        <v>23</v>
      </c>
    </row>
    <row r="1968" spans="1:11" ht="42" customHeight="1">
      <c r="A1968" s="2" t="s">
        <v>4718</v>
      </c>
      <c r="B1968" s="2" t="s">
        <v>4719</v>
      </c>
      <c r="C1968" s="2" t="s">
        <v>34</v>
      </c>
      <c r="D1968" s="2" t="s">
        <v>35</v>
      </c>
      <c r="E1968" s="5">
        <v>-30639</v>
      </c>
      <c r="F1968" s="3" t="s">
        <v>87</v>
      </c>
      <c r="G1968" s="3" t="s">
        <v>28</v>
      </c>
      <c r="H1968" s="2" t="s">
        <v>21</v>
      </c>
      <c r="I1968" s="2" t="s">
        <v>4720</v>
      </c>
      <c r="J1968" s="3" t="str">
        <f>HYPERLINK("https://www.boe.es/gazeta/dias/1816/02/10/pdfs/GMD-1816-19.pdf#page=6","Abrir facsímil")</f>
        <v>Abrir facsímil</v>
      </c>
      <c r="K1968" s="3" t="s">
        <v>23</v>
      </c>
    </row>
    <row r="1969" spans="1:11" ht="42" customHeight="1">
      <c r="A1969" s="2" t="s">
        <v>4721</v>
      </c>
      <c r="B1969" s="2" t="s">
        <v>4722</v>
      </c>
      <c r="C1969" s="2" t="s">
        <v>17</v>
      </c>
      <c r="D1969" s="2" t="s">
        <v>18</v>
      </c>
      <c r="E1969" s="5">
        <v>-30573</v>
      </c>
      <c r="F1969" s="3" t="s">
        <v>840</v>
      </c>
      <c r="G1969" s="3" t="s">
        <v>42</v>
      </c>
      <c r="H1969" s="2" t="s">
        <v>21</v>
      </c>
      <c r="I1969" s="2" t="s">
        <v>4723</v>
      </c>
      <c r="J1969" s="3" t="str">
        <f>HYPERLINK("https://www.boe.es/gazeta/dias/1816/04/16/pdfs/GMD-1816-49.pdf#page=8","Abrir facsímil")</f>
        <v>Abrir facsímil</v>
      </c>
      <c r="K1969" s="3" t="s">
        <v>23</v>
      </c>
    </row>
    <row r="1970" spans="1:11" ht="42" customHeight="1">
      <c r="A1970" s="2" t="s">
        <v>4724</v>
      </c>
      <c r="B1970" s="2" t="s">
        <v>4725</v>
      </c>
      <c r="C1970" s="2" t="s">
        <v>111</v>
      </c>
      <c r="D1970" s="2" t="s">
        <v>112</v>
      </c>
      <c r="E1970" s="5">
        <v>-30317</v>
      </c>
      <c r="F1970" s="3" t="s">
        <v>1030</v>
      </c>
      <c r="G1970" s="3" t="s">
        <v>1031</v>
      </c>
      <c r="H1970" s="2" t="s">
        <v>21</v>
      </c>
      <c r="I1970" s="2" t="s">
        <v>4726</v>
      </c>
      <c r="J1970" s="3" t="str">
        <f>HYPERLINK("https://www.boe.es/gazeta/dias/1816/12/28/pdfs/GMD-1816-161.pdf#page=6","Abrir facsímil")</f>
        <v>Abrir facsímil</v>
      </c>
      <c r="K1970" s="3" t="s">
        <v>23</v>
      </c>
    </row>
    <row r="1971" spans="1:11" ht="42" customHeight="1">
      <c r="A1971" s="2" t="s">
        <v>4727</v>
      </c>
      <c r="B1971" s="2" t="s">
        <v>4728</v>
      </c>
      <c r="C1971" s="2" t="s">
        <v>26</v>
      </c>
      <c r="D1971" s="2" t="s">
        <v>18</v>
      </c>
      <c r="E1971" s="5">
        <v>-30391</v>
      </c>
      <c r="F1971" s="3" t="s">
        <v>482</v>
      </c>
      <c r="G1971" s="3" t="s">
        <v>28</v>
      </c>
      <c r="H1971" s="2" t="s">
        <v>21</v>
      </c>
      <c r="I1971" s="2" t="s">
        <v>4729</v>
      </c>
      <c r="J1971" s="3" t="str">
        <f>HYPERLINK("https://www.boe.es/gazeta/dias/1816/10/15/pdfs/GMD-1816-129.pdf#page=6","Abrir facsímil")</f>
        <v>Abrir facsímil</v>
      </c>
      <c r="K1971" s="3" t="s">
        <v>23</v>
      </c>
    </row>
    <row r="1972" spans="1:11" ht="42" customHeight="1">
      <c r="A1972" s="2" t="s">
        <v>4730</v>
      </c>
      <c r="B1972" s="2" t="s">
        <v>4731</v>
      </c>
      <c r="C1972" s="2" t="s">
        <v>111</v>
      </c>
      <c r="D1972" s="2" t="s">
        <v>112</v>
      </c>
      <c r="E1972" s="5">
        <v>-30415</v>
      </c>
      <c r="F1972" s="3" t="s">
        <v>585</v>
      </c>
      <c r="G1972" s="3" t="s">
        <v>103</v>
      </c>
      <c r="H1972" s="2" t="s">
        <v>29</v>
      </c>
      <c r="I1972" s="2" t="s">
        <v>4732</v>
      </c>
      <c r="J1972" s="3" t="str">
        <f>HYPERLINK("https://www.boe.es/gazeta/dias/1816/09/21/pdfs/GMD-1816-117.pdf#page=4","Abrir facsímil")</f>
        <v>Abrir facsímil</v>
      </c>
      <c r="K1972" s="3" t="s">
        <v>31</v>
      </c>
    </row>
    <row r="1973" spans="1:11" ht="42" customHeight="1">
      <c r="A1973" s="2" t="s">
        <v>4733</v>
      </c>
      <c r="B1973" s="2" t="s">
        <v>4734</v>
      </c>
      <c r="C1973" s="2" t="s">
        <v>34</v>
      </c>
      <c r="D1973" s="2" t="s">
        <v>35</v>
      </c>
      <c r="E1973" s="5">
        <v>-30548</v>
      </c>
      <c r="F1973" s="3" t="s">
        <v>472</v>
      </c>
      <c r="G1973" s="3" t="s">
        <v>28</v>
      </c>
      <c r="H1973" s="2" t="s">
        <v>21</v>
      </c>
      <c r="I1973" s="2" t="s">
        <v>4735</v>
      </c>
      <c r="J1973" s="3" t="str">
        <f>HYPERLINK("https://www.boe.es/gazeta/dias/1816/05/11/pdfs/GMD-1816-60.pdf#page=6","Abrir facsímil")</f>
        <v>Abrir facsímil</v>
      </c>
      <c r="K1973" s="3" t="s">
        <v>23</v>
      </c>
    </row>
    <row r="1974" spans="1:11" ht="42" customHeight="1">
      <c r="A1974" s="2" t="s">
        <v>4736</v>
      </c>
      <c r="B1974" s="2" t="s">
        <v>4737</v>
      </c>
      <c r="C1974" s="2" t="s">
        <v>26</v>
      </c>
      <c r="D1974" s="2" t="s">
        <v>18</v>
      </c>
      <c r="E1974" s="5">
        <v>-30354</v>
      </c>
      <c r="F1974" s="3" t="s">
        <v>68</v>
      </c>
      <c r="G1974" s="3" t="s">
        <v>42</v>
      </c>
      <c r="H1974" s="2" t="s">
        <v>21</v>
      </c>
      <c r="I1974" s="2" t="s">
        <v>4738</v>
      </c>
      <c r="J1974" s="3" t="str">
        <f>HYPERLINK("https://www.boe.es/gazeta/dias/1816/11/21/pdfs/GMD-1816-145.pdf#page=8","Abrir facsímil")</f>
        <v>Abrir facsímil</v>
      </c>
      <c r="K1974" s="3" t="s">
        <v>23</v>
      </c>
    </row>
    <row r="1975" spans="1:11" ht="42" customHeight="1">
      <c r="A1975" s="2" t="s">
        <v>4739</v>
      </c>
      <c r="B1975" s="2" t="s">
        <v>4740</v>
      </c>
      <c r="C1975" s="2" t="s">
        <v>26</v>
      </c>
      <c r="D1975" s="2" t="s">
        <v>18</v>
      </c>
      <c r="E1975" s="5">
        <v>-30354</v>
      </c>
      <c r="F1975" s="3" t="s">
        <v>68</v>
      </c>
      <c r="G1975" s="3" t="s">
        <v>42</v>
      </c>
      <c r="H1975" s="2" t="s">
        <v>21</v>
      </c>
      <c r="I1975" s="2" t="s">
        <v>4741</v>
      </c>
      <c r="J1975" s="3" t="str">
        <f>HYPERLINK("https://www.boe.es/gazeta/dias/1816/11/21/pdfs/GMD-1816-145.pdf#page=8","Abrir facsímil")</f>
        <v>Abrir facsímil</v>
      </c>
      <c r="K1975" s="3" t="s">
        <v>23</v>
      </c>
    </row>
    <row r="1976" spans="1:11" ht="42" customHeight="1">
      <c r="A1976" s="2" t="s">
        <v>4742</v>
      </c>
      <c r="B1976" s="2" t="s">
        <v>4743</v>
      </c>
      <c r="C1976" s="2" t="s">
        <v>26</v>
      </c>
      <c r="D1976" s="2" t="s">
        <v>18</v>
      </c>
      <c r="E1976" s="5">
        <v>-30478</v>
      </c>
      <c r="F1976" s="3" t="s">
        <v>123</v>
      </c>
      <c r="G1976" s="3" t="s">
        <v>2092</v>
      </c>
      <c r="H1976" s="2" t="s">
        <v>21</v>
      </c>
      <c r="I1976" s="2" t="s">
        <v>4744</v>
      </c>
      <c r="J1976" s="3" t="str">
        <f>HYPERLINK("https://www.boe.es/gazeta/dias/1816/07/20/pdfs/GMD-1816-90.pdf#page=5","Abrir facsímil")</f>
        <v>Abrir facsímil</v>
      </c>
      <c r="K1976" s="3" t="s">
        <v>23</v>
      </c>
    </row>
    <row r="1977" spans="1:11" ht="42" customHeight="1">
      <c r="A1977" s="2" t="s">
        <v>4745</v>
      </c>
      <c r="B1977" s="2" t="s">
        <v>4746</v>
      </c>
      <c r="C1977" s="2" t="s">
        <v>34</v>
      </c>
      <c r="D1977" s="2" t="s">
        <v>35</v>
      </c>
      <c r="E1977" s="5">
        <v>-30352</v>
      </c>
      <c r="F1977" s="3" t="s">
        <v>407</v>
      </c>
      <c r="G1977" s="3" t="s">
        <v>72</v>
      </c>
      <c r="H1977" s="2" t="s">
        <v>21</v>
      </c>
      <c r="I1977" s="2" t="s">
        <v>4747</v>
      </c>
      <c r="J1977" s="3" t="str">
        <f>HYPERLINK("https://www.boe.es/gazeta/dias/1816/11/23/pdfs/GMD-1816-146.pdf#page=7","Abrir facsímil")</f>
        <v>Abrir facsímil</v>
      </c>
      <c r="K1977" s="3" t="s">
        <v>23</v>
      </c>
    </row>
    <row r="1978" spans="1:11" ht="42" customHeight="1">
      <c r="A1978" s="2" t="s">
        <v>4748</v>
      </c>
      <c r="B1978" s="2" t="s">
        <v>4749</v>
      </c>
      <c r="C1978" s="2" t="s">
        <v>111</v>
      </c>
      <c r="D1978" s="2" t="s">
        <v>112</v>
      </c>
      <c r="E1978" s="5">
        <v>-30389</v>
      </c>
      <c r="F1978" s="3" t="s">
        <v>522</v>
      </c>
      <c r="G1978" s="3" t="s">
        <v>1273</v>
      </c>
      <c r="H1978" s="2" t="s">
        <v>29</v>
      </c>
      <c r="I1978" s="2" t="s">
        <v>4750</v>
      </c>
      <c r="J1978" s="3" t="str">
        <f>HYPERLINK("https://www.boe.es/gazeta/dias/1816/10/17/pdfs/GMD-1816-130.pdf#page=4","Abrir facsímil")</f>
        <v>Abrir facsímil</v>
      </c>
      <c r="K1978" s="3" t="s">
        <v>31</v>
      </c>
    </row>
    <row r="1979" spans="1:11" ht="42" customHeight="1">
      <c r="A1979" s="2" t="s">
        <v>4751</v>
      </c>
      <c r="B1979" s="2" t="s">
        <v>4751</v>
      </c>
      <c r="C1979" s="2" t="s">
        <v>111</v>
      </c>
      <c r="D1979" s="2" t="s">
        <v>112</v>
      </c>
      <c r="E1979" s="5">
        <v>-30338</v>
      </c>
      <c r="F1979" s="3" t="s">
        <v>464</v>
      </c>
      <c r="G1979" s="3" t="s">
        <v>28</v>
      </c>
      <c r="H1979" s="2" t="s">
        <v>21</v>
      </c>
      <c r="I1979" s="2" t="s">
        <v>4752</v>
      </c>
      <c r="J1979" s="3" t="str">
        <f>HYPERLINK("https://www.boe.es/gazeta/dias/1816/12/07/pdfs/GMD-1816-152.pdf#page=6","Abrir facsímil")</f>
        <v>Abrir facsímil</v>
      </c>
      <c r="K1979" s="3" t="s">
        <v>23</v>
      </c>
    </row>
    <row r="1980" spans="1:11" ht="42" customHeight="1">
      <c r="A1980" s="2" t="s">
        <v>4753</v>
      </c>
      <c r="B1980" s="2" t="s">
        <v>4754</v>
      </c>
      <c r="C1980" s="2" t="s">
        <v>111</v>
      </c>
      <c r="D1980" s="2" t="s">
        <v>112</v>
      </c>
      <c r="E1980" s="5">
        <v>-30382</v>
      </c>
      <c r="F1980" s="3" t="s">
        <v>326</v>
      </c>
      <c r="G1980" s="3" t="s">
        <v>47</v>
      </c>
      <c r="H1980" s="2" t="s">
        <v>21</v>
      </c>
      <c r="I1980" s="2" t="s">
        <v>4755</v>
      </c>
      <c r="J1980" s="3" t="str">
        <f>HYPERLINK("https://www.boe.es/gazeta/dias/1816/10/24/pdfs/GMD-1816-133.pdf#page=5","Abrir facsímil")</f>
        <v>Abrir facsímil</v>
      </c>
      <c r="K1980" s="3" t="s">
        <v>23</v>
      </c>
    </row>
    <row r="1981" spans="1:11" ht="42" customHeight="1">
      <c r="A1981" s="2" t="s">
        <v>4756</v>
      </c>
      <c r="B1981" s="2" t="s">
        <v>4757</v>
      </c>
      <c r="C1981" s="2" t="s">
        <v>41</v>
      </c>
      <c r="D1981" s="2" t="s">
        <v>18</v>
      </c>
      <c r="E1981" s="5">
        <v>-30410</v>
      </c>
      <c r="F1981" s="3" t="s">
        <v>1259</v>
      </c>
      <c r="G1981" s="3" t="s">
        <v>4618</v>
      </c>
      <c r="H1981" s="2" t="s">
        <v>29</v>
      </c>
      <c r="I1981" s="2" t="s">
        <v>4758</v>
      </c>
      <c r="J1981" s="3" t="str">
        <f>HYPERLINK("https://www.boe.es/gazeta/dias/1816/09/26/pdfs/GMD-1816-119.pdf#page=8","Abrir facsímil")</f>
        <v>Abrir facsímil</v>
      </c>
      <c r="K1981" s="3" t="s">
        <v>31</v>
      </c>
    </row>
    <row r="1982" spans="1:11" ht="42" customHeight="1">
      <c r="A1982" s="2" t="s">
        <v>4759</v>
      </c>
      <c r="B1982" s="2" t="s">
        <v>4760</v>
      </c>
      <c r="C1982" s="2" t="s">
        <v>111</v>
      </c>
      <c r="D1982" s="2" t="s">
        <v>112</v>
      </c>
      <c r="E1982" s="5">
        <v>-30576</v>
      </c>
      <c r="F1982" s="3" t="s">
        <v>353</v>
      </c>
      <c r="G1982" s="3" t="s">
        <v>72</v>
      </c>
      <c r="H1982" s="2" t="s">
        <v>21</v>
      </c>
      <c r="I1982" s="2" t="s">
        <v>4761</v>
      </c>
      <c r="J1982" s="3" t="str">
        <f>HYPERLINK("https://www.boe.es/gazeta/dias/1816/04/13/pdfs/GMD-1816-48.pdf#page=7","Abrir facsímil")</f>
        <v>Abrir facsímil</v>
      </c>
      <c r="K1982" s="3" t="s">
        <v>23</v>
      </c>
    </row>
    <row r="1983" spans="1:11" ht="42" customHeight="1">
      <c r="A1983" s="2" t="s">
        <v>4762</v>
      </c>
      <c r="B1983" s="2" t="s">
        <v>4763</v>
      </c>
      <c r="C1983" s="2" t="s">
        <v>26</v>
      </c>
      <c r="D1983" s="2" t="s">
        <v>18</v>
      </c>
      <c r="E1983" s="5">
        <v>-30445</v>
      </c>
      <c r="F1983" s="3" t="s">
        <v>51</v>
      </c>
      <c r="G1983" s="3" t="s">
        <v>47</v>
      </c>
      <c r="H1983" s="2" t="s">
        <v>21</v>
      </c>
      <c r="I1983" s="2" t="s">
        <v>4764</v>
      </c>
      <c r="J1983" s="3" t="str">
        <f>HYPERLINK("https://www.boe.es/gazeta/dias/1816/08/22/pdfs/GMD-1816-104.pdf#page=5","Abrir facsímil")</f>
        <v>Abrir facsímil</v>
      </c>
      <c r="K1983" s="3" t="s">
        <v>23</v>
      </c>
    </row>
    <row r="1984" spans="1:11" ht="42" customHeight="1">
      <c r="A1984" s="2" t="s">
        <v>4765</v>
      </c>
      <c r="B1984" s="2" t="s">
        <v>4766</v>
      </c>
      <c r="C1984" s="2" t="s">
        <v>26</v>
      </c>
      <c r="D1984" s="2" t="s">
        <v>18</v>
      </c>
      <c r="E1984" s="5">
        <v>-30445</v>
      </c>
      <c r="F1984" s="3" t="s">
        <v>51</v>
      </c>
      <c r="G1984" s="3" t="s">
        <v>47</v>
      </c>
      <c r="H1984" s="2" t="s">
        <v>21</v>
      </c>
      <c r="I1984" s="2" t="s">
        <v>4767</v>
      </c>
      <c r="J1984" s="3" t="str">
        <f>HYPERLINK("https://www.boe.es/gazeta/dias/1816/08/22/pdfs/GMD-1816-104.pdf#page=5","Abrir facsímil")</f>
        <v>Abrir facsímil</v>
      </c>
      <c r="K1984" s="3" t="s">
        <v>23</v>
      </c>
    </row>
    <row r="1985" spans="1:11" ht="42" customHeight="1">
      <c r="A1985" s="2" t="s">
        <v>4768</v>
      </c>
      <c r="B1985" s="2" t="s">
        <v>4769</v>
      </c>
      <c r="C1985" s="2" t="s">
        <v>34</v>
      </c>
      <c r="D1985" s="2" t="s">
        <v>35</v>
      </c>
      <c r="E1985" s="5">
        <v>-30382</v>
      </c>
      <c r="F1985" s="3" t="s">
        <v>326</v>
      </c>
      <c r="G1985" s="3" t="s">
        <v>47</v>
      </c>
      <c r="H1985" s="2" t="s">
        <v>29</v>
      </c>
      <c r="I1985" s="2" t="s">
        <v>4770</v>
      </c>
      <c r="J1985" s="3" t="str">
        <f>HYPERLINK("https://www.boe.es/gazeta/dias/1816/10/24/pdfs/GMD-1816-133.pdf#page=5","Abrir facsímil")</f>
        <v>Abrir facsímil</v>
      </c>
      <c r="K1985" s="3" t="s">
        <v>31</v>
      </c>
    </row>
    <row r="1986" spans="1:11" ht="42" customHeight="1">
      <c r="A1986" s="2" t="s">
        <v>4771</v>
      </c>
      <c r="B1986" s="2" t="s">
        <v>4772</v>
      </c>
      <c r="C1986" s="2" t="s">
        <v>111</v>
      </c>
      <c r="D1986" s="2" t="s">
        <v>112</v>
      </c>
      <c r="E1986" s="5">
        <v>-30466</v>
      </c>
      <c r="F1986" s="3" t="s">
        <v>2138</v>
      </c>
      <c r="G1986" s="3" t="s">
        <v>72</v>
      </c>
      <c r="H1986" s="2" t="s">
        <v>21</v>
      </c>
      <c r="I1986" s="2" t="s">
        <v>4773</v>
      </c>
      <c r="J1986" s="3" t="str">
        <f>HYPERLINK("https://www.boe.es/gazeta/dias/1816/08/01/pdfs/GMD-1816-95.pdf#page=7","Abrir facsímil")</f>
        <v>Abrir facsímil</v>
      </c>
      <c r="K1986" s="3" t="s">
        <v>23</v>
      </c>
    </row>
    <row r="1987" spans="1:11" ht="42" customHeight="1">
      <c r="A1987" s="2" t="s">
        <v>4774</v>
      </c>
      <c r="B1987" s="2" t="s">
        <v>4775</v>
      </c>
      <c r="C1987" s="2" t="s">
        <v>111</v>
      </c>
      <c r="D1987" s="2" t="s">
        <v>112</v>
      </c>
      <c r="E1987" s="5">
        <v>-30314</v>
      </c>
      <c r="F1987" s="3" t="s">
        <v>1899</v>
      </c>
      <c r="G1987" s="3" t="s">
        <v>47</v>
      </c>
      <c r="H1987" s="2" t="s">
        <v>21</v>
      </c>
      <c r="I1987" s="2" t="s">
        <v>4776</v>
      </c>
      <c r="J1987" s="3" t="str">
        <f>HYPERLINK("https://www.boe.es/gazeta/dias/1816/12/31/pdfs/GMD-1816-162.pdf#page=5","Abrir facsímil")</f>
        <v>Abrir facsímil</v>
      </c>
      <c r="K1987" s="3" t="s">
        <v>23</v>
      </c>
    </row>
    <row r="1988" spans="1:11" ht="42" customHeight="1">
      <c r="A1988" s="2" t="s">
        <v>4777</v>
      </c>
      <c r="B1988" s="2" t="s">
        <v>4778</v>
      </c>
      <c r="C1988" s="2" t="s">
        <v>111</v>
      </c>
      <c r="D1988" s="2" t="s">
        <v>112</v>
      </c>
      <c r="E1988" s="5">
        <v>-30361</v>
      </c>
      <c r="F1988" s="3" t="s">
        <v>1741</v>
      </c>
      <c r="G1988" s="3" t="s">
        <v>2889</v>
      </c>
      <c r="H1988" s="2" t="s">
        <v>21</v>
      </c>
      <c r="I1988" s="2" t="s">
        <v>4779</v>
      </c>
      <c r="J1988" s="3" t="str">
        <f>HYPERLINK("https://www.boe.es/gazeta/dias/1816/11/14/pdfs/GMD-1816-142.pdf#page=8","Abrir facsímil")</f>
        <v>Abrir facsímil</v>
      </c>
      <c r="K1988" s="3" t="s">
        <v>23</v>
      </c>
    </row>
    <row r="1989" spans="1:11" ht="42" customHeight="1">
      <c r="A1989" s="2" t="s">
        <v>4780</v>
      </c>
      <c r="B1989" s="2" t="s">
        <v>4781</v>
      </c>
      <c r="C1989" s="2" t="s">
        <v>26</v>
      </c>
      <c r="D1989" s="2" t="s">
        <v>56</v>
      </c>
      <c r="E1989" s="5">
        <v>-30393</v>
      </c>
      <c r="F1989" s="3" t="s">
        <v>202</v>
      </c>
      <c r="G1989" s="3" t="s">
        <v>47</v>
      </c>
      <c r="H1989" s="2" t="s">
        <v>21</v>
      </c>
      <c r="I1989" s="2" t="s">
        <v>4782</v>
      </c>
      <c r="J1989" s="3" t="str">
        <f>HYPERLINK("https://www.boe.es/gazeta/dias/1816/10/13/pdfs/GMD-1816-128E.pdf#page=5","Abrir facsímil")</f>
        <v>Abrir facsímil</v>
      </c>
      <c r="K1989" s="3" t="s">
        <v>23</v>
      </c>
    </row>
    <row r="1990" spans="1:11" ht="42" customHeight="1">
      <c r="A1990" s="2" t="s">
        <v>4783</v>
      </c>
      <c r="B1990" s="2" t="s">
        <v>4783</v>
      </c>
      <c r="C1990" s="2" t="s">
        <v>111</v>
      </c>
      <c r="D1990" s="2" t="s">
        <v>112</v>
      </c>
      <c r="E1990" s="5">
        <v>-30443</v>
      </c>
      <c r="F1990" s="3" t="s">
        <v>259</v>
      </c>
      <c r="G1990" s="3" t="s">
        <v>270</v>
      </c>
      <c r="H1990" s="2" t="s">
        <v>21</v>
      </c>
      <c r="I1990" s="2" t="s">
        <v>4784</v>
      </c>
      <c r="J1990" s="3" t="str">
        <f>HYPERLINK("https://www.boe.es/gazeta/dias/1816/08/24/pdfs/GMD-1816-105.pdf#page=2","Abrir facsímil")</f>
        <v>Abrir facsímil</v>
      </c>
      <c r="K1990" s="3" t="s">
        <v>23</v>
      </c>
    </row>
    <row r="1991" spans="1:11" ht="42" customHeight="1">
      <c r="A1991" s="2" t="s">
        <v>4783</v>
      </c>
      <c r="B1991" s="2" t="s">
        <v>4783</v>
      </c>
      <c r="C1991" s="2" t="s">
        <v>26</v>
      </c>
      <c r="D1991" s="2" t="s">
        <v>18</v>
      </c>
      <c r="E1991" s="5">
        <v>-30438</v>
      </c>
      <c r="F1991" s="3" t="s">
        <v>299</v>
      </c>
      <c r="G1991" s="3" t="s">
        <v>184</v>
      </c>
      <c r="H1991" s="2" t="s">
        <v>21</v>
      </c>
      <c r="I1991" s="2" t="s">
        <v>4785</v>
      </c>
      <c r="J1991" s="3" t="str">
        <f>HYPERLINK("https://www.boe.es/gazeta/dias/1816/08/29/pdfs/GMD-1816-107.pdf#page=3","Abrir facsímil")</f>
        <v>Abrir facsímil</v>
      </c>
      <c r="K1991" s="3" t="s">
        <v>23</v>
      </c>
    </row>
    <row r="1992" spans="1:11" ht="42" customHeight="1">
      <c r="A1992" s="2" t="s">
        <v>4786</v>
      </c>
      <c r="B1992" s="2" t="s">
        <v>4787</v>
      </c>
      <c r="C1992" s="2" t="s">
        <v>34</v>
      </c>
      <c r="D1992" s="2" t="s">
        <v>35</v>
      </c>
      <c r="E1992" s="5">
        <v>-30592</v>
      </c>
      <c r="F1992" s="3" t="s">
        <v>236</v>
      </c>
      <c r="G1992" s="3" t="s">
        <v>184</v>
      </c>
      <c r="H1992" s="2" t="s">
        <v>21</v>
      </c>
      <c r="I1992" s="2" t="s">
        <v>4788</v>
      </c>
      <c r="J1992" s="3" t="str">
        <f>HYPERLINK("https://www.boe.es/gazeta/dias/1816/03/28/pdfs/GMD-1816-41.pdf#page=3","Abrir facsímil")</f>
        <v>Abrir facsímil</v>
      </c>
      <c r="K1992" s="3" t="s">
        <v>23</v>
      </c>
    </row>
    <row r="1993" spans="1:11" ht="42" customHeight="1">
      <c r="A1993" s="2" t="s">
        <v>4789</v>
      </c>
      <c r="B1993" s="2" t="s">
        <v>4790</v>
      </c>
      <c r="C1993" s="2" t="s">
        <v>41</v>
      </c>
      <c r="D1993" s="2" t="s">
        <v>18</v>
      </c>
      <c r="E1993" s="5">
        <v>-30494</v>
      </c>
      <c r="F1993" s="3" t="s">
        <v>174</v>
      </c>
      <c r="G1993" s="3" t="s">
        <v>175</v>
      </c>
      <c r="H1993" s="2" t="s">
        <v>21</v>
      </c>
      <c r="I1993" s="2" t="s">
        <v>4791</v>
      </c>
      <c r="J1993" s="3" t="str">
        <f>HYPERLINK("https://www.boe.es/gazeta/dias/1816/07/04/pdfs/GMD-1816-83.pdf#page=11","Abrir facsímil")</f>
        <v>Abrir facsímil</v>
      </c>
      <c r="K1993" s="3" t="s">
        <v>23</v>
      </c>
    </row>
    <row r="1994" spans="1:11" ht="42" customHeight="1">
      <c r="A1994" s="2" t="s">
        <v>4792</v>
      </c>
      <c r="B1994" s="2" t="s">
        <v>4793</v>
      </c>
      <c r="C1994" s="2" t="s">
        <v>111</v>
      </c>
      <c r="D1994" s="2" t="s">
        <v>112</v>
      </c>
      <c r="E1994" s="5">
        <v>-30382</v>
      </c>
      <c r="F1994" s="3" t="s">
        <v>326</v>
      </c>
      <c r="G1994" s="3" t="s">
        <v>28</v>
      </c>
      <c r="H1994" s="2" t="s">
        <v>21</v>
      </c>
      <c r="I1994" s="2" t="s">
        <v>4794</v>
      </c>
      <c r="J1994" s="3" t="str">
        <f>HYPERLINK("https://www.boe.es/gazeta/dias/1816/10/24/pdfs/GMD-1816-133.pdf#page=6","Abrir facsímil")</f>
        <v>Abrir facsímil</v>
      </c>
      <c r="K1994" s="3" t="s">
        <v>23</v>
      </c>
    </row>
    <row r="1995" spans="1:11" ht="42" customHeight="1">
      <c r="A1995" s="2" t="s">
        <v>4795</v>
      </c>
      <c r="B1995" s="2" t="s">
        <v>4796</v>
      </c>
      <c r="C1995" s="2" t="s">
        <v>26</v>
      </c>
      <c r="D1995" s="2" t="s">
        <v>18</v>
      </c>
      <c r="E1995" s="5">
        <v>-30508</v>
      </c>
      <c r="F1995" s="3" t="s">
        <v>36</v>
      </c>
      <c r="G1995" s="3" t="s">
        <v>42</v>
      </c>
      <c r="H1995" s="2" t="s">
        <v>21</v>
      </c>
      <c r="I1995" s="2" t="s">
        <v>4797</v>
      </c>
      <c r="J1995" s="3" t="str">
        <f>HYPERLINK("https://www.boe.es/gazeta/dias/1816/06/20/pdfs/GMD-1816-77.pdf#page=8","Abrir facsímil")</f>
        <v>Abrir facsímil</v>
      </c>
      <c r="K1995" s="3" t="s">
        <v>23</v>
      </c>
    </row>
    <row r="1996" spans="1:11" ht="42" customHeight="1">
      <c r="A1996" s="2" t="s">
        <v>4795</v>
      </c>
      <c r="B1996" s="2" t="s">
        <v>4796</v>
      </c>
      <c r="C1996" s="2" t="s">
        <v>26</v>
      </c>
      <c r="D1996" s="2" t="s">
        <v>18</v>
      </c>
      <c r="E1996" s="5">
        <v>-30454</v>
      </c>
      <c r="F1996" s="3" t="s">
        <v>188</v>
      </c>
      <c r="G1996" s="3" t="s">
        <v>52</v>
      </c>
      <c r="H1996" s="2" t="s">
        <v>21</v>
      </c>
      <c r="I1996" s="2" t="s">
        <v>4798</v>
      </c>
      <c r="J1996" s="3" t="str">
        <f>HYPERLINK("https://www.boe.es/gazeta/dias/1816/08/13/pdfs/GMD-1816-100.pdf#page=12","Abrir facsímil")</f>
        <v>Abrir facsímil</v>
      </c>
      <c r="K1996" s="3" t="s">
        <v>23</v>
      </c>
    </row>
    <row r="1997" spans="1:11" ht="42" customHeight="1">
      <c r="A1997" s="2" t="s">
        <v>4799</v>
      </c>
      <c r="B1997" s="2" t="s">
        <v>4800</v>
      </c>
      <c r="C1997" s="2" t="s">
        <v>34</v>
      </c>
      <c r="D1997" s="2" t="s">
        <v>35</v>
      </c>
      <c r="E1997" s="5">
        <v>-30562</v>
      </c>
      <c r="F1997" s="3" t="s">
        <v>1664</v>
      </c>
      <c r="G1997" s="3" t="s">
        <v>28</v>
      </c>
      <c r="H1997" s="2" t="s">
        <v>21</v>
      </c>
      <c r="I1997" s="2" t="s">
        <v>4801</v>
      </c>
      <c r="J1997" s="3" t="str">
        <f>HYPERLINK("https://www.boe.es/gazeta/dias/1816/04/27/pdfs/GMD-1816-54.pdf#page=6","Abrir facsímil")</f>
        <v>Abrir facsímil</v>
      </c>
      <c r="K1997" s="3" t="s">
        <v>23</v>
      </c>
    </row>
    <row r="1998" spans="1:11" ht="42" customHeight="1">
      <c r="A1998" s="2" t="s">
        <v>4802</v>
      </c>
      <c r="B1998" s="2" t="s">
        <v>4803</v>
      </c>
      <c r="C1998" s="2" t="s">
        <v>26</v>
      </c>
      <c r="D1998" s="2" t="s">
        <v>18</v>
      </c>
      <c r="E1998" s="5">
        <v>-30548</v>
      </c>
      <c r="F1998" s="3" t="s">
        <v>472</v>
      </c>
      <c r="G1998" s="3" t="s">
        <v>47</v>
      </c>
      <c r="H1998" s="2" t="s">
        <v>21</v>
      </c>
      <c r="I1998" s="2" t="s">
        <v>4804</v>
      </c>
      <c r="J1998" s="3" t="str">
        <f>HYPERLINK("https://www.boe.es/gazeta/dias/1816/05/11/pdfs/GMD-1816-60.pdf#page=5","Abrir facsímil")</f>
        <v>Abrir facsímil</v>
      </c>
      <c r="K1998" s="3" t="s">
        <v>23</v>
      </c>
    </row>
    <row r="1999" spans="1:11" ht="42" customHeight="1">
      <c r="A1999" s="2" t="s">
        <v>4805</v>
      </c>
      <c r="B1999" s="2" t="s">
        <v>4806</v>
      </c>
      <c r="C1999" s="2" t="s">
        <v>67</v>
      </c>
      <c r="D1999" s="2" t="s">
        <v>18</v>
      </c>
      <c r="E1999" s="5">
        <v>-30443</v>
      </c>
      <c r="F1999" s="3" t="s">
        <v>259</v>
      </c>
      <c r="G1999" s="3" t="s">
        <v>260</v>
      </c>
      <c r="H1999" s="2" t="s">
        <v>21</v>
      </c>
      <c r="I1999" s="2" t="s">
        <v>4807</v>
      </c>
      <c r="J1999" s="3" t="str">
        <f>HYPERLINK("https://www.boe.es/gazeta/dias/1816/08/24/pdfs/GMD-1816-105.pdf#page=8","Abrir facsímil")</f>
        <v>Abrir facsímil</v>
      </c>
      <c r="K1999" s="3" t="s">
        <v>23</v>
      </c>
    </row>
    <row r="2000" spans="1:11" ht="42" customHeight="1">
      <c r="A2000" s="2" t="s">
        <v>4805</v>
      </c>
      <c r="B2000" s="2" t="s">
        <v>4806</v>
      </c>
      <c r="C2000" s="2" t="s">
        <v>34</v>
      </c>
      <c r="D2000" s="2" t="s">
        <v>35</v>
      </c>
      <c r="E2000" s="5">
        <v>-30410</v>
      </c>
      <c r="F2000" s="3" t="s">
        <v>1259</v>
      </c>
      <c r="G2000" s="3" t="s">
        <v>175</v>
      </c>
      <c r="H2000" s="2" t="s">
        <v>21</v>
      </c>
      <c r="I2000" s="2" t="s">
        <v>4808</v>
      </c>
      <c r="J2000" s="3" t="str">
        <f>HYPERLINK("https://www.boe.es/gazeta/dias/1816/09/26/pdfs/GMD-1816-119.pdf#page=11","Abrir facsímil")</f>
        <v>Abrir facsímil</v>
      </c>
      <c r="K2000" s="3" t="s">
        <v>23</v>
      </c>
    </row>
    <row r="2001" spans="1:11" ht="42" customHeight="1">
      <c r="A2001" s="2" t="s">
        <v>4805</v>
      </c>
      <c r="B2001" s="2" t="s">
        <v>4806</v>
      </c>
      <c r="C2001" s="2" t="s">
        <v>67</v>
      </c>
      <c r="D2001" s="2" t="s">
        <v>18</v>
      </c>
      <c r="E2001" s="5">
        <v>-30405</v>
      </c>
      <c r="F2001" s="3" t="s">
        <v>587</v>
      </c>
      <c r="G2001" s="3" t="s">
        <v>42</v>
      </c>
      <c r="H2001" s="2" t="s">
        <v>21</v>
      </c>
      <c r="I2001" s="2" t="s">
        <v>4809</v>
      </c>
      <c r="J2001" s="3" t="str">
        <f>HYPERLINK("https://www.boe.es/gazeta/dias/1816/10/01/pdfs/GMD-1816-121.pdf#page=8","Abrir facsímil")</f>
        <v>Abrir facsímil</v>
      </c>
      <c r="K2001" s="3" t="s">
        <v>23</v>
      </c>
    </row>
    <row r="2002" spans="1:11" ht="42" customHeight="1">
      <c r="A2002" s="2" t="s">
        <v>4810</v>
      </c>
      <c r="B2002" s="2" t="s">
        <v>4811</v>
      </c>
      <c r="C2002" s="2" t="s">
        <v>34</v>
      </c>
      <c r="D2002" s="2" t="s">
        <v>35</v>
      </c>
      <c r="E2002" s="5">
        <v>-30319</v>
      </c>
      <c r="F2002" s="3" t="s">
        <v>131</v>
      </c>
      <c r="G2002" s="3" t="s">
        <v>42</v>
      </c>
      <c r="H2002" s="2" t="s">
        <v>21</v>
      </c>
      <c r="I2002" s="2" t="s">
        <v>4812</v>
      </c>
      <c r="J2002" s="3" t="str">
        <f>HYPERLINK("https://www.boe.es/gazeta/dias/1816/12/26/pdfs/GMD-1816-160.pdf#page=8","Abrir facsímil")</f>
        <v>Abrir facsímil</v>
      </c>
      <c r="K2002" s="3" t="s">
        <v>23</v>
      </c>
    </row>
    <row r="2003" spans="1:11" ht="42" customHeight="1">
      <c r="A2003" s="2" t="s">
        <v>4813</v>
      </c>
      <c r="B2003" s="2" t="s">
        <v>4814</v>
      </c>
      <c r="C2003" s="2" t="s">
        <v>41</v>
      </c>
      <c r="D2003" s="2" t="s">
        <v>18</v>
      </c>
      <c r="E2003" s="5">
        <v>-30583</v>
      </c>
      <c r="F2003" s="3" t="s">
        <v>241</v>
      </c>
      <c r="G2003" s="3" t="s">
        <v>42</v>
      </c>
      <c r="H2003" s="2" t="s">
        <v>21</v>
      </c>
      <c r="I2003" s="2" t="s">
        <v>4815</v>
      </c>
      <c r="J2003" s="3" t="str">
        <f>HYPERLINK("https://www.boe.es/gazeta/dias/1816/04/06/pdfs/GMD-1816-45.pdf#page=8","Abrir facsímil")</f>
        <v>Abrir facsímil</v>
      </c>
      <c r="K2003" s="3" t="s">
        <v>23</v>
      </c>
    </row>
    <row r="2004" spans="1:11" ht="42" customHeight="1">
      <c r="A2004" s="2" t="s">
        <v>4816</v>
      </c>
      <c r="B2004" s="2" t="s">
        <v>4817</v>
      </c>
      <c r="C2004" s="2" t="s">
        <v>41</v>
      </c>
      <c r="D2004" s="2" t="s">
        <v>18</v>
      </c>
      <c r="E2004" s="5">
        <v>-30331</v>
      </c>
      <c r="F2004" s="3" t="s">
        <v>315</v>
      </c>
      <c r="G2004" s="3" t="s">
        <v>72</v>
      </c>
      <c r="H2004" s="2" t="s">
        <v>21</v>
      </c>
      <c r="I2004" s="2" t="s">
        <v>4818</v>
      </c>
      <c r="J2004" s="3" t="str">
        <f>HYPERLINK("https://www.boe.es/gazeta/dias/1816/12/14/pdfs/GMD-1816-155.pdf#page=7","Abrir facsímil")</f>
        <v>Abrir facsímil</v>
      </c>
      <c r="K2004" s="3" t="s">
        <v>23</v>
      </c>
    </row>
    <row r="2005" spans="1:11" ht="42" customHeight="1">
      <c r="A2005" s="2" t="s">
        <v>4819</v>
      </c>
      <c r="B2005" s="2" t="s">
        <v>4820</v>
      </c>
      <c r="C2005" s="2" t="s">
        <v>111</v>
      </c>
      <c r="D2005" s="2" t="s">
        <v>112</v>
      </c>
      <c r="E2005" s="5">
        <v>-30333</v>
      </c>
      <c r="F2005" s="3" t="s">
        <v>1005</v>
      </c>
      <c r="G2005" s="3" t="s">
        <v>28</v>
      </c>
      <c r="H2005" s="2" t="s">
        <v>21</v>
      </c>
      <c r="I2005" s="2" t="s">
        <v>4821</v>
      </c>
      <c r="J2005" s="3" t="str">
        <f>HYPERLINK("https://www.boe.es/gazeta/dias/1816/12/12/pdfs/GMD-1816-154.pdf#page=6","Abrir facsímil")</f>
        <v>Abrir facsímil</v>
      </c>
      <c r="K2005" s="3" t="s">
        <v>23</v>
      </c>
    </row>
    <row r="2006" spans="1:11" ht="42" customHeight="1">
      <c r="A2006" s="2" t="s">
        <v>4822</v>
      </c>
      <c r="B2006" s="2" t="s">
        <v>4823</v>
      </c>
      <c r="C2006" s="2" t="s">
        <v>111</v>
      </c>
      <c r="D2006" s="2" t="s">
        <v>112</v>
      </c>
      <c r="E2006" s="5">
        <v>-30639</v>
      </c>
      <c r="F2006" s="3" t="s">
        <v>87</v>
      </c>
      <c r="G2006" s="3" t="s">
        <v>42</v>
      </c>
      <c r="H2006" s="2" t="s">
        <v>21</v>
      </c>
      <c r="I2006" s="2" t="s">
        <v>4824</v>
      </c>
      <c r="J2006" s="3" t="str">
        <f>HYPERLINK("https://www.boe.es/gazeta/dias/1816/02/10/pdfs/GMD-1816-19.pdf#page=8","Abrir facsímil")</f>
        <v>Abrir facsímil</v>
      </c>
      <c r="K2006" s="3" t="s">
        <v>23</v>
      </c>
    </row>
    <row r="2007" spans="1:11" ht="42" customHeight="1">
      <c r="A2007" s="2" t="s">
        <v>4825</v>
      </c>
      <c r="B2007" s="2" t="s">
        <v>4826</v>
      </c>
      <c r="C2007" s="2" t="s">
        <v>111</v>
      </c>
      <c r="D2007" s="2" t="s">
        <v>112</v>
      </c>
      <c r="E2007" s="5">
        <v>-30634</v>
      </c>
      <c r="F2007" s="3" t="s">
        <v>1104</v>
      </c>
      <c r="G2007" s="3" t="s">
        <v>2234</v>
      </c>
      <c r="H2007" s="2" t="s">
        <v>21</v>
      </c>
      <c r="I2007" s="2" t="s">
        <v>4827</v>
      </c>
      <c r="J2007" s="3" t="str">
        <f>HYPERLINK("https://www.boe.es/gazeta/dias/1816/02/15/pdfs/GMD-1816-21.pdf#page=8","Abrir facsímil")</f>
        <v>Abrir facsímil</v>
      </c>
      <c r="K2007" s="3" t="s">
        <v>23</v>
      </c>
    </row>
    <row r="2008" spans="1:11" ht="42" customHeight="1">
      <c r="A2008" s="2" t="s">
        <v>4828</v>
      </c>
      <c r="B2008" s="2" t="s">
        <v>4829</v>
      </c>
      <c r="C2008" s="2" t="s">
        <v>26</v>
      </c>
      <c r="D2008" s="2" t="s">
        <v>18</v>
      </c>
      <c r="E2008" s="5">
        <v>-30478</v>
      </c>
      <c r="F2008" s="3" t="s">
        <v>123</v>
      </c>
      <c r="G2008" s="3" t="s">
        <v>2092</v>
      </c>
      <c r="H2008" s="2" t="s">
        <v>21</v>
      </c>
      <c r="I2008" s="2" t="s">
        <v>4830</v>
      </c>
      <c r="J2008" s="3" t="str">
        <f>HYPERLINK("https://www.boe.es/gazeta/dias/1816/07/20/pdfs/GMD-1816-90.pdf#page=5","Abrir facsímil")</f>
        <v>Abrir facsímil</v>
      </c>
      <c r="K2008" s="3" t="s">
        <v>23</v>
      </c>
    </row>
    <row r="2009" spans="1:11" ht="42" customHeight="1">
      <c r="A2009" s="2" t="s">
        <v>4831</v>
      </c>
      <c r="B2009" s="2" t="s">
        <v>4832</v>
      </c>
      <c r="C2009" s="2" t="s">
        <v>41</v>
      </c>
      <c r="D2009" s="2" t="s">
        <v>18</v>
      </c>
      <c r="E2009" s="5">
        <v>-30380</v>
      </c>
      <c r="F2009" s="3" t="s">
        <v>819</v>
      </c>
      <c r="G2009" s="3" t="s">
        <v>42</v>
      </c>
      <c r="H2009" s="2" t="s">
        <v>21</v>
      </c>
      <c r="I2009" s="2" t="s">
        <v>4833</v>
      </c>
      <c r="J2009" s="3" t="str">
        <f>HYPERLINK("https://www.boe.es/gazeta/dias/1816/10/26/pdfs/GMD-1816-134.pdf#page=8","Abrir facsímil")</f>
        <v>Abrir facsímil</v>
      </c>
      <c r="K2009" s="3" t="s">
        <v>23</v>
      </c>
    </row>
    <row r="2010" spans="1:11" ht="42" customHeight="1">
      <c r="A2010" s="2" t="s">
        <v>4834</v>
      </c>
      <c r="B2010" s="2" t="s">
        <v>4835</v>
      </c>
      <c r="C2010" s="2" t="s">
        <v>111</v>
      </c>
      <c r="D2010" s="2" t="s">
        <v>112</v>
      </c>
      <c r="E2010" s="5">
        <v>-30527</v>
      </c>
      <c r="F2010" s="3" t="s">
        <v>304</v>
      </c>
      <c r="G2010" s="3" t="s">
        <v>103</v>
      </c>
      <c r="H2010" s="2" t="s">
        <v>21</v>
      </c>
      <c r="I2010" s="2" t="s">
        <v>4836</v>
      </c>
      <c r="J2010" s="3" t="str">
        <f>HYPERLINK("https://www.boe.es/gazeta/dias/1816/06/01/pdfs/GMD-1816-69.pdf#page=4","Abrir facsímil")</f>
        <v>Abrir facsímil</v>
      </c>
      <c r="K2010" s="3" t="s">
        <v>23</v>
      </c>
    </row>
    <row r="2011" spans="1:11" ht="42" customHeight="1">
      <c r="A2011" s="2" t="s">
        <v>4837</v>
      </c>
      <c r="B2011" s="2" t="s">
        <v>4837</v>
      </c>
      <c r="C2011" s="2" t="s">
        <v>34</v>
      </c>
      <c r="D2011" s="2" t="s">
        <v>35</v>
      </c>
      <c r="E2011" s="5">
        <v>-30499</v>
      </c>
      <c r="F2011" s="3" t="s">
        <v>971</v>
      </c>
      <c r="G2011" s="3" t="s">
        <v>92</v>
      </c>
      <c r="H2011" s="2" t="s">
        <v>21</v>
      </c>
      <c r="I2011" s="2" t="s">
        <v>4838</v>
      </c>
      <c r="J2011" s="3" t="str">
        <f>HYPERLINK("https://www.boe.es/gazeta/dias/1816/06/29/pdfs/GMD-1816-81.pdf#page=9","Abrir facsímil")</f>
        <v>Abrir facsímil</v>
      </c>
      <c r="K2011" s="3" t="s">
        <v>23</v>
      </c>
    </row>
    <row r="2012" spans="1:11" ht="42" customHeight="1">
      <c r="A2012" s="2" t="s">
        <v>4837</v>
      </c>
      <c r="B2012" s="2" t="s">
        <v>4837</v>
      </c>
      <c r="C2012" s="2" t="s">
        <v>26</v>
      </c>
      <c r="D2012" s="2" t="s">
        <v>18</v>
      </c>
      <c r="E2012" s="5">
        <v>-30494</v>
      </c>
      <c r="F2012" s="3" t="s">
        <v>174</v>
      </c>
      <c r="G2012" s="3" t="s">
        <v>72</v>
      </c>
      <c r="H2012" s="2" t="s">
        <v>21</v>
      </c>
      <c r="I2012" s="2" t="s">
        <v>4839</v>
      </c>
      <c r="J2012" s="3" t="str">
        <f>HYPERLINK("https://www.boe.es/gazeta/dias/1816/07/04/pdfs/GMD-1816-83.pdf#page=7","Abrir facsímil")</f>
        <v>Abrir facsímil</v>
      </c>
      <c r="K2012" s="3" t="s">
        <v>23</v>
      </c>
    </row>
    <row r="2013" spans="1:11" ht="42" customHeight="1">
      <c r="A2013" s="2" t="s">
        <v>4837</v>
      </c>
      <c r="B2013" s="2" t="s">
        <v>4837</v>
      </c>
      <c r="C2013" s="2" t="s">
        <v>26</v>
      </c>
      <c r="D2013" s="2" t="s">
        <v>18</v>
      </c>
      <c r="E2013" s="5">
        <v>-30494</v>
      </c>
      <c r="F2013" s="3" t="s">
        <v>174</v>
      </c>
      <c r="G2013" s="3" t="s">
        <v>42</v>
      </c>
      <c r="H2013" s="2" t="s">
        <v>21</v>
      </c>
      <c r="I2013" s="2" t="s">
        <v>4840</v>
      </c>
      <c r="J2013" s="3" t="str">
        <f>HYPERLINK("https://www.boe.es/gazeta/dias/1816/07/04/pdfs/GMD-1816-83.pdf#page=8","Abrir facsímil")</f>
        <v>Abrir facsímil</v>
      </c>
      <c r="K2013" s="3" t="s">
        <v>23</v>
      </c>
    </row>
    <row r="2014" spans="1:11" ht="42" customHeight="1">
      <c r="A2014" s="2" t="s">
        <v>4837</v>
      </c>
      <c r="B2014" s="2" t="s">
        <v>4837</v>
      </c>
      <c r="C2014" s="2" t="s">
        <v>34</v>
      </c>
      <c r="D2014" s="2" t="s">
        <v>35</v>
      </c>
      <c r="E2014" s="5">
        <v>-30473</v>
      </c>
      <c r="F2014" s="3" t="s">
        <v>336</v>
      </c>
      <c r="G2014" s="3" t="s">
        <v>47</v>
      </c>
      <c r="H2014" s="2" t="s">
        <v>21</v>
      </c>
      <c r="I2014" s="2" t="s">
        <v>4841</v>
      </c>
      <c r="J2014" s="3" t="str">
        <f>HYPERLINK("https://www.boe.es/gazeta/dias/1816/07/25/pdfs/GMD-1816-92.pdf#page=5","Abrir facsímil")</f>
        <v>Abrir facsímil</v>
      </c>
      <c r="K2014" s="3" t="s">
        <v>23</v>
      </c>
    </row>
    <row r="2015" spans="1:11" ht="42" customHeight="1">
      <c r="A2015" s="2" t="s">
        <v>4842</v>
      </c>
      <c r="B2015" s="2" t="s">
        <v>4843</v>
      </c>
      <c r="C2015" s="2" t="s">
        <v>26</v>
      </c>
      <c r="D2015" s="2" t="s">
        <v>18</v>
      </c>
      <c r="E2015" s="5">
        <v>-30317</v>
      </c>
      <c r="F2015" s="3" t="s">
        <v>1030</v>
      </c>
      <c r="G2015" s="3" t="s">
        <v>184</v>
      </c>
      <c r="H2015" s="2" t="s">
        <v>21</v>
      </c>
      <c r="I2015" s="2" t="s">
        <v>4844</v>
      </c>
      <c r="J2015" s="3" t="str">
        <f>HYPERLINK("https://www.boe.es/gazeta/dias/1816/12/28/pdfs/GMD-1816-161.pdf#page=3","Abrir facsímil")</f>
        <v>Abrir facsímil</v>
      </c>
      <c r="K2015" s="3" t="s">
        <v>23</v>
      </c>
    </row>
    <row r="2016" spans="1:11" ht="42" customHeight="1">
      <c r="A2016" s="2" t="s">
        <v>4845</v>
      </c>
      <c r="B2016" s="2" t="s">
        <v>4846</v>
      </c>
      <c r="C2016" s="2" t="s">
        <v>81</v>
      </c>
      <c r="D2016" s="2" t="s">
        <v>18</v>
      </c>
      <c r="E2016" s="5">
        <v>-30629</v>
      </c>
      <c r="F2016" s="3" t="s">
        <v>904</v>
      </c>
      <c r="G2016" s="3" t="s">
        <v>72</v>
      </c>
      <c r="H2016" s="2" t="s">
        <v>21</v>
      </c>
      <c r="I2016" s="2" t="s">
        <v>4847</v>
      </c>
      <c r="J2016" s="3" t="str">
        <f>HYPERLINK("https://www.boe.es/gazeta/dias/1816/02/20/pdfs/GMD-1816-23.pdf#page=7","Abrir facsímil")</f>
        <v>Abrir facsímil</v>
      </c>
      <c r="K2016" s="3" t="s">
        <v>23</v>
      </c>
    </row>
    <row r="2017" spans="1:11" ht="42" customHeight="1">
      <c r="A2017" s="2" t="s">
        <v>4845</v>
      </c>
      <c r="B2017" s="2" t="s">
        <v>4846</v>
      </c>
      <c r="C2017" s="2" t="s">
        <v>26</v>
      </c>
      <c r="D2017" s="2" t="s">
        <v>18</v>
      </c>
      <c r="E2017" s="5">
        <v>-30387</v>
      </c>
      <c r="F2017" s="3" t="s">
        <v>224</v>
      </c>
      <c r="G2017" s="3" t="s">
        <v>72</v>
      </c>
      <c r="H2017" s="2" t="s">
        <v>21</v>
      </c>
      <c r="I2017" s="2" t="s">
        <v>4848</v>
      </c>
      <c r="J2017" s="3" t="str">
        <f>HYPERLINK("https://www.boe.es/gazeta/dias/1816/10/19/pdfs/GMD-1816-131.pdf#page=7","Abrir facsímil")</f>
        <v>Abrir facsímil</v>
      </c>
      <c r="K2017" s="3" t="s">
        <v>23</v>
      </c>
    </row>
    <row r="2018" spans="1:11" ht="42" customHeight="1">
      <c r="A2018" s="2" t="s">
        <v>4849</v>
      </c>
      <c r="B2018" s="2" t="s">
        <v>4850</v>
      </c>
      <c r="C2018" s="2" t="s">
        <v>111</v>
      </c>
      <c r="D2018" s="2" t="s">
        <v>112</v>
      </c>
      <c r="E2018" s="5">
        <v>-30333</v>
      </c>
      <c r="F2018" s="3" t="s">
        <v>1005</v>
      </c>
      <c r="G2018" s="3" t="s">
        <v>28</v>
      </c>
      <c r="H2018" s="2" t="s">
        <v>21</v>
      </c>
      <c r="I2018" s="2" t="s">
        <v>4851</v>
      </c>
      <c r="J2018" s="3" t="str">
        <f>HYPERLINK("https://www.boe.es/gazeta/dias/1816/12/12/pdfs/GMD-1816-154.pdf#page=6","Abrir facsímil")</f>
        <v>Abrir facsímil</v>
      </c>
      <c r="K2018" s="3" t="s">
        <v>23</v>
      </c>
    </row>
    <row r="2019" spans="1:11" ht="42" customHeight="1">
      <c r="A2019" s="2" t="s">
        <v>4852</v>
      </c>
      <c r="B2019" s="2" t="s">
        <v>4853</v>
      </c>
      <c r="C2019" s="2" t="s">
        <v>34</v>
      </c>
      <c r="D2019" s="2" t="s">
        <v>35</v>
      </c>
      <c r="E2019" s="5">
        <v>-30328</v>
      </c>
      <c r="F2019" s="3" t="s">
        <v>573</v>
      </c>
      <c r="G2019" s="3" t="s">
        <v>42</v>
      </c>
      <c r="H2019" s="2" t="s">
        <v>21</v>
      </c>
      <c r="I2019" s="2" t="s">
        <v>4854</v>
      </c>
      <c r="J2019" s="3" t="str">
        <f>HYPERLINK("https://www.boe.es/gazeta/dias/1816/12/17/pdfs/GMD-1816-156.pdf#page=8","Abrir facsímil")</f>
        <v>Abrir facsímil</v>
      </c>
      <c r="K2019" s="3" t="s">
        <v>23</v>
      </c>
    </row>
    <row r="2020" spans="1:11" ht="42" customHeight="1">
      <c r="A2020" s="2" t="s">
        <v>4855</v>
      </c>
      <c r="B2020" s="2" t="s">
        <v>4856</v>
      </c>
      <c r="C2020" s="2" t="s">
        <v>67</v>
      </c>
      <c r="D2020" s="2" t="s">
        <v>18</v>
      </c>
      <c r="E2020" s="5">
        <v>-30450</v>
      </c>
      <c r="F2020" s="3" t="s">
        <v>349</v>
      </c>
      <c r="G2020" s="3" t="s">
        <v>47</v>
      </c>
      <c r="H2020" s="2" t="s">
        <v>21</v>
      </c>
      <c r="I2020" s="2" t="s">
        <v>4857</v>
      </c>
      <c r="J2020" s="3" t="str">
        <f>HYPERLINK("https://www.boe.es/gazeta/dias/1816/08/17/pdfs/GMD-1816-102.pdf#page=5","Abrir facsímil")</f>
        <v>Abrir facsímil</v>
      </c>
      <c r="K2020" s="3" t="s">
        <v>23</v>
      </c>
    </row>
    <row r="2021" spans="1:11" ht="42" customHeight="1">
      <c r="A2021" s="2" t="s">
        <v>4858</v>
      </c>
      <c r="B2021" s="2" t="s">
        <v>4859</v>
      </c>
      <c r="C2021" s="2" t="s">
        <v>26</v>
      </c>
      <c r="D2021" s="2" t="s">
        <v>56</v>
      </c>
      <c r="E2021" s="5">
        <v>-30393</v>
      </c>
      <c r="F2021" s="3" t="s">
        <v>202</v>
      </c>
      <c r="G2021" s="3" t="s">
        <v>203</v>
      </c>
      <c r="H2021" s="2" t="s">
        <v>21</v>
      </c>
      <c r="I2021" s="2" t="s">
        <v>4860</v>
      </c>
      <c r="J2021" s="3" t="str">
        <f>HYPERLINK("https://www.boe.es/gazeta/dias/1816/10/13/pdfs/GMD-1816-128E.pdf#page=7","Abrir facsímil")</f>
        <v>Abrir facsímil</v>
      </c>
      <c r="K2021" s="3" t="s">
        <v>23</v>
      </c>
    </row>
    <row r="2022" spans="1:11" ht="42" customHeight="1">
      <c r="A2022" s="2" t="s">
        <v>4861</v>
      </c>
      <c r="B2022" s="2" t="s">
        <v>4862</v>
      </c>
      <c r="C2022" s="2" t="s">
        <v>26</v>
      </c>
      <c r="D2022" s="2" t="s">
        <v>18</v>
      </c>
      <c r="E2022" s="5">
        <v>-30335</v>
      </c>
      <c r="F2022" s="3" t="s">
        <v>468</v>
      </c>
      <c r="G2022" s="3" t="s">
        <v>47</v>
      </c>
      <c r="H2022" s="2" t="s">
        <v>29</v>
      </c>
      <c r="I2022" s="2" t="s">
        <v>4863</v>
      </c>
      <c r="J2022" s="3" t="str">
        <f>HYPERLINK("https://www.boe.es/gazeta/dias/1816/12/10/pdfs/GMD-1816-153.pdf#page=5","Abrir facsímil")</f>
        <v>Abrir facsímil</v>
      </c>
      <c r="K2022" s="3" t="s">
        <v>31</v>
      </c>
    </row>
    <row r="2023" spans="1:11" ht="42" customHeight="1">
      <c r="A2023" s="2" t="s">
        <v>4864</v>
      </c>
      <c r="B2023" s="2" t="s">
        <v>4865</v>
      </c>
      <c r="C2023" s="2" t="s">
        <v>34</v>
      </c>
      <c r="D2023" s="2" t="s">
        <v>35</v>
      </c>
      <c r="E2023" s="5">
        <v>-30499</v>
      </c>
      <c r="F2023" s="3" t="s">
        <v>971</v>
      </c>
      <c r="G2023" s="3" t="s">
        <v>92</v>
      </c>
      <c r="H2023" s="2" t="s">
        <v>21</v>
      </c>
      <c r="I2023" s="2" t="s">
        <v>4866</v>
      </c>
      <c r="J2023" s="3" t="str">
        <f>HYPERLINK("https://www.boe.es/gazeta/dias/1816/06/29/pdfs/GMD-1816-81.pdf#page=9","Abrir facsímil")</f>
        <v>Abrir facsímil</v>
      </c>
      <c r="K2023" s="3" t="s">
        <v>23</v>
      </c>
    </row>
    <row r="2024" spans="1:11" ht="42" customHeight="1">
      <c r="A2024" s="2" t="s">
        <v>4867</v>
      </c>
      <c r="B2024" s="2" t="s">
        <v>4868</v>
      </c>
      <c r="C2024" s="2" t="s">
        <v>111</v>
      </c>
      <c r="D2024" s="2" t="s">
        <v>112</v>
      </c>
      <c r="E2024" s="5">
        <v>-30401</v>
      </c>
      <c r="F2024" s="3" t="s">
        <v>652</v>
      </c>
      <c r="G2024" s="3" t="s">
        <v>42</v>
      </c>
      <c r="H2024" s="2" t="s">
        <v>21</v>
      </c>
      <c r="I2024" s="2" t="s">
        <v>4869</v>
      </c>
      <c r="J2024" s="3" t="str">
        <f>HYPERLINK("https://www.boe.es/gazeta/dias/1816/10/05/pdfs/GMD-1816-123.pdf#page=8","Abrir facsímil")</f>
        <v>Abrir facsímil</v>
      </c>
      <c r="K2024" s="3" t="s">
        <v>23</v>
      </c>
    </row>
    <row r="2025" spans="1:11" ht="42" customHeight="1">
      <c r="A2025" s="2" t="s">
        <v>4867</v>
      </c>
      <c r="B2025" s="2" t="s">
        <v>4868</v>
      </c>
      <c r="C2025" s="2" t="s">
        <v>34</v>
      </c>
      <c r="D2025" s="2" t="s">
        <v>35</v>
      </c>
      <c r="E2025" s="5">
        <v>-30389</v>
      </c>
      <c r="F2025" s="3" t="s">
        <v>522</v>
      </c>
      <c r="G2025" s="3" t="s">
        <v>47</v>
      </c>
      <c r="H2025" s="2" t="s">
        <v>21</v>
      </c>
      <c r="I2025" s="2" t="s">
        <v>4870</v>
      </c>
      <c r="J2025" s="3" t="str">
        <f>HYPERLINK("https://www.boe.es/gazeta/dias/1816/10/17/pdfs/GMD-1816-130.pdf#page=5","Abrir facsímil")</f>
        <v>Abrir facsímil</v>
      </c>
      <c r="K2025" s="3" t="s">
        <v>23</v>
      </c>
    </row>
    <row r="2026" spans="1:11" ht="42" customHeight="1">
      <c r="A2026" s="2" t="s">
        <v>4867</v>
      </c>
      <c r="B2026" s="2" t="s">
        <v>4868</v>
      </c>
      <c r="C2026" s="2" t="s">
        <v>34</v>
      </c>
      <c r="D2026" s="2" t="s">
        <v>35</v>
      </c>
      <c r="E2026" s="5">
        <v>-30326</v>
      </c>
      <c r="F2026" s="3" t="s">
        <v>377</v>
      </c>
      <c r="G2026" s="3" t="s">
        <v>28</v>
      </c>
      <c r="H2026" s="2" t="s">
        <v>21</v>
      </c>
      <c r="I2026" s="2" t="s">
        <v>4871</v>
      </c>
      <c r="J2026" s="3" t="str">
        <f>HYPERLINK("https://www.boe.es/gazeta/dias/1816/12/19/pdfs/GMD-1816-157.pdf#page=6","Abrir facsímil")</f>
        <v>Abrir facsímil</v>
      </c>
      <c r="K2026" s="3" t="s">
        <v>23</v>
      </c>
    </row>
    <row r="2027" spans="1:11" ht="42" customHeight="1">
      <c r="A2027" s="2" t="s">
        <v>4867</v>
      </c>
      <c r="B2027" s="2" t="s">
        <v>4868</v>
      </c>
      <c r="C2027" s="2" t="s">
        <v>111</v>
      </c>
      <c r="D2027" s="2" t="s">
        <v>112</v>
      </c>
      <c r="E2027" s="5">
        <v>-30321</v>
      </c>
      <c r="F2027" s="3" t="s">
        <v>1086</v>
      </c>
      <c r="G2027" s="3" t="s">
        <v>52</v>
      </c>
      <c r="H2027" s="2" t="s">
        <v>21</v>
      </c>
      <c r="I2027" s="2" t="s">
        <v>4872</v>
      </c>
      <c r="J2027" s="3" t="str">
        <f>HYPERLINK("https://www.boe.es/gazeta/dias/1816/12/24/pdfs/GMD-1816-159.pdf#page=12","Abrir facsímil")</f>
        <v>Abrir facsímil</v>
      </c>
      <c r="K2027" s="3" t="s">
        <v>23</v>
      </c>
    </row>
    <row r="2028" spans="1:11" ht="42" customHeight="1">
      <c r="A2028" s="2" t="s">
        <v>4873</v>
      </c>
      <c r="B2028" s="2" t="s">
        <v>4874</v>
      </c>
      <c r="C2028" s="2" t="s">
        <v>17</v>
      </c>
      <c r="D2028" s="2" t="s">
        <v>18</v>
      </c>
      <c r="E2028" s="5">
        <v>-30345</v>
      </c>
      <c r="F2028" s="3" t="s">
        <v>1382</v>
      </c>
      <c r="G2028" s="3" t="s">
        <v>72</v>
      </c>
      <c r="H2028" s="2" t="s">
        <v>21</v>
      </c>
      <c r="I2028" s="2" t="s">
        <v>4875</v>
      </c>
      <c r="J2028" s="3" t="str">
        <f>HYPERLINK("https://www.boe.es/gazeta/dias/1816/11/30/pdfs/GMD-1816-149.pdf#page=7","Abrir facsímil")</f>
        <v>Abrir facsímil</v>
      </c>
      <c r="K2028" s="3" t="s">
        <v>23</v>
      </c>
    </row>
    <row r="2029" spans="1:11" ht="42" customHeight="1">
      <c r="A2029" s="2" t="s">
        <v>4873</v>
      </c>
      <c r="B2029" s="2" t="s">
        <v>4874</v>
      </c>
      <c r="C2029" s="2" t="s">
        <v>17</v>
      </c>
      <c r="D2029" s="2" t="s">
        <v>18</v>
      </c>
      <c r="E2029" s="5">
        <v>-30317</v>
      </c>
      <c r="F2029" s="3" t="s">
        <v>1030</v>
      </c>
      <c r="G2029" s="3" t="s">
        <v>1031</v>
      </c>
      <c r="H2029" s="2" t="s">
        <v>21</v>
      </c>
      <c r="I2029" s="2" t="s">
        <v>4876</v>
      </c>
      <c r="J2029" s="3" t="str">
        <f>HYPERLINK("https://www.boe.es/gazeta/dias/1816/12/28/pdfs/GMD-1816-161.pdf#page=6","Abrir facsímil")</f>
        <v>Abrir facsímil</v>
      </c>
      <c r="K2029" s="3" t="s">
        <v>23</v>
      </c>
    </row>
    <row r="2030" spans="1:11" ht="42" customHeight="1">
      <c r="A2030" s="2" t="s">
        <v>4877</v>
      </c>
      <c r="B2030" s="2" t="s">
        <v>4878</v>
      </c>
      <c r="C2030" s="2" t="s">
        <v>387</v>
      </c>
      <c r="D2030" s="2" t="s">
        <v>18</v>
      </c>
      <c r="E2030" s="5">
        <v>-30587</v>
      </c>
      <c r="F2030" s="3" t="s">
        <v>341</v>
      </c>
      <c r="G2030" s="3" t="s">
        <v>47</v>
      </c>
      <c r="H2030" s="2" t="s">
        <v>21</v>
      </c>
      <c r="I2030" s="2" t="s">
        <v>4879</v>
      </c>
      <c r="J2030" s="3" t="str">
        <f>HYPERLINK("https://www.boe.es/gazeta/dias/1816/04/02/pdfs/GMD-1816-43.pdf#page=5","Abrir facsímil")</f>
        <v>Abrir facsímil</v>
      </c>
      <c r="K2030" s="3" t="s">
        <v>23</v>
      </c>
    </row>
    <row r="2031" spans="1:11" ht="42" customHeight="1">
      <c r="A2031" s="2" t="s">
        <v>4880</v>
      </c>
      <c r="B2031" s="2" t="s">
        <v>4881</v>
      </c>
      <c r="C2031" s="2" t="s">
        <v>41</v>
      </c>
      <c r="D2031" s="2" t="s">
        <v>18</v>
      </c>
      <c r="E2031" s="5">
        <v>-30494</v>
      </c>
      <c r="F2031" s="3" t="s">
        <v>174</v>
      </c>
      <c r="G2031" s="3" t="s">
        <v>175</v>
      </c>
      <c r="H2031" s="2" t="s">
        <v>21</v>
      </c>
      <c r="I2031" s="2" t="s">
        <v>4882</v>
      </c>
      <c r="J2031" s="3" t="str">
        <f>HYPERLINK("https://www.boe.es/gazeta/dias/1816/07/04/pdfs/GMD-1816-83.pdf#page=11","Abrir facsímil")</f>
        <v>Abrir facsímil</v>
      </c>
      <c r="K2031" s="3" t="s">
        <v>23</v>
      </c>
    </row>
    <row r="2032" spans="1:11" ht="42" customHeight="1">
      <c r="A2032" s="2" t="s">
        <v>4880</v>
      </c>
      <c r="B2032" s="2" t="s">
        <v>4881</v>
      </c>
      <c r="C2032" s="2" t="s">
        <v>34</v>
      </c>
      <c r="D2032" s="2" t="s">
        <v>35</v>
      </c>
      <c r="E2032" s="5">
        <v>-30391</v>
      </c>
      <c r="F2032" s="3" t="s">
        <v>482</v>
      </c>
      <c r="G2032" s="3" t="s">
        <v>28</v>
      </c>
      <c r="H2032" s="2" t="s">
        <v>21</v>
      </c>
      <c r="I2032" s="2" t="s">
        <v>4883</v>
      </c>
      <c r="J2032" s="3" t="str">
        <f>HYPERLINK("https://www.boe.es/gazeta/dias/1816/10/15/pdfs/GMD-1816-129.pdf#page=6","Abrir facsímil")</f>
        <v>Abrir facsímil</v>
      </c>
      <c r="K2032" s="3" t="s">
        <v>23</v>
      </c>
    </row>
    <row r="2033" spans="1:11" ht="42" customHeight="1">
      <c r="A2033" s="2" t="s">
        <v>4880</v>
      </c>
      <c r="B2033" s="2" t="s">
        <v>4881</v>
      </c>
      <c r="C2033" s="2" t="s">
        <v>26</v>
      </c>
      <c r="D2033" s="2" t="s">
        <v>18</v>
      </c>
      <c r="E2033" s="5">
        <v>-30391</v>
      </c>
      <c r="F2033" s="3" t="s">
        <v>482</v>
      </c>
      <c r="G2033" s="3" t="s">
        <v>72</v>
      </c>
      <c r="H2033" s="2" t="s">
        <v>21</v>
      </c>
      <c r="I2033" s="2" t="s">
        <v>4884</v>
      </c>
      <c r="J2033" s="3" t="str">
        <f>HYPERLINK("https://www.boe.es/gazeta/dias/1816/10/15/pdfs/GMD-1816-129.pdf#page=7","Abrir facsímil")</f>
        <v>Abrir facsímil</v>
      </c>
      <c r="K2033" s="3" t="s">
        <v>23</v>
      </c>
    </row>
    <row r="2034" spans="1:11" ht="42" customHeight="1">
      <c r="A2034" s="2" t="s">
        <v>4885</v>
      </c>
      <c r="B2034" s="2" t="s">
        <v>4886</v>
      </c>
      <c r="C2034" s="2" t="s">
        <v>111</v>
      </c>
      <c r="D2034" s="2" t="s">
        <v>112</v>
      </c>
      <c r="E2034" s="5">
        <v>-30618</v>
      </c>
      <c r="F2034" s="3" t="s">
        <v>207</v>
      </c>
      <c r="G2034" s="3" t="s">
        <v>42</v>
      </c>
      <c r="H2034" s="2" t="s">
        <v>21</v>
      </c>
      <c r="I2034" s="2" t="s">
        <v>4887</v>
      </c>
      <c r="J2034" s="3" t="str">
        <f>HYPERLINK("https://www.boe.es/gazeta/dias/1816/03/02/pdfs/GMD-1816-29.pdf#page=8","Abrir facsímil")</f>
        <v>Abrir facsímil</v>
      </c>
      <c r="K2034" s="3" t="s">
        <v>23</v>
      </c>
    </row>
    <row r="2035" spans="1:11" ht="42" customHeight="1">
      <c r="A2035" s="2" t="s">
        <v>4885</v>
      </c>
      <c r="B2035" s="2" t="s">
        <v>4886</v>
      </c>
      <c r="C2035" s="2" t="s">
        <v>111</v>
      </c>
      <c r="D2035" s="2" t="s">
        <v>112</v>
      </c>
      <c r="E2035" s="5">
        <v>-30608</v>
      </c>
      <c r="F2035" s="3" t="s">
        <v>550</v>
      </c>
      <c r="G2035" s="3" t="s">
        <v>42</v>
      </c>
      <c r="H2035" s="2" t="s">
        <v>21</v>
      </c>
      <c r="I2035" s="2" t="s">
        <v>4888</v>
      </c>
      <c r="J2035" s="3" t="str">
        <f>HYPERLINK("https://www.boe.es/gazeta/dias/1816/03/12/pdfs/GMD-1816-33.pdf#page=8","Abrir facsímil")</f>
        <v>Abrir facsímil</v>
      </c>
      <c r="K2035" s="3" t="s">
        <v>23</v>
      </c>
    </row>
    <row r="2036" spans="1:11" ht="42" customHeight="1">
      <c r="A2036" s="2" t="s">
        <v>4885</v>
      </c>
      <c r="B2036" s="2" t="s">
        <v>4886</v>
      </c>
      <c r="C2036" s="2" t="s">
        <v>111</v>
      </c>
      <c r="D2036" s="2" t="s">
        <v>112</v>
      </c>
      <c r="E2036" s="5">
        <v>-30552</v>
      </c>
      <c r="F2036" s="3" t="s">
        <v>1842</v>
      </c>
      <c r="G2036" s="3" t="s">
        <v>72</v>
      </c>
      <c r="H2036" s="2" t="s">
        <v>21</v>
      </c>
      <c r="I2036" s="2" t="s">
        <v>4889</v>
      </c>
      <c r="J2036" s="3" t="str">
        <f>HYPERLINK("https://www.boe.es/gazeta/dias/1816/05/07/pdfs/GMD-1816-58.pdf#page=7","Abrir facsímil")</f>
        <v>Abrir facsímil</v>
      </c>
      <c r="K2036" s="3" t="s">
        <v>23</v>
      </c>
    </row>
    <row r="2037" spans="1:11" ht="42" customHeight="1">
      <c r="A2037" s="2" t="s">
        <v>4885</v>
      </c>
      <c r="B2037" s="2" t="s">
        <v>4886</v>
      </c>
      <c r="C2037" s="2" t="s">
        <v>111</v>
      </c>
      <c r="D2037" s="2" t="s">
        <v>112</v>
      </c>
      <c r="E2037" s="5">
        <v>-30534</v>
      </c>
      <c r="F2037" s="3" t="s">
        <v>274</v>
      </c>
      <c r="G2037" s="3" t="s">
        <v>42</v>
      </c>
      <c r="H2037" s="2" t="s">
        <v>21</v>
      </c>
      <c r="I2037" s="2" t="s">
        <v>4890</v>
      </c>
      <c r="J2037" s="3" t="str">
        <f>HYPERLINK("https://www.boe.es/gazeta/dias/1816/05/25/pdfs/GMD-1816-66.pdf#page=8","Abrir facsímil")</f>
        <v>Abrir facsímil</v>
      </c>
      <c r="K2037" s="3" t="s">
        <v>23</v>
      </c>
    </row>
    <row r="2038" spans="1:11" ht="42" customHeight="1">
      <c r="A2038" s="2" t="s">
        <v>4885</v>
      </c>
      <c r="B2038" s="2" t="s">
        <v>4886</v>
      </c>
      <c r="C2038" s="2" t="s">
        <v>111</v>
      </c>
      <c r="D2038" s="2" t="s">
        <v>112</v>
      </c>
      <c r="E2038" s="5">
        <v>-30527</v>
      </c>
      <c r="F2038" s="3" t="s">
        <v>304</v>
      </c>
      <c r="G2038" s="3" t="s">
        <v>42</v>
      </c>
      <c r="H2038" s="2" t="s">
        <v>21</v>
      </c>
      <c r="I2038" s="2" t="s">
        <v>4891</v>
      </c>
      <c r="J2038" s="3" t="str">
        <f>HYPERLINK("https://www.boe.es/gazeta/dias/1816/06/01/pdfs/GMD-1816-69.pdf#page=8","Abrir facsímil")</f>
        <v>Abrir facsímil</v>
      </c>
      <c r="K2038" s="3" t="s">
        <v>23</v>
      </c>
    </row>
    <row r="2039" spans="1:11" ht="42" customHeight="1">
      <c r="A2039" s="2" t="s">
        <v>4885</v>
      </c>
      <c r="B2039" s="2" t="s">
        <v>4886</v>
      </c>
      <c r="C2039" s="2" t="s">
        <v>111</v>
      </c>
      <c r="D2039" s="2" t="s">
        <v>112</v>
      </c>
      <c r="E2039" s="5">
        <v>-30387</v>
      </c>
      <c r="F2039" s="3" t="s">
        <v>224</v>
      </c>
      <c r="G2039" s="3" t="s">
        <v>42</v>
      </c>
      <c r="H2039" s="2" t="s">
        <v>21</v>
      </c>
      <c r="I2039" s="2" t="s">
        <v>4892</v>
      </c>
      <c r="J2039" s="3" t="str">
        <f>HYPERLINK("https://www.boe.es/gazeta/dias/1816/10/19/pdfs/GMD-1816-131.pdf#page=8","Abrir facsímil")</f>
        <v>Abrir facsímil</v>
      </c>
      <c r="K2039" s="3" t="s">
        <v>23</v>
      </c>
    </row>
    <row r="2040" spans="1:11" ht="42" customHeight="1">
      <c r="A2040" s="2" t="s">
        <v>4885</v>
      </c>
      <c r="B2040" s="2" t="s">
        <v>4886</v>
      </c>
      <c r="C2040" s="2" t="s">
        <v>111</v>
      </c>
      <c r="D2040" s="2" t="s">
        <v>112</v>
      </c>
      <c r="E2040" s="5">
        <v>-30373</v>
      </c>
      <c r="F2040" s="3" t="s">
        <v>1280</v>
      </c>
      <c r="G2040" s="3" t="s">
        <v>42</v>
      </c>
      <c r="H2040" s="2" t="s">
        <v>21</v>
      </c>
      <c r="I2040" s="2" t="s">
        <v>4893</v>
      </c>
      <c r="J2040" s="3" t="str">
        <f>HYPERLINK("https://www.boe.es/gazeta/dias/1816/11/02/pdfs/GMD-1816-137.pdf#page=8","Abrir facsímil")</f>
        <v>Abrir facsímil</v>
      </c>
      <c r="K2040" s="3" t="s">
        <v>23</v>
      </c>
    </row>
    <row r="2041" spans="1:11" ht="42" customHeight="1">
      <c r="A2041" s="2" t="s">
        <v>4894</v>
      </c>
      <c r="B2041" s="2" t="s">
        <v>4895</v>
      </c>
      <c r="C2041" s="2" t="s">
        <v>111</v>
      </c>
      <c r="D2041" s="2" t="s">
        <v>112</v>
      </c>
      <c r="E2041" s="5">
        <v>-30489</v>
      </c>
      <c r="F2041" s="3" t="s">
        <v>1120</v>
      </c>
      <c r="G2041" s="3" t="s">
        <v>42</v>
      </c>
      <c r="H2041" s="2" t="s">
        <v>21</v>
      </c>
      <c r="I2041" s="2" t="s">
        <v>4896</v>
      </c>
      <c r="J2041" s="3" t="str">
        <f>HYPERLINK("https://www.boe.es/gazeta/dias/1816/07/09/pdfs/GMD-1816-85.pdf#page=8","Abrir facsímil")</f>
        <v>Abrir facsímil</v>
      </c>
      <c r="K2041" s="3" t="s">
        <v>23</v>
      </c>
    </row>
    <row r="2042" spans="1:11" ht="42" customHeight="1">
      <c r="A2042" s="2" t="s">
        <v>4897</v>
      </c>
      <c r="B2042" s="2" t="s">
        <v>4898</v>
      </c>
      <c r="C2042" s="2" t="s">
        <v>34</v>
      </c>
      <c r="D2042" s="2" t="s">
        <v>35</v>
      </c>
      <c r="E2042" s="5">
        <v>-30405</v>
      </c>
      <c r="F2042" s="3" t="s">
        <v>587</v>
      </c>
      <c r="G2042" s="3" t="s">
        <v>47</v>
      </c>
      <c r="H2042" s="2" t="s">
        <v>21</v>
      </c>
      <c r="I2042" s="2" t="s">
        <v>4899</v>
      </c>
      <c r="J2042" s="3" t="str">
        <f>HYPERLINK("https://www.boe.es/gazeta/dias/1816/10/01/pdfs/GMD-1816-121.pdf#page=5","Abrir facsímil")</f>
        <v>Abrir facsímil</v>
      </c>
      <c r="K2042" s="3" t="s">
        <v>23</v>
      </c>
    </row>
    <row r="2043" spans="1:11" ht="42" customHeight="1">
      <c r="A2043" s="2" t="s">
        <v>4897</v>
      </c>
      <c r="B2043" s="2" t="s">
        <v>4898</v>
      </c>
      <c r="C2043" s="2" t="s">
        <v>111</v>
      </c>
      <c r="D2043" s="2" t="s">
        <v>112</v>
      </c>
      <c r="E2043" s="5">
        <v>-30391</v>
      </c>
      <c r="F2043" s="3" t="s">
        <v>482</v>
      </c>
      <c r="G2043" s="3" t="s">
        <v>47</v>
      </c>
      <c r="H2043" s="2" t="s">
        <v>21</v>
      </c>
      <c r="I2043" s="2" t="s">
        <v>4900</v>
      </c>
      <c r="J2043" s="3" t="str">
        <f>HYPERLINK("https://www.boe.es/gazeta/dias/1816/10/15/pdfs/GMD-1816-129.pdf#page=5","Abrir facsímil")</f>
        <v>Abrir facsímil</v>
      </c>
      <c r="K2043" s="3" t="s">
        <v>23</v>
      </c>
    </row>
    <row r="2044" spans="1:11" ht="42" customHeight="1">
      <c r="A2044" s="2" t="s">
        <v>4901</v>
      </c>
      <c r="B2044" s="2" t="s">
        <v>4902</v>
      </c>
      <c r="C2044" s="2" t="s">
        <v>26</v>
      </c>
      <c r="D2044" s="2" t="s">
        <v>18</v>
      </c>
      <c r="E2044" s="5">
        <v>-30482</v>
      </c>
      <c r="F2044" s="3" t="s">
        <v>370</v>
      </c>
      <c r="G2044" s="3" t="s">
        <v>4903</v>
      </c>
      <c r="H2044" s="2" t="s">
        <v>21</v>
      </c>
      <c r="I2044" s="2" t="s">
        <v>4904</v>
      </c>
      <c r="J2044" s="3" t="str">
        <f>HYPERLINK("https://www.boe.es/gazeta/dias/1816/07/16/pdfs/GMD-1816-88.pdf#page=3","Abrir facsímil")</f>
        <v>Abrir facsímil</v>
      </c>
      <c r="K2044" s="3" t="s">
        <v>23</v>
      </c>
    </row>
    <row r="2045" spans="1:11" ht="42" customHeight="1">
      <c r="A2045" s="2" t="s">
        <v>4905</v>
      </c>
      <c r="B2045" s="2" t="s">
        <v>4906</v>
      </c>
      <c r="C2045" s="2" t="s">
        <v>34</v>
      </c>
      <c r="D2045" s="2" t="s">
        <v>35</v>
      </c>
      <c r="E2045" s="5">
        <v>-30499</v>
      </c>
      <c r="F2045" s="3" t="s">
        <v>971</v>
      </c>
      <c r="G2045" s="3" t="s">
        <v>4907</v>
      </c>
      <c r="H2045" s="2" t="s">
        <v>21</v>
      </c>
      <c r="I2045" s="2" t="s">
        <v>4908</v>
      </c>
      <c r="J2045" s="3" t="str">
        <f>HYPERLINK("https://www.boe.es/gazeta/dias/1816/06/29/pdfs/GMD-1816-81.pdf#page=8","Abrir facsímil")</f>
        <v>Abrir facsímil</v>
      </c>
      <c r="K2045" s="3" t="s">
        <v>23</v>
      </c>
    </row>
    <row r="2046" spans="1:11" ht="42" customHeight="1">
      <c r="A2046" s="2" t="s">
        <v>4905</v>
      </c>
      <c r="B2046" s="2" t="s">
        <v>4906</v>
      </c>
      <c r="C2046" s="2" t="s">
        <v>34</v>
      </c>
      <c r="D2046" s="2" t="s">
        <v>35</v>
      </c>
      <c r="E2046" s="5">
        <v>-30499</v>
      </c>
      <c r="F2046" s="3" t="s">
        <v>971</v>
      </c>
      <c r="G2046" s="3" t="s">
        <v>72</v>
      </c>
      <c r="H2046" s="2" t="s">
        <v>21</v>
      </c>
      <c r="I2046" s="2" t="s">
        <v>4909</v>
      </c>
      <c r="J2046" s="3" t="str">
        <f>HYPERLINK("https://www.boe.es/gazeta/dias/1816/06/29/pdfs/GMD-1816-81.pdf#page=7","Abrir facsímil")</f>
        <v>Abrir facsímil</v>
      </c>
      <c r="K2046" s="3" t="s">
        <v>23</v>
      </c>
    </row>
    <row r="2047" spans="1:11" ht="42" customHeight="1">
      <c r="A2047" s="2" t="s">
        <v>4910</v>
      </c>
      <c r="B2047" s="2" t="s">
        <v>4911</v>
      </c>
      <c r="C2047" s="2" t="s">
        <v>111</v>
      </c>
      <c r="D2047" s="2" t="s">
        <v>112</v>
      </c>
      <c r="E2047" s="5">
        <v>-30317</v>
      </c>
      <c r="F2047" s="3" t="s">
        <v>1030</v>
      </c>
      <c r="G2047" s="3" t="s">
        <v>72</v>
      </c>
      <c r="H2047" s="2" t="s">
        <v>29</v>
      </c>
      <c r="I2047" s="2" t="s">
        <v>4912</v>
      </c>
      <c r="J2047" s="3" t="str">
        <f>HYPERLINK("https://www.boe.es/gazeta/dias/1816/12/28/pdfs/GMD-1816-161.pdf#page=7","Abrir facsímil")</f>
        <v>Abrir facsímil</v>
      </c>
      <c r="K2047" s="3" t="s">
        <v>31</v>
      </c>
    </row>
    <row r="2048" spans="1:11" ht="42" customHeight="1">
      <c r="A2048" s="2" t="s">
        <v>4913</v>
      </c>
      <c r="B2048" s="2" t="s">
        <v>4914</v>
      </c>
      <c r="C2048" s="2" t="s">
        <v>67</v>
      </c>
      <c r="D2048" s="2" t="s">
        <v>18</v>
      </c>
      <c r="E2048" s="5">
        <v>-30431</v>
      </c>
      <c r="F2048" s="3" t="s">
        <v>756</v>
      </c>
      <c r="G2048" s="3" t="s">
        <v>47</v>
      </c>
      <c r="H2048" s="2" t="s">
        <v>21</v>
      </c>
      <c r="I2048" s="2" t="s">
        <v>4915</v>
      </c>
      <c r="J2048" s="3" t="str">
        <f>HYPERLINK("https://www.boe.es/gazeta/dias/1816/09/05/pdfs/GMD-1816-110.pdf#page=5","Abrir facsímil")</f>
        <v>Abrir facsímil</v>
      </c>
      <c r="K2048" s="3" t="s">
        <v>23</v>
      </c>
    </row>
    <row r="2049" spans="1:11" ht="42" customHeight="1">
      <c r="A2049" s="2" t="s">
        <v>4916</v>
      </c>
      <c r="B2049" s="2" t="s">
        <v>4917</v>
      </c>
      <c r="C2049" s="2" t="s">
        <v>17</v>
      </c>
      <c r="D2049" s="2" t="s">
        <v>18</v>
      </c>
      <c r="E2049" s="5">
        <v>-30345</v>
      </c>
      <c r="F2049" s="3" t="s">
        <v>1382</v>
      </c>
      <c r="G2049" s="3" t="s">
        <v>72</v>
      </c>
      <c r="H2049" s="2" t="s">
        <v>21</v>
      </c>
      <c r="I2049" s="2" t="s">
        <v>4918</v>
      </c>
      <c r="J2049" s="3" t="str">
        <f>HYPERLINK("https://www.boe.es/gazeta/dias/1816/11/30/pdfs/GMD-1816-149.pdf#page=7","Abrir facsímil")</f>
        <v>Abrir facsímil</v>
      </c>
      <c r="K2049" s="3" t="s">
        <v>23</v>
      </c>
    </row>
    <row r="2050" spans="1:11" ht="42" customHeight="1">
      <c r="A2050" s="2" t="s">
        <v>4919</v>
      </c>
      <c r="B2050" s="2" t="s">
        <v>4920</v>
      </c>
      <c r="C2050" s="2" t="s">
        <v>17</v>
      </c>
      <c r="D2050" s="2" t="s">
        <v>18</v>
      </c>
      <c r="E2050" s="5">
        <v>-30317</v>
      </c>
      <c r="F2050" s="3" t="s">
        <v>1030</v>
      </c>
      <c r="G2050" s="3" t="s">
        <v>1031</v>
      </c>
      <c r="H2050" s="2" t="s">
        <v>21</v>
      </c>
      <c r="I2050" s="2" t="s">
        <v>4921</v>
      </c>
      <c r="J2050" s="3" t="str">
        <f>HYPERLINK("https://www.boe.es/gazeta/dias/1816/12/28/pdfs/GMD-1816-161.pdf#page=6","Abrir facsímil")</f>
        <v>Abrir facsímil</v>
      </c>
      <c r="K2050" s="3" t="s">
        <v>23</v>
      </c>
    </row>
    <row r="2051" spans="1:11" ht="42" customHeight="1">
      <c r="A2051" s="2" t="s">
        <v>4922</v>
      </c>
      <c r="B2051" s="2" t="s">
        <v>4923</v>
      </c>
      <c r="C2051" s="2" t="s">
        <v>34</v>
      </c>
      <c r="D2051" s="2" t="s">
        <v>35</v>
      </c>
      <c r="E2051" s="5">
        <v>-30599</v>
      </c>
      <c r="F2051" s="3" t="s">
        <v>552</v>
      </c>
      <c r="G2051" s="3" t="s">
        <v>42</v>
      </c>
      <c r="H2051" s="2" t="s">
        <v>21</v>
      </c>
      <c r="I2051" s="2" t="s">
        <v>4924</v>
      </c>
      <c r="J2051" s="3" t="str">
        <f>HYPERLINK("https://www.boe.es/gazeta/dias/1816/03/21/pdfs/GMD-1816-38.pdf#page=8","Abrir facsímil")</f>
        <v>Abrir facsímil</v>
      </c>
      <c r="K2051" s="3" t="s">
        <v>23</v>
      </c>
    </row>
    <row r="2052" spans="1:11" ht="42" customHeight="1">
      <c r="A2052" s="2" t="s">
        <v>4925</v>
      </c>
      <c r="B2052" s="2" t="s">
        <v>4926</v>
      </c>
      <c r="C2052" s="2" t="s">
        <v>17</v>
      </c>
      <c r="D2052" s="2" t="s">
        <v>18</v>
      </c>
      <c r="E2052" s="5">
        <v>-30422</v>
      </c>
      <c r="F2052" s="3" t="s">
        <v>803</v>
      </c>
      <c r="G2052" s="3" t="s">
        <v>1405</v>
      </c>
      <c r="H2052" s="2" t="s">
        <v>21</v>
      </c>
      <c r="I2052" s="2" t="s">
        <v>4927</v>
      </c>
      <c r="J2052" s="3" t="str">
        <f>HYPERLINK("https://www.boe.es/gazeta/dias/1816/09/14/pdfs/GMD-1816-114.pdf#page=8","Abrir facsímil")</f>
        <v>Abrir facsímil</v>
      </c>
      <c r="K2052" s="3" t="s">
        <v>23</v>
      </c>
    </row>
    <row r="2053" spans="1:11" ht="42" customHeight="1">
      <c r="A2053" s="2" t="s">
        <v>4925</v>
      </c>
      <c r="B2053" s="2" t="s">
        <v>4926</v>
      </c>
      <c r="C2053" s="2" t="s">
        <v>26</v>
      </c>
      <c r="D2053" s="2" t="s">
        <v>18</v>
      </c>
      <c r="E2053" s="5">
        <v>-30377</v>
      </c>
      <c r="F2053" s="3" t="s">
        <v>138</v>
      </c>
      <c r="G2053" s="3" t="s">
        <v>72</v>
      </c>
      <c r="H2053" s="2" t="s">
        <v>21</v>
      </c>
      <c r="I2053" s="2" t="s">
        <v>4928</v>
      </c>
      <c r="J2053" s="3" t="str">
        <f>HYPERLINK("https://www.boe.es/gazeta/dias/1816/10/29/pdfs/GMD-1816-135.pdf#page=7","Abrir facsímil")</f>
        <v>Abrir facsímil</v>
      </c>
      <c r="K2053" s="3" t="s">
        <v>23</v>
      </c>
    </row>
    <row r="2054" spans="1:11" ht="42" customHeight="1">
      <c r="A2054" s="2" t="s">
        <v>4929</v>
      </c>
      <c r="B2054" s="2" t="s">
        <v>4930</v>
      </c>
      <c r="C2054" s="2" t="s">
        <v>111</v>
      </c>
      <c r="D2054" s="2" t="s">
        <v>112</v>
      </c>
      <c r="E2054" s="5">
        <v>-30450</v>
      </c>
      <c r="F2054" s="3" t="s">
        <v>349</v>
      </c>
      <c r="G2054" s="3" t="s">
        <v>42</v>
      </c>
      <c r="H2054" s="2" t="s">
        <v>21</v>
      </c>
      <c r="I2054" s="2" t="s">
        <v>4931</v>
      </c>
      <c r="J2054" s="3" t="str">
        <f>HYPERLINK("https://www.boe.es/gazeta/dias/1816/08/17/pdfs/GMD-1816-102.pdf#page=8","Abrir facsímil")</f>
        <v>Abrir facsímil</v>
      </c>
      <c r="K2054" s="3" t="s">
        <v>23</v>
      </c>
    </row>
    <row r="2055" spans="1:11" ht="42" customHeight="1">
      <c r="A2055" s="2" t="s">
        <v>4932</v>
      </c>
      <c r="B2055" s="2" t="s">
        <v>4933</v>
      </c>
      <c r="C2055" s="2" t="s">
        <v>81</v>
      </c>
      <c r="D2055" s="2" t="s">
        <v>18</v>
      </c>
      <c r="E2055" s="5">
        <v>-30613</v>
      </c>
      <c r="F2055" s="3" t="s">
        <v>392</v>
      </c>
      <c r="G2055" s="3" t="s">
        <v>1395</v>
      </c>
      <c r="H2055" s="2" t="s">
        <v>21</v>
      </c>
      <c r="I2055" s="2" t="s">
        <v>4934</v>
      </c>
      <c r="J2055" s="3" t="str">
        <f>HYPERLINK("https://www.boe.es/gazeta/dias/1816/03/07/pdfs/GMD-1816-31.pdf#page=8","Abrir facsímil")</f>
        <v>Abrir facsímil</v>
      </c>
      <c r="K2055" s="3" t="s">
        <v>23</v>
      </c>
    </row>
    <row r="2056" spans="1:11" ht="42" customHeight="1">
      <c r="A2056" s="2" t="s">
        <v>4935</v>
      </c>
      <c r="B2056" s="2" t="s">
        <v>4936</v>
      </c>
      <c r="C2056" s="2" t="s">
        <v>111</v>
      </c>
      <c r="D2056" s="2" t="s">
        <v>112</v>
      </c>
      <c r="E2056" s="5">
        <v>-30398</v>
      </c>
      <c r="F2056" s="3" t="s">
        <v>447</v>
      </c>
      <c r="G2056" s="3" t="s">
        <v>42</v>
      </c>
      <c r="H2056" s="2" t="s">
        <v>29</v>
      </c>
      <c r="I2056" s="2" t="s">
        <v>4937</v>
      </c>
      <c r="J2056" s="3" t="str">
        <f>HYPERLINK("https://www.boe.es/gazeta/dias/1816/10/08/pdfs/GMD-1816-125.pdf#page=8","Abrir facsímil")</f>
        <v>Abrir facsímil</v>
      </c>
      <c r="K2056" s="3" t="s">
        <v>31</v>
      </c>
    </row>
    <row r="2057" spans="1:11" ht="42" customHeight="1">
      <c r="A2057" s="2" t="s">
        <v>4938</v>
      </c>
      <c r="B2057" s="2" t="s">
        <v>4939</v>
      </c>
      <c r="C2057" s="2" t="s">
        <v>81</v>
      </c>
      <c r="D2057" s="2" t="s">
        <v>18</v>
      </c>
      <c r="E2057" s="5">
        <v>-30459</v>
      </c>
      <c r="F2057" s="3" t="s">
        <v>1957</v>
      </c>
      <c r="G2057" s="3" t="s">
        <v>103</v>
      </c>
      <c r="H2057" s="2" t="s">
        <v>21</v>
      </c>
      <c r="I2057" s="2" t="s">
        <v>4940</v>
      </c>
      <c r="J2057" s="3" t="str">
        <f>HYPERLINK("https://www.boe.es/gazeta/dias/1816/08/08/pdfs/GMD-1816-98.pdf#page=4","Abrir facsímil")</f>
        <v>Abrir facsímil</v>
      </c>
      <c r="K2057" s="3" t="s">
        <v>23</v>
      </c>
    </row>
    <row r="2058" spans="1:11" ht="42" customHeight="1">
      <c r="A2058" s="2" t="s">
        <v>4941</v>
      </c>
      <c r="B2058" s="2" t="s">
        <v>4942</v>
      </c>
      <c r="C2058" s="2" t="s">
        <v>26</v>
      </c>
      <c r="D2058" s="2" t="s">
        <v>56</v>
      </c>
      <c r="E2058" s="5">
        <v>-30393</v>
      </c>
      <c r="F2058" s="3" t="s">
        <v>202</v>
      </c>
      <c r="G2058" s="3" t="s">
        <v>47</v>
      </c>
      <c r="H2058" s="2" t="s">
        <v>21</v>
      </c>
      <c r="I2058" s="2" t="s">
        <v>4943</v>
      </c>
      <c r="J2058" s="3" t="str">
        <f>HYPERLINK("https://www.boe.es/gazeta/dias/1816/10/13/pdfs/GMD-1816-128E.pdf#page=5","Abrir facsímil")</f>
        <v>Abrir facsímil</v>
      </c>
      <c r="K2058" s="3" t="s">
        <v>23</v>
      </c>
    </row>
    <row r="2059" spans="1:11" ht="42" customHeight="1">
      <c r="A2059" s="2" t="s">
        <v>4944</v>
      </c>
      <c r="B2059" s="2" t="s">
        <v>4944</v>
      </c>
      <c r="C2059" s="2" t="s">
        <v>17</v>
      </c>
      <c r="D2059" s="2" t="s">
        <v>18</v>
      </c>
      <c r="E2059" s="5">
        <v>-30627</v>
      </c>
      <c r="F2059" s="3" t="s">
        <v>136</v>
      </c>
      <c r="G2059" s="3" t="s">
        <v>58</v>
      </c>
      <c r="H2059" s="2" t="s">
        <v>21</v>
      </c>
      <c r="I2059" s="2" t="s">
        <v>4945</v>
      </c>
      <c r="J2059" s="3" t="str">
        <f>HYPERLINK("https://www.boe.es/gazeta/dias/1816/02/22/pdfs/GMD-1816-24.pdf#page=1","Abrir facsímil")</f>
        <v>Abrir facsímil</v>
      </c>
      <c r="K2059" s="3" t="s">
        <v>23</v>
      </c>
    </row>
    <row r="2060" spans="1:11" ht="42" customHeight="1">
      <c r="A2060" s="2" t="s">
        <v>4944</v>
      </c>
      <c r="B2060" s="2" t="s">
        <v>4944</v>
      </c>
      <c r="C2060" s="2" t="s">
        <v>81</v>
      </c>
      <c r="D2060" s="2" t="s">
        <v>18</v>
      </c>
      <c r="E2060" s="5">
        <v>-30354</v>
      </c>
      <c r="F2060" s="3" t="s">
        <v>68</v>
      </c>
      <c r="G2060" s="3" t="s">
        <v>72</v>
      </c>
      <c r="H2060" s="2" t="s">
        <v>21</v>
      </c>
      <c r="I2060" s="2" t="s">
        <v>4946</v>
      </c>
      <c r="J2060" s="3" t="str">
        <f>HYPERLINK("https://www.boe.es/gazeta/dias/1816/11/21/pdfs/GMD-1816-145.pdf#page=7","Abrir facsímil")</f>
        <v>Abrir facsímil</v>
      </c>
      <c r="K2060" s="3" t="s">
        <v>23</v>
      </c>
    </row>
    <row r="2061" spans="1:11" ht="42" customHeight="1">
      <c r="A2061" s="2" t="s">
        <v>4947</v>
      </c>
      <c r="B2061" s="2" t="s">
        <v>4948</v>
      </c>
      <c r="C2061" s="2" t="s">
        <v>81</v>
      </c>
      <c r="D2061" s="2" t="s">
        <v>18</v>
      </c>
      <c r="E2061" s="5">
        <v>-30345</v>
      </c>
      <c r="F2061" s="3" t="s">
        <v>1382</v>
      </c>
      <c r="G2061" s="3" t="s">
        <v>42</v>
      </c>
      <c r="H2061" s="2" t="s">
        <v>21</v>
      </c>
      <c r="I2061" s="2" t="s">
        <v>4949</v>
      </c>
      <c r="J2061" s="3" t="str">
        <f>HYPERLINK("https://www.boe.es/gazeta/dias/1816/11/30/pdfs/GMD-1816-149.pdf#page=8","Abrir facsímil")</f>
        <v>Abrir facsímil</v>
      </c>
      <c r="K2061" s="3" t="s">
        <v>23</v>
      </c>
    </row>
    <row r="2062" spans="1:11" ht="42" customHeight="1">
      <c r="A2062" s="2" t="s">
        <v>4950</v>
      </c>
      <c r="B2062" s="2" t="s">
        <v>4951</v>
      </c>
      <c r="C2062" s="2" t="s">
        <v>41</v>
      </c>
      <c r="D2062" s="2" t="s">
        <v>18</v>
      </c>
      <c r="E2062" s="5">
        <v>-30494</v>
      </c>
      <c r="F2062" s="3" t="s">
        <v>174</v>
      </c>
      <c r="G2062" s="3" t="s">
        <v>175</v>
      </c>
      <c r="H2062" s="2" t="s">
        <v>21</v>
      </c>
      <c r="I2062" s="2" t="s">
        <v>4952</v>
      </c>
      <c r="J2062" s="3" t="str">
        <f>HYPERLINK("https://www.boe.es/gazeta/dias/1816/07/04/pdfs/GMD-1816-83.pdf#page=11","Abrir facsímil")</f>
        <v>Abrir facsímil</v>
      </c>
      <c r="K2062" s="3" t="s">
        <v>23</v>
      </c>
    </row>
    <row r="2063" spans="1:11" ht="42" customHeight="1">
      <c r="A2063" s="2" t="s">
        <v>4953</v>
      </c>
      <c r="B2063" s="2" t="s">
        <v>4954</v>
      </c>
      <c r="C2063" s="2" t="s">
        <v>34</v>
      </c>
      <c r="D2063" s="2" t="s">
        <v>35</v>
      </c>
      <c r="E2063" s="5">
        <v>-30583</v>
      </c>
      <c r="F2063" s="3" t="s">
        <v>241</v>
      </c>
      <c r="G2063" s="3" t="s">
        <v>72</v>
      </c>
      <c r="H2063" s="2" t="s">
        <v>21</v>
      </c>
      <c r="I2063" s="2" t="s">
        <v>4955</v>
      </c>
      <c r="J2063" s="3" t="str">
        <f>HYPERLINK("https://www.boe.es/gazeta/dias/1816/04/06/pdfs/GMD-1816-45.pdf#page=7","Abrir facsímil")</f>
        <v>Abrir facsímil</v>
      </c>
      <c r="K2063" s="3" t="s">
        <v>23</v>
      </c>
    </row>
    <row r="2064" spans="1:11" ht="42" customHeight="1">
      <c r="A2064" s="2" t="s">
        <v>4956</v>
      </c>
      <c r="B2064" s="2" t="s">
        <v>4957</v>
      </c>
      <c r="C2064" s="2" t="s">
        <v>34</v>
      </c>
      <c r="D2064" s="2" t="s">
        <v>56</v>
      </c>
      <c r="E2064" s="5">
        <v>-30393</v>
      </c>
      <c r="F2064" s="3" t="s">
        <v>202</v>
      </c>
      <c r="G2064" s="3" t="s">
        <v>184</v>
      </c>
      <c r="H2064" s="2" t="s">
        <v>21</v>
      </c>
      <c r="I2064" s="2" t="s">
        <v>4958</v>
      </c>
      <c r="J2064" s="3" t="str">
        <f>HYPERLINK("https://www.boe.es/gazeta/dias/1816/10/13/pdfs/GMD-1816-128E.pdf#page=3","Abrir facsímil")</f>
        <v>Abrir facsímil</v>
      </c>
      <c r="K2064" s="3" t="s">
        <v>23</v>
      </c>
    </row>
    <row r="2065" spans="1:11" ht="42" customHeight="1">
      <c r="A2065" s="2" t="s">
        <v>4959</v>
      </c>
      <c r="B2065" s="2" t="s">
        <v>4960</v>
      </c>
      <c r="C2065" s="2" t="s">
        <v>26</v>
      </c>
      <c r="D2065" s="2" t="s">
        <v>18</v>
      </c>
      <c r="E2065" s="5">
        <v>-30387</v>
      </c>
      <c r="F2065" s="3" t="s">
        <v>224</v>
      </c>
      <c r="G2065" s="3" t="s">
        <v>28</v>
      </c>
      <c r="H2065" s="2" t="s">
        <v>21</v>
      </c>
      <c r="I2065" s="2" t="s">
        <v>4961</v>
      </c>
      <c r="J2065" s="3" t="str">
        <f>HYPERLINK("https://www.boe.es/gazeta/dias/1816/10/19/pdfs/GMD-1816-131.pdf#page=6","Abrir facsímil")</f>
        <v>Abrir facsímil</v>
      </c>
      <c r="K2065" s="3" t="s">
        <v>23</v>
      </c>
    </row>
    <row r="2066" spans="1:11" ht="42" customHeight="1">
      <c r="A2066" s="2" t="s">
        <v>4962</v>
      </c>
      <c r="B2066" s="2" t="s">
        <v>4963</v>
      </c>
      <c r="C2066" s="2" t="s">
        <v>34</v>
      </c>
      <c r="D2066" s="2" t="s">
        <v>56</v>
      </c>
      <c r="E2066" s="5">
        <v>-30393</v>
      </c>
      <c r="F2066" s="3" t="s">
        <v>202</v>
      </c>
      <c r="G2066" s="3" t="s">
        <v>184</v>
      </c>
      <c r="H2066" s="2" t="s">
        <v>21</v>
      </c>
      <c r="I2066" s="2" t="s">
        <v>4964</v>
      </c>
      <c r="J2066" s="3" t="str">
        <f>HYPERLINK("https://www.boe.es/gazeta/dias/1816/10/13/pdfs/GMD-1816-128E.pdf#page=3","Abrir facsímil")</f>
        <v>Abrir facsímil</v>
      </c>
      <c r="K2066" s="3" t="s">
        <v>23</v>
      </c>
    </row>
    <row r="2067" spans="1:11" ht="42" customHeight="1">
      <c r="A2067" s="2" t="s">
        <v>4965</v>
      </c>
      <c r="B2067" s="2" t="s">
        <v>4966</v>
      </c>
      <c r="C2067" s="2" t="s">
        <v>34</v>
      </c>
      <c r="D2067" s="2" t="s">
        <v>35</v>
      </c>
      <c r="E2067" s="5">
        <v>-30461</v>
      </c>
      <c r="F2067" s="3" t="s">
        <v>912</v>
      </c>
      <c r="G2067" s="3" t="s">
        <v>47</v>
      </c>
      <c r="H2067" s="2" t="s">
        <v>21</v>
      </c>
      <c r="I2067" s="2" t="s">
        <v>4967</v>
      </c>
      <c r="J2067" s="3" t="str">
        <f>HYPERLINK("https://www.boe.es/gazeta/dias/1816/08/06/pdfs/GMD-1816-97.pdf#page=5","Abrir facsímil")</f>
        <v>Abrir facsímil</v>
      </c>
      <c r="K2067" s="3" t="s">
        <v>23</v>
      </c>
    </row>
    <row r="2068" spans="1:11" ht="42" customHeight="1">
      <c r="A2068" s="2" t="s">
        <v>4968</v>
      </c>
      <c r="B2068" s="2" t="s">
        <v>4969</v>
      </c>
      <c r="C2068" s="2" t="s">
        <v>34</v>
      </c>
      <c r="D2068" s="2" t="s">
        <v>35</v>
      </c>
      <c r="E2068" s="5">
        <v>-30377</v>
      </c>
      <c r="F2068" s="3" t="s">
        <v>138</v>
      </c>
      <c r="G2068" s="3" t="s">
        <v>270</v>
      </c>
      <c r="H2068" s="2" t="s">
        <v>21</v>
      </c>
      <c r="I2068" s="2" t="s">
        <v>4970</v>
      </c>
      <c r="J2068" s="3" t="str">
        <f>HYPERLINK("https://www.boe.es/gazeta/dias/1816/10/29/pdfs/GMD-1816-135.pdf#page=2","Abrir facsímil")</f>
        <v>Abrir facsímil</v>
      </c>
      <c r="K2068" s="3" t="s">
        <v>23</v>
      </c>
    </row>
    <row r="2069" spans="1:11" ht="42" customHeight="1">
      <c r="A2069" s="2" t="s">
        <v>4971</v>
      </c>
      <c r="B2069" s="2" t="s">
        <v>4971</v>
      </c>
      <c r="C2069" s="2" t="s">
        <v>26</v>
      </c>
      <c r="D2069" s="2" t="s">
        <v>18</v>
      </c>
      <c r="E2069" s="5">
        <v>-30433</v>
      </c>
      <c r="F2069" s="3" t="s">
        <v>954</v>
      </c>
      <c r="G2069" s="3" t="s">
        <v>955</v>
      </c>
      <c r="H2069" s="2" t="s">
        <v>21</v>
      </c>
      <c r="I2069" s="2" t="s">
        <v>4972</v>
      </c>
      <c r="J2069" s="3" t="str">
        <f>HYPERLINK("https://www.boe.es/gazeta/dias/1816/09/03/pdfs/GMD-1816-109.pdf#page=7","Abrir facsímil")</f>
        <v>Abrir facsímil</v>
      </c>
      <c r="K2069" s="3" t="s">
        <v>23</v>
      </c>
    </row>
    <row r="2070" spans="1:11" ht="42" customHeight="1">
      <c r="A2070" s="2" t="s">
        <v>4973</v>
      </c>
      <c r="B2070" s="2" t="s">
        <v>4973</v>
      </c>
      <c r="C2070" s="2" t="s">
        <v>34</v>
      </c>
      <c r="D2070" s="2" t="s">
        <v>35</v>
      </c>
      <c r="E2070" s="5">
        <v>-30464</v>
      </c>
      <c r="F2070" s="3" t="s">
        <v>215</v>
      </c>
      <c r="G2070" s="3" t="s">
        <v>47</v>
      </c>
      <c r="H2070" s="2" t="s">
        <v>21</v>
      </c>
      <c r="I2070" s="2" t="s">
        <v>4974</v>
      </c>
      <c r="J2070" s="3" t="str">
        <f>HYPERLINK("https://www.boe.es/gazeta/dias/1816/08/03/pdfs/GMD-1816-96.pdf#page=5","Abrir facsímil")</f>
        <v>Abrir facsímil</v>
      </c>
      <c r="K2070" s="3" t="s">
        <v>23</v>
      </c>
    </row>
    <row r="2071" spans="1:11" ht="42" customHeight="1">
      <c r="A2071" s="2" t="s">
        <v>4975</v>
      </c>
      <c r="B2071" s="2" t="s">
        <v>4976</v>
      </c>
      <c r="C2071" s="2" t="s">
        <v>34</v>
      </c>
      <c r="D2071" s="2" t="s">
        <v>35</v>
      </c>
      <c r="E2071" s="5">
        <v>-30573</v>
      </c>
      <c r="F2071" s="3" t="s">
        <v>840</v>
      </c>
      <c r="G2071" s="3" t="s">
        <v>4262</v>
      </c>
      <c r="H2071" s="2" t="s">
        <v>21</v>
      </c>
      <c r="I2071" s="2" t="s">
        <v>4977</v>
      </c>
      <c r="J2071" s="3" t="str">
        <f>HYPERLINK("https://www.boe.es/gazeta/dias/1816/04/16/pdfs/GMD-1816-49.pdf#page=6","Abrir facsímil")</f>
        <v>Abrir facsímil</v>
      </c>
      <c r="K2071" s="3" t="s">
        <v>23</v>
      </c>
    </row>
    <row r="2072" spans="1:11" ht="42" customHeight="1">
      <c r="A2072" s="2" t="s">
        <v>4975</v>
      </c>
      <c r="B2072" s="2" t="s">
        <v>4976</v>
      </c>
      <c r="C2072" s="2" t="s">
        <v>34</v>
      </c>
      <c r="D2072" s="2" t="s">
        <v>35</v>
      </c>
      <c r="E2072" s="5">
        <v>-30464</v>
      </c>
      <c r="F2072" s="3" t="s">
        <v>215</v>
      </c>
      <c r="G2072" s="3" t="s">
        <v>47</v>
      </c>
      <c r="H2072" s="2" t="s">
        <v>21</v>
      </c>
      <c r="I2072" s="2" t="s">
        <v>4978</v>
      </c>
      <c r="J2072" s="3" t="str">
        <f>HYPERLINK("https://www.boe.es/gazeta/dias/1816/08/03/pdfs/GMD-1816-96.pdf#page=5","Abrir facsímil")</f>
        <v>Abrir facsímil</v>
      </c>
      <c r="K2072" s="3" t="s">
        <v>23</v>
      </c>
    </row>
    <row r="2073" spans="1:11" ht="42" customHeight="1">
      <c r="A2073" s="2" t="s">
        <v>4975</v>
      </c>
      <c r="B2073" s="2" t="s">
        <v>4976</v>
      </c>
      <c r="C2073" s="2" t="s">
        <v>34</v>
      </c>
      <c r="D2073" s="2" t="s">
        <v>35</v>
      </c>
      <c r="E2073" s="5">
        <v>-30464</v>
      </c>
      <c r="F2073" s="3" t="s">
        <v>215</v>
      </c>
      <c r="G2073" s="3" t="s">
        <v>28</v>
      </c>
      <c r="H2073" s="2" t="s">
        <v>21</v>
      </c>
      <c r="I2073" s="2" t="s">
        <v>4979</v>
      </c>
      <c r="J2073" s="3" t="str">
        <f>HYPERLINK("https://www.boe.es/gazeta/dias/1816/08/03/pdfs/GMD-1816-96.pdf#page=6","Abrir facsímil")</f>
        <v>Abrir facsímil</v>
      </c>
      <c r="K2073" s="3" t="s">
        <v>23</v>
      </c>
    </row>
    <row r="2074" spans="1:11" ht="42" customHeight="1">
      <c r="A2074" s="2" t="s">
        <v>4980</v>
      </c>
      <c r="B2074" s="2" t="s">
        <v>4981</v>
      </c>
      <c r="C2074" s="2" t="s">
        <v>41</v>
      </c>
      <c r="D2074" s="2" t="s">
        <v>18</v>
      </c>
      <c r="E2074" s="5">
        <v>-30671</v>
      </c>
      <c r="F2074" s="3" t="s">
        <v>2049</v>
      </c>
      <c r="G2074" s="3" t="s">
        <v>47</v>
      </c>
      <c r="H2074" s="2" t="s">
        <v>21</v>
      </c>
      <c r="I2074" s="2" t="s">
        <v>4982</v>
      </c>
      <c r="J2074" s="3" t="str">
        <f>HYPERLINK("https://www.boe.es/gazeta/dias/1816/01/09/pdfs/GMD-1816-4.pdf#page=5","Abrir facsímil")</f>
        <v>Abrir facsímil</v>
      </c>
      <c r="K2074" s="3" t="s">
        <v>23</v>
      </c>
    </row>
    <row r="2075" spans="1:11" ht="42" customHeight="1">
      <c r="A2075" s="2" t="s">
        <v>4983</v>
      </c>
      <c r="B2075" s="2" t="s">
        <v>4983</v>
      </c>
      <c r="C2075" s="2" t="s">
        <v>34</v>
      </c>
      <c r="D2075" s="2" t="s">
        <v>35</v>
      </c>
      <c r="E2075" s="5">
        <v>-30657</v>
      </c>
      <c r="F2075" s="3" t="s">
        <v>899</v>
      </c>
      <c r="G2075" s="3" t="s">
        <v>184</v>
      </c>
      <c r="H2075" s="2" t="s">
        <v>21</v>
      </c>
      <c r="I2075" s="2" t="s">
        <v>4984</v>
      </c>
      <c r="J2075" s="3" t="str">
        <f>HYPERLINK("https://www.boe.es/gazeta/dias/1816/01/23/pdfs/GMD-1816-10.pdf#page=3","Abrir facsímil")</f>
        <v>Abrir facsímil</v>
      </c>
      <c r="K2075" s="3" t="s">
        <v>23</v>
      </c>
    </row>
    <row r="2076" spans="1:11" ht="42" customHeight="1">
      <c r="A2076" s="2" t="s">
        <v>4985</v>
      </c>
      <c r="B2076" s="2" t="s">
        <v>4985</v>
      </c>
      <c r="C2076" s="2" t="s">
        <v>67</v>
      </c>
      <c r="D2076" s="2" t="s">
        <v>18</v>
      </c>
      <c r="E2076" s="5">
        <v>-30524</v>
      </c>
      <c r="F2076" s="3" t="s">
        <v>98</v>
      </c>
      <c r="G2076" s="3" t="s">
        <v>184</v>
      </c>
      <c r="H2076" s="2" t="s">
        <v>21</v>
      </c>
      <c r="I2076" s="2" t="s">
        <v>4986</v>
      </c>
      <c r="J2076" s="3" t="str">
        <f>HYPERLINK("https://www.boe.es/gazeta/dias/1816/06/04/pdfs/GMD-1816-70.pdf#page=3","Abrir facsímil")</f>
        <v>Abrir facsímil</v>
      </c>
      <c r="K2076" s="3" t="s">
        <v>23</v>
      </c>
    </row>
    <row r="2077" spans="1:11" ht="42" customHeight="1">
      <c r="A2077" s="2" t="s">
        <v>4987</v>
      </c>
      <c r="B2077" s="2" t="s">
        <v>4987</v>
      </c>
      <c r="C2077" s="2" t="s">
        <v>81</v>
      </c>
      <c r="D2077" s="2" t="s">
        <v>18</v>
      </c>
      <c r="E2077" s="5">
        <v>-30319</v>
      </c>
      <c r="F2077" s="3" t="s">
        <v>131</v>
      </c>
      <c r="G2077" s="3" t="s">
        <v>2122</v>
      </c>
      <c r="H2077" s="2" t="s">
        <v>21</v>
      </c>
      <c r="I2077" s="2" t="s">
        <v>4988</v>
      </c>
      <c r="J2077" s="3" t="str">
        <f>HYPERLINK("https://www.boe.es/gazeta/dias/1816/12/26/pdfs/GMD-1816-160.pdf#page=7","Abrir facsímil")</f>
        <v>Abrir facsímil</v>
      </c>
      <c r="K2077" s="3" t="s">
        <v>23</v>
      </c>
    </row>
    <row r="2078" spans="1:11" ht="42" customHeight="1">
      <c r="A2078" s="2" t="s">
        <v>4989</v>
      </c>
      <c r="B2078" s="2" t="s">
        <v>4989</v>
      </c>
      <c r="C2078" s="2" t="s">
        <v>67</v>
      </c>
      <c r="D2078" s="2" t="s">
        <v>18</v>
      </c>
      <c r="E2078" s="5">
        <v>-30338</v>
      </c>
      <c r="F2078" s="3" t="s">
        <v>464</v>
      </c>
      <c r="G2078" s="3" t="s">
        <v>42</v>
      </c>
      <c r="H2078" s="2" t="s">
        <v>21</v>
      </c>
      <c r="I2078" s="2" t="s">
        <v>4990</v>
      </c>
      <c r="J2078" s="3" t="str">
        <f>HYPERLINK("https://www.boe.es/gazeta/dias/1816/12/07/pdfs/GMD-1816-152.pdf#page=8","Abrir facsímil")</f>
        <v>Abrir facsímil</v>
      </c>
      <c r="K2078" s="3" t="s">
        <v>23</v>
      </c>
    </row>
    <row r="2079" spans="1:11" ht="42" customHeight="1">
      <c r="A2079" s="2" t="s">
        <v>4991</v>
      </c>
      <c r="B2079" s="2" t="s">
        <v>4992</v>
      </c>
      <c r="C2079" s="2" t="s">
        <v>34</v>
      </c>
      <c r="D2079" s="2" t="s">
        <v>35</v>
      </c>
      <c r="E2079" s="5">
        <v>-30678</v>
      </c>
      <c r="F2079" s="3" t="s">
        <v>76</v>
      </c>
      <c r="G2079" s="3" t="s">
        <v>77</v>
      </c>
      <c r="H2079" s="2" t="s">
        <v>21</v>
      </c>
      <c r="I2079" s="2" t="s">
        <v>4993</v>
      </c>
      <c r="J2079" s="3" t="str">
        <f>HYPERLINK("https://www.boe.es/gazeta/dias/1816/01/02/pdfs/GMD-1816-1.pdf#page=8","Abrir facsímil")</f>
        <v>Abrir facsímil</v>
      </c>
      <c r="K2079" s="3" t="s">
        <v>23</v>
      </c>
    </row>
    <row r="2080" spans="1:11" ht="42" customHeight="1">
      <c r="A2080" s="2" t="s">
        <v>4994</v>
      </c>
      <c r="B2080" s="2" t="s">
        <v>4995</v>
      </c>
      <c r="C2080" s="2" t="s">
        <v>26</v>
      </c>
      <c r="D2080" s="2" t="s">
        <v>56</v>
      </c>
      <c r="E2080" s="5">
        <v>-30393</v>
      </c>
      <c r="F2080" s="3" t="s">
        <v>202</v>
      </c>
      <c r="G2080" s="3" t="s">
        <v>834</v>
      </c>
      <c r="H2080" s="2" t="s">
        <v>21</v>
      </c>
      <c r="I2080" s="2" t="s">
        <v>4996</v>
      </c>
      <c r="J2080" s="3" t="str">
        <f>HYPERLINK("https://www.boe.es/gazeta/dias/1816/10/13/pdfs/GMD-1816-128E.pdf#page=6","Abrir facsímil")</f>
        <v>Abrir facsímil</v>
      </c>
      <c r="K2080" s="3" t="s">
        <v>23</v>
      </c>
    </row>
    <row r="2081" spans="1:11" ht="42" customHeight="1">
      <c r="A2081" s="2" t="s">
        <v>4997</v>
      </c>
      <c r="B2081" s="2" t="s">
        <v>4998</v>
      </c>
      <c r="C2081" s="2" t="s">
        <v>26</v>
      </c>
      <c r="D2081" s="2" t="s">
        <v>18</v>
      </c>
      <c r="E2081" s="5">
        <v>-30436</v>
      </c>
      <c r="F2081" s="3" t="s">
        <v>102</v>
      </c>
      <c r="G2081" s="3" t="s">
        <v>175</v>
      </c>
      <c r="H2081" s="2" t="s">
        <v>21</v>
      </c>
      <c r="I2081" s="2" t="s">
        <v>4999</v>
      </c>
      <c r="J2081" s="3" t="str">
        <f>HYPERLINK("https://www.boe.es/gazeta/dias/1816/08/31/pdfs/GMD-1816-108.pdf#page=11","Abrir facsímil")</f>
        <v>Abrir facsímil</v>
      </c>
      <c r="K2081" s="3" t="s">
        <v>23</v>
      </c>
    </row>
    <row r="2082" spans="1:11" ht="42" customHeight="1">
      <c r="A2082" s="2" t="s">
        <v>5000</v>
      </c>
      <c r="B2082" s="2" t="s">
        <v>5001</v>
      </c>
      <c r="C2082" s="2" t="s">
        <v>26</v>
      </c>
      <c r="D2082" s="2" t="s">
        <v>18</v>
      </c>
      <c r="E2082" s="5">
        <v>-30410</v>
      </c>
      <c r="F2082" s="3" t="s">
        <v>1259</v>
      </c>
      <c r="G2082" s="3" t="s">
        <v>28</v>
      </c>
      <c r="H2082" s="2" t="s">
        <v>21</v>
      </c>
      <c r="I2082" s="2" t="s">
        <v>5002</v>
      </c>
      <c r="J2082" s="3" t="str">
        <f>HYPERLINK("https://www.boe.es/gazeta/dias/1816/09/26/pdfs/GMD-1816-119.pdf#page=6","Abrir facsímil")</f>
        <v>Abrir facsímil</v>
      </c>
      <c r="K2082" s="3" t="s">
        <v>23</v>
      </c>
    </row>
    <row r="2083" spans="1:11" ht="42" customHeight="1">
      <c r="A2083" s="2" t="s">
        <v>5003</v>
      </c>
      <c r="B2083" s="2" t="s">
        <v>5004</v>
      </c>
      <c r="C2083" s="2" t="s">
        <v>41</v>
      </c>
      <c r="D2083" s="2" t="s">
        <v>18</v>
      </c>
      <c r="E2083" s="5">
        <v>-30494</v>
      </c>
      <c r="F2083" s="3" t="s">
        <v>174</v>
      </c>
      <c r="G2083" s="3" t="s">
        <v>175</v>
      </c>
      <c r="H2083" s="2" t="s">
        <v>21</v>
      </c>
      <c r="I2083" s="2" t="s">
        <v>5005</v>
      </c>
      <c r="J2083" s="3" t="str">
        <f>HYPERLINK("https://www.boe.es/gazeta/dias/1816/07/04/pdfs/GMD-1816-83.pdf#page=11","Abrir facsímil")</f>
        <v>Abrir facsímil</v>
      </c>
      <c r="K2083" s="3" t="s">
        <v>23</v>
      </c>
    </row>
    <row r="2084" spans="1:11" ht="42" customHeight="1">
      <c r="A2084" s="2" t="s">
        <v>5006</v>
      </c>
      <c r="B2084" s="2" t="s">
        <v>5007</v>
      </c>
      <c r="C2084" s="2" t="s">
        <v>34</v>
      </c>
      <c r="D2084" s="2" t="s">
        <v>35</v>
      </c>
      <c r="E2084" s="5">
        <v>-30436</v>
      </c>
      <c r="F2084" s="3" t="s">
        <v>102</v>
      </c>
      <c r="G2084" s="3" t="s">
        <v>72</v>
      </c>
      <c r="H2084" s="2" t="s">
        <v>21</v>
      </c>
      <c r="I2084" s="2" t="s">
        <v>5008</v>
      </c>
      <c r="J2084" s="3" t="str">
        <f>HYPERLINK("https://www.boe.es/gazeta/dias/1816/08/31/pdfs/GMD-1816-108.pdf#page=7","Abrir facsímil")</f>
        <v>Abrir facsímil</v>
      </c>
      <c r="K2084" s="3" t="s">
        <v>23</v>
      </c>
    </row>
    <row r="2085" spans="1:11" ht="42" customHeight="1">
      <c r="A2085" s="2" t="s">
        <v>5009</v>
      </c>
      <c r="B2085" s="2" t="s">
        <v>5010</v>
      </c>
      <c r="C2085" s="2" t="s">
        <v>34</v>
      </c>
      <c r="D2085" s="2" t="s">
        <v>35</v>
      </c>
      <c r="E2085" s="5">
        <v>-30436</v>
      </c>
      <c r="F2085" s="3" t="s">
        <v>102</v>
      </c>
      <c r="G2085" s="3" t="s">
        <v>92</v>
      </c>
      <c r="H2085" s="2" t="s">
        <v>21</v>
      </c>
      <c r="I2085" s="2" t="s">
        <v>5011</v>
      </c>
      <c r="J2085" s="3" t="str">
        <f>HYPERLINK("https://www.boe.es/gazeta/dias/1816/08/31/pdfs/GMD-1816-108.pdf#page=9","Abrir facsímil")</f>
        <v>Abrir facsímil</v>
      </c>
      <c r="K2085" s="3" t="s">
        <v>23</v>
      </c>
    </row>
    <row r="2086" spans="1:11" ht="42" customHeight="1">
      <c r="A2086" s="2" t="s">
        <v>5012</v>
      </c>
      <c r="B2086" s="2" t="s">
        <v>5013</v>
      </c>
      <c r="C2086" s="2" t="s">
        <v>34</v>
      </c>
      <c r="D2086" s="2" t="s">
        <v>35</v>
      </c>
      <c r="E2086" s="5">
        <v>-30655</v>
      </c>
      <c r="F2086" s="3" t="s">
        <v>170</v>
      </c>
      <c r="G2086" s="3" t="s">
        <v>850</v>
      </c>
      <c r="H2086" s="2" t="s">
        <v>21</v>
      </c>
      <c r="I2086" s="2" t="s">
        <v>5014</v>
      </c>
      <c r="J2086" s="3" t="str">
        <f>HYPERLINK("https://www.boe.es/gazeta/dias/1816/01/25/pdfs/GMD-1816-11.pdf#page=6","Abrir facsímil")</f>
        <v>Abrir facsímil</v>
      </c>
      <c r="K2086" s="3" t="s">
        <v>23</v>
      </c>
    </row>
    <row r="2087" spans="1:11" ht="42" customHeight="1">
      <c r="A2087" s="2" t="s">
        <v>5015</v>
      </c>
      <c r="B2087" s="2" t="s">
        <v>5016</v>
      </c>
      <c r="C2087" s="2" t="s">
        <v>111</v>
      </c>
      <c r="D2087" s="2" t="s">
        <v>112</v>
      </c>
      <c r="E2087" s="5">
        <v>-30576</v>
      </c>
      <c r="F2087" s="3" t="s">
        <v>353</v>
      </c>
      <c r="G2087" s="3" t="s">
        <v>72</v>
      </c>
      <c r="H2087" s="2" t="s">
        <v>21</v>
      </c>
      <c r="I2087" s="2" t="s">
        <v>5017</v>
      </c>
      <c r="J2087" s="3" t="str">
        <f>HYPERLINK("https://www.boe.es/gazeta/dias/1816/04/13/pdfs/GMD-1816-48.pdf#page=7","Abrir facsímil")</f>
        <v>Abrir facsímil</v>
      </c>
      <c r="K2087" s="3" t="s">
        <v>23</v>
      </c>
    </row>
    <row r="2088" spans="1:11" ht="42" customHeight="1">
      <c r="A2088" s="2" t="s">
        <v>5018</v>
      </c>
      <c r="B2088" s="2" t="s">
        <v>5019</v>
      </c>
      <c r="C2088" s="2" t="s">
        <v>111</v>
      </c>
      <c r="D2088" s="2" t="s">
        <v>112</v>
      </c>
      <c r="E2088" s="5">
        <v>-30660</v>
      </c>
      <c r="F2088" s="3" t="s">
        <v>809</v>
      </c>
      <c r="G2088" s="3" t="s">
        <v>47</v>
      </c>
      <c r="H2088" s="2" t="s">
        <v>21</v>
      </c>
      <c r="I2088" s="2" t="s">
        <v>5020</v>
      </c>
      <c r="J2088" s="3" t="str">
        <f>HYPERLINK("https://www.boe.es/gazeta/dias/1816/01/20/pdfs/GMD-1816-9.pdf#page=5","Abrir facsímil")</f>
        <v>Abrir facsímil</v>
      </c>
      <c r="K2088" s="3" t="s">
        <v>23</v>
      </c>
    </row>
    <row r="2089" spans="1:11" ht="42" customHeight="1">
      <c r="A2089" s="2" t="s">
        <v>5018</v>
      </c>
      <c r="B2089" s="2" t="s">
        <v>5019</v>
      </c>
      <c r="C2089" s="2" t="s">
        <v>34</v>
      </c>
      <c r="D2089" s="2" t="s">
        <v>35</v>
      </c>
      <c r="E2089" s="5">
        <v>-30464</v>
      </c>
      <c r="F2089" s="3" t="s">
        <v>215</v>
      </c>
      <c r="G2089" s="3" t="s">
        <v>180</v>
      </c>
      <c r="H2089" s="2" t="s">
        <v>21</v>
      </c>
      <c r="I2089" s="2" t="s">
        <v>5021</v>
      </c>
      <c r="J2089" s="3" t="str">
        <f>HYPERLINK("https://www.boe.es/gazeta/dias/1816/08/03/pdfs/GMD-1816-96.pdf#page=10","Abrir facsímil")</f>
        <v>Abrir facsímil</v>
      </c>
      <c r="K2089" s="3" t="s">
        <v>23</v>
      </c>
    </row>
    <row r="2090" spans="1:11" ht="42" customHeight="1">
      <c r="A2090" s="2" t="s">
        <v>5018</v>
      </c>
      <c r="B2090" s="2" t="s">
        <v>5019</v>
      </c>
      <c r="C2090" s="2" t="s">
        <v>34</v>
      </c>
      <c r="D2090" s="2" t="s">
        <v>35</v>
      </c>
      <c r="E2090" s="5">
        <v>-30387</v>
      </c>
      <c r="F2090" s="3" t="s">
        <v>224</v>
      </c>
      <c r="G2090" s="3" t="s">
        <v>184</v>
      </c>
      <c r="H2090" s="2" t="s">
        <v>21</v>
      </c>
      <c r="I2090" s="2" t="s">
        <v>5022</v>
      </c>
      <c r="J2090" s="3" t="str">
        <f>HYPERLINK("https://www.boe.es/gazeta/dias/1816/10/19/pdfs/GMD-1816-131.pdf#page=3","Abrir facsímil")</f>
        <v>Abrir facsímil</v>
      </c>
      <c r="K2090" s="3" t="s">
        <v>23</v>
      </c>
    </row>
    <row r="2091" spans="1:11" ht="42" customHeight="1">
      <c r="A2091" s="2" t="s">
        <v>5023</v>
      </c>
      <c r="B2091" s="2" t="s">
        <v>5024</v>
      </c>
      <c r="C2091" s="2" t="s">
        <v>81</v>
      </c>
      <c r="D2091" s="2" t="s">
        <v>18</v>
      </c>
      <c r="E2091" s="5">
        <v>-30636</v>
      </c>
      <c r="F2091" s="3" t="s">
        <v>82</v>
      </c>
      <c r="G2091" s="3" t="s">
        <v>83</v>
      </c>
      <c r="H2091" s="2" t="s">
        <v>21</v>
      </c>
      <c r="I2091" s="2" t="s">
        <v>5025</v>
      </c>
      <c r="J2091" s="3" t="str">
        <f>HYPERLINK("https://www.boe.es/gazeta/dias/1816/02/13/pdfs/GMD-1816-20.pdf#page=8","Abrir facsímil")</f>
        <v>Abrir facsímil</v>
      </c>
      <c r="K2091" s="3" t="s">
        <v>23</v>
      </c>
    </row>
    <row r="2092" spans="1:11" ht="42" customHeight="1">
      <c r="A2092" s="2" t="s">
        <v>5026</v>
      </c>
      <c r="B2092" s="2" t="s">
        <v>5027</v>
      </c>
      <c r="C2092" s="2" t="s">
        <v>26</v>
      </c>
      <c r="D2092" s="2" t="s">
        <v>18</v>
      </c>
      <c r="E2092" s="5">
        <v>-30506</v>
      </c>
      <c r="F2092" s="3" t="s">
        <v>220</v>
      </c>
      <c r="G2092" s="3" t="s">
        <v>47</v>
      </c>
      <c r="H2092" s="2" t="s">
        <v>21</v>
      </c>
      <c r="I2092" s="2" t="s">
        <v>5028</v>
      </c>
      <c r="J2092" s="3" t="str">
        <f>HYPERLINK("https://www.boe.es/gazeta/dias/1816/06/22/pdfs/GMD-1816-78.pdf#page=5","Abrir facsímil")</f>
        <v>Abrir facsímil</v>
      </c>
      <c r="K2092" s="3" t="s">
        <v>23</v>
      </c>
    </row>
    <row r="2093" spans="1:11" ht="42" customHeight="1">
      <c r="A2093" s="2" t="s">
        <v>5029</v>
      </c>
      <c r="B2093" s="2" t="s">
        <v>5030</v>
      </c>
      <c r="C2093" s="2" t="s">
        <v>26</v>
      </c>
      <c r="D2093" s="2" t="s">
        <v>18</v>
      </c>
      <c r="E2093" s="5">
        <v>-30424</v>
      </c>
      <c r="F2093" s="3" t="s">
        <v>142</v>
      </c>
      <c r="G2093" s="3" t="s">
        <v>143</v>
      </c>
      <c r="H2093" s="2" t="s">
        <v>21</v>
      </c>
      <c r="I2093" s="2" t="s">
        <v>5031</v>
      </c>
      <c r="J2093" s="3" t="str">
        <f>HYPERLINK("https://www.boe.es/gazeta/dias/1816/09/12/pdfs/GMD-1816-113.pdf#page=4","Abrir facsímil")</f>
        <v>Abrir facsímil</v>
      </c>
      <c r="K2093" s="3" t="s">
        <v>23</v>
      </c>
    </row>
    <row r="2094" spans="1:11" ht="42" customHeight="1">
      <c r="A2094" s="2" t="s">
        <v>5032</v>
      </c>
      <c r="B2094" s="2" t="s">
        <v>5033</v>
      </c>
      <c r="C2094" s="2" t="s">
        <v>41</v>
      </c>
      <c r="D2094" s="2" t="s">
        <v>18</v>
      </c>
      <c r="E2094" s="5">
        <v>-30494</v>
      </c>
      <c r="F2094" s="3" t="s">
        <v>174</v>
      </c>
      <c r="G2094" s="3" t="s">
        <v>175</v>
      </c>
      <c r="H2094" s="2" t="s">
        <v>21</v>
      </c>
      <c r="I2094" s="2" t="s">
        <v>5034</v>
      </c>
      <c r="J2094" s="3" t="str">
        <f>HYPERLINK("https://www.boe.es/gazeta/dias/1816/07/04/pdfs/GMD-1816-83.pdf#page=11","Abrir facsímil")</f>
        <v>Abrir facsímil</v>
      </c>
      <c r="K2094" s="3" t="s">
        <v>23</v>
      </c>
    </row>
    <row r="2095" spans="1:11" ht="42" customHeight="1">
      <c r="A2095" s="2" t="s">
        <v>5035</v>
      </c>
      <c r="B2095" s="2" t="s">
        <v>5036</v>
      </c>
      <c r="C2095" s="2" t="s">
        <v>34</v>
      </c>
      <c r="D2095" s="2" t="s">
        <v>35</v>
      </c>
      <c r="E2095" s="5">
        <v>-30340</v>
      </c>
      <c r="F2095" s="3" t="s">
        <v>1618</v>
      </c>
      <c r="G2095" s="3" t="s">
        <v>47</v>
      </c>
      <c r="H2095" s="2" t="s">
        <v>21</v>
      </c>
      <c r="I2095" s="2" t="s">
        <v>5037</v>
      </c>
      <c r="J2095" s="3" t="str">
        <f>HYPERLINK("https://www.boe.es/gazeta/dias/1816/12/05/pdfs/GMD-1816-151.pdf#page=5","Abrir facsímil")</f>
        <v>Abrir facsímil</v>
      </c>
      <c r="K2095" s="3" t="s">
        <v>23</v>
      </c>
    </row>
    <row r="2096" spans="1:11" ht="42" customHeight="1">
      <c r="A2096" s="2" t="s">
        <v>5038</v>
      </c>
      <c r="B2096" s="2" t="s">
        <v>5038</v>
      </c>
      <c r="C2096" s="2" t="s">
        <v>111</v>
      </c>
      <c r="D2096" s="2" t="s">
        <v>112</v>
      </c>
      <c r="E2096" s="5">
        <v>-30412</v>
      </c>
      <c r="F2096" s="3" t="s">
        <v>388</v>
      </c>
      <c r="G2096" s="3" t="s">
        <v>3286</v>
      </c>
      <c r="H2096" s="2" t="s">
        <v>21</v>
      </c>
      <c r="I2096" s="2" t="s">
        <v>5039</v>
      </c>
      <c r="J2096" s="3" t="str">
        <f>HYPERLINK("https://www.boe.es/gazeta/dias/1816/09/24/pdfs/GMD-1816-118.pdf#page=6","Abrir facsímil")</f>
        <v>Abrir facsímil</v>
      </c>
      <c r="K2096" s="3" t="s">
        <v>23</v>
      </c>
    </row>
    <row r="2097" spans="1:11" ht="42" customHeight="1">
      <c r="A2097" s="2" t="s">
        <v>5040</v>
      </c>
      <c r="B2097" s="2" t="s">
        <v>5040</v>
      </c>
      <c r="C2097" s="2" t="s">
        <v>111</v>
      </c>
      <c r="D2097" s="2" t="s">
        <v>112</v>
      </c>
      <c r="E2097" s="5">
        <v>-30578</v>
      </c>
      <c r="F2097" s="3" t="s">
        <v>91</v>
      </c>
      <c r="G2097" s="3" t="s">
        <v>72</v>
      </c>
      <c r="H2097" s="2" t="s">
        <v>21</v>
      </c>
      <c r="I2097" s="2" t="s">
        <v>5041</v>
      </c>
      <c r="J2097" s="3" t="str">
        <f>HYPERLINK("https://www.boe.es/gazeta/dias/1816/04/11/pdfs/GMD-1816-47.pdf#page=7","Abrir facsímil")</f>
        <v>Abrir facsímil</v>
      </c>
      <c r="K2097" s="3" t="s">
        <v>23</v>
      </c>
    </row>
    <row r="2098" spans="1:11" ht="42" customHeight="1">
      <c r="A2098" s="2" t="s">
        <v>5042</v>
      </c>
      <c r="B2098" s="2" t="s">
        <v>5043</v>
      </c>
      <c r="C2098" s="2" t="s">
        <v>111</v>
      </c>
      <c r="D2098" s="2" t="s">
        <v>112</v>
      </c>
      <c r="E2098" s="5">
        <v>-30501</v>
      </c>
      <c r="F2098" s="3" t="s">
        <v>475</v>
      </c>
      <c r="G2098" s="3" t="s">
        <v>1026</v>
      </c>
      <c r="H2098" s="2" t="s">
        <v>21</v>
      </c>
      <c r="I2098" s="2" t="s">
        <v>5044</v>
      </c>
      <c r="J2098" s="3" t="str">
        <f>HYPERLINK("https://www.boe.es/gazeta/dias/1816/06/27/pdfs/GMD-1816-80.pdf#page=4","Abrir facsímil")</f>
        <v>Abrir facsímil</v>
      </c>
      <c r="K2098" s="3" t="s">
        <v>23</v>
      </c>
    </row>
    <row r="2099" spans="1:11" ht="42" customHeight="1">
      <c r="A2099" s="2" t="s">
        <v>5045</v>
      </c>
      <c r="B2099" s="2" t="s">
        <v>5046</v>
      </c>
      <c r="C2099" s="2" t="s">
        <v>26</v>
      </c>
      <c r="D2099" s="2" t="s">
        <v>18</v>
      </c>
      <c r="E2099" s="5">
        <v>-30604</v>
      </c>
      <c r="F2099" s="3" t="s">
        <v>488</v>
      </c>
      <c r="G2099" s="3" t="s">
        <v>72</v>
      </c>
      <c r="H2099" s="2" t="s">
        <v>21</v>
      </c>
      <c r="I2099" s="2" t="s">
        <v>5047</v>
      </c>
      <c r="J2099" s="3" t="str">
        <f>HYPERLINK("https://www.boe.es/gazeta/dias/1816/03/16/pdfs/GMD-1816-35.pdf#page=7","Abrir facsímil")</f>
        <v>Abrir facsímil</v>
      </c>
      <c r="K2099" s="3" t="s">
        <v>23</v>
      </c>
    </row>
    <row r="2100" spans="1:11" ht="42" customHeight="1">
      <c r="A2100" s="2" t="s">
        <v>5045</v>
      </c>
      <c r="B2100" s="2" t="s">
        <v>5046</v>
      </c>
      <c r="C2100" s="2" t="s">
        <v>26</v>
      </c>
      <c r="D2100" s="2" t="s">
        <v>18</v>
      </c>
      <c r="E2100" s="5">
        <v>-30594</v>
      </c>
      <c r="F2100" s="3" t="s">
        <v>234</v>
      </c>
      <c r="G2100" s="3" t="s">
        <v>175</v>
      </c>
      <c r="H2100" s="2" t="s">
        <v>21</v>
      </c>
      <c r="I2100" s="2" t="s">
        <v>5048</v>
      </c>
      <c r="J2100" s="3" t="str">
        <f>HYPERLINK("https://www.boe.es/gazeta/dias/1816/03/26/pdfs/GMD-1816-40.pdf#page=11","Abrir facsímil")</f>
        <v>Abrir facsímil</v>
      </c>
      <c r="K2100" s="3" t="s">
        <v>23</v>
      </c>
    </row>
    <row r="2101" spans="1:11" ht="42" customHeight="1">
      <c r="A2101" s="2" t="s">
        <v>5049</v>
      </c>
      <c r="B2101" s="2" t="s">
        <v>5050</v>
      </c>
      <c r="C2101" s="2" t="s">
        <v>34</v>
      </c>
      <c r="D2101" s="2" t="s">
        <v>35</v>
      </c>
      <c r="E2101" s="5">
        <v>-30452</v>
      </c>
      <c r="F2101" s="3" t="s">
        <v>3546</v>
      </c>
      <c r="G2101" s="3" t="s">
        <v>28</v>
      </c>
      <c r="H2101" s="2" t="s">
        <v>29</v>
      </c>
      <c r="I2101" s="2" t="s">
        <v>5051</v>
      </c>
      <c r="J2101" s="3" t="str">
        <f>HYPERLINK("https://www.boe.es/gazeta/dias/1816/08/15/pdfs/GMD-1816-101.pdf#page=6","Abrir facsímil")</f>
        <v>Abrir facsímil</v>
      </c>
      <c r="K2101" s="3" t="s">
        <v>31</v>
      </c>
    </row>
    <row r="2102" spans="1:11" ht="42" customHeight="1">
      <c r="A2102" s="2" t="s">
        <v>5049</v>
      </c>
      <c r="B2102" s="2" t="s">
        <v>5050</v>
      </c>
      <c r="C2102" s="2" t="s">
        <v>34</v>
      </c>
      <c r="D2102" s="2" t="s">
        <v>35</v>
      </c>
      <c r="E2102" s="5">
        <v>-30452</v>
      </c>
      <c r="F2102" s="3" t="s">
        <v>3546</v>
      </c>
      <c r="G2102" s="3" t="s">
        <v>72</v>
      </c>
      <c r="H2102" s="2" t="s">
        <v>29</v>
      </c>
      <c r="I2102" s="2" t="s">
        <v>5052</v>
      </c>
      <c r="J2102" s="3" t="str">
        <f>HYPERLINK("https://www.boe.es/gazeta/dias/1816/08/15/pdfs/GMD-1816-101.pdf#page=7","Abrir facsímil")</f>
        <v>Abrir facsímil</v>
      </c>
      <c r="K2102" s="3" t="s">
        <v>31</v>
      </c>
    </row>
    <row r="2103" spans="1:11" ht="42" customHeight="1">
      <c r="A2103" s="2" t="s">
        <v>5053</v>
      </c>
      <c r="B2103" s="2" t="s">
        <v>5054</v>
      </c>
      <c r="C2103" s="2" t="s">
        <v>26</v>
      </c>
      <c r="D2103" s="2" t="s">
        <v>18</v>
      </c>
      <c r="E2103" s="5">
        <v>-30401</v>
      </c>
      <c r="F2103" s="3" t="s">
        <v>652</v>
      </c>
      <c r="G2103" s="3" t="s">
        <v>47</v>
      </c>
      <c r="H2103" s="2" t="s">
        <v>21</v>
      </c>
      <c r="I2103" s="2" t="s">
        <v>5055</v>
      </c>
      <c r="J2103" s="3" t="str">
        <f>HYPERLINK("https://www.boe.es/gazeta/dias/1816/10/05/pdfs/GMD-1816-123.pdf#page=5","Abrir facsímil")</f>
        <v>Abrir facsímil</v>
      </c>
      <c r="K2103" s="3" t="s">
        <v>23</v>
      </c>
    </row>
    <row r="2104" spans="1:11" ht="42" customHeight="1">
      <c r="A2104" s="2" t="s">
        <v>5056</v>
      </c>
      <c r="B2104" s="2" t="s">
        <v>5057</v>
      </c>
      <c r="C2104" s="2" t="s">
        <v>67</v>
      </c>
      <c r="D2104" s="2" t="s">
        <v>56</v>
      </c>
      <c r="E2104" s="5">
        <v>-30393</v>
      </c>
      <c r="F2104" s="3" t="s">
        <v>202</v>
      </c>
      <c r="G2104" s="3" t="s">
        <v>270</v>
      </c>
      <c r="H2104" s="2" t="s">
        <v>21</v>
      </c>
      <c r="I2104" s="2" t="s">
        <v>5058</v>
      </c>
      <c r="J2104" s="3" t="str">
        <f>HYPERLINK("https://www.boe.es/gazeta/dias/1816/10/13/pdfs/GMD-1816-128E.pdf#page=2","Abrir facsímil")</f>
        <v>Abrir facsímil</v>
      </c>
      <c r="K2104" s="3" t="s">
        <v>23</v>
      </c>
    </row>
    <row r="2105" spans="1:11" ht="42" customHeight="1">
      <c r="A2105" s="2" t="s">
        <v>5059</v>
      </c>
      <c r="B2105" s="2" t="s">
        <v>5060</v>
      </c>
      <c r="C2105" s="2" t="s">
        <v>111</v>
      </c>
      <c r="D2105" s="2" t="s">
        <v>112</v>
      </c>
      <c r="E2105" s="5">
        <v>-30331</v>
      </c>
      <c r="F2105" s="3" t="s">
        <v>315</v>
      </c>
      <c r="G2105" s="3" t="s">
        <v>28</v>
      </c>
      <c r="H2105" s="2" t="s">
        <v>21</v>
      </c>
      <c r="I2105" s="2" t="s">
        <v>5061</v>
      </c>
      <c r="J2105" s="3" t="str">
        <f>HYPERLINK("https://www.boe.es/gazeta/dias/1816/12/14/pdfs/GMD-1816-155.pdf#page=6","Abrir facsímil")</f>
        <v>Abrir facsímil</v>
      </c>
      <c r="K2105" s="3" t="s">
        <v>23</v>
      </c>
    </row>
    <row r="2106" spans="1:11" ht="42" customHeight="1">
      <c r="A2106" s="2" t="s">
        <v>5062</v>
      </c>
      <c r="B2106" s="2" t="s">
        <v>5063</v>
      </c>
      <c r="C2106" s="2" t="s">
        <v>81</v>
      </c>
      <c r="D2106" s="2" t="s">
        <v>18</v>
      </c>
      <c r="E2106" s="5">
        <v>-30564</v>
      </c>
      <c r="F2106" s="3" t="s">
        <v>963</v>
      </c>
      <c r="G2106" s="3" t="s">
        <v>5064</v>
      </c>
      <c r="H2106" s="2" t="s">
        <v>21</v>
      </c>
      <c r="I2106" s="2" t="s">
        <v>5065</v>
      </c>
      <c r="J2106" s="3" t="str">
        <f>HYPERLINK("https://www.boe.es/gazeta/dias/1816/04/25/pdfs/GMD-1816-53.pdf#page=8","Abrir facsímil")</f>
        <v>Abrir facsímil</v>
      </c>
      <c r="K2106" s="3" t="s">
        <v>23</v>
      </c>
    </row>
    <row r="2107" spans="1:11" ht="42" customHeight="1">
      <c r="A2107" s="2" t="s">
        <v>5066</v>
      </c>
      <c r="B2107" s="2" t="s">
        <v>5067</v>
      </c>
      <c r="C2107" s="2" t="s">
        <v>67</v>
      </c>
      <c r="D2107" s="2" t="s">
        <v>18</v>
      </c>
      <c r="E2107" s="5">
        <v>-30660</v>
      </c>
      <c r="F2107" s="3" t="s">
        <v>809</v>
      </c>
      <c r="G2107" s="3" t="s">
        <v>810</v>
      </c>
      <c r="H2107" s="2" t="s">
        <v>21</v>
      </c>
      <c r="I2107" s="2" t="s">
        <v>5068</v>
      </c>
      <c r="J2107" s="3" t="str">
        <f>HYPERLINK("https://www.boe.es/gazeta/dias/1816/01/20/pdfs/GMD-1816-9.pdf#page=8","Abrir facsímil")</f>
        <v>Abrir facsímil</v>
      </c>
      <c r="K2107" s="3" t="s">
        <v>23</v>
      </c>
    </row>
    <row r="2108" spans="1:11" ht="42" customHeight="1">
      <c r="A2108" s="2" t="s">
        <v>5069</v>
      </c>
      <c r="B2108" s="2" t="s">
        <v>5070</v>
      </c>
      <c r="C2108" s="2" t="s">
        <v>34</v>
      </c>
      <c r="D2108" s="2" t="s">
        <v>35</v>
      </c>
      <c r="E2108" s="5">
        <v>-30429</v>
      </c>
      <c r="F2108" s="3" t="s">
        <v>598</v>
      </c>
      <c r="G2108" s="3" t="s">
        <v>4352</v>
      </c>
      <c r="H2108" s="2" t="s">
        <v>21</v>
      </c>
      <c r="I2108" s="2" t="s">
        <v>5071</v>
      </c>
      <c r="J2108" s="3" t="str">
        <f>HYPERLINK("https://www.boe.es/gazeta/dias/1816/09/07/pdfs/GMD-1816-111.pdf#page=6","Abrir facsímil")</f>
        <v>Abrir facsímil</v>
      </c>
      <c r="K2108" s="3" t="s">
        <v>23</v>
      </c>
    </row>
    <row r="2109" spans="1:11" ht="42" customHeight="1">
      <c r="A2109" s="2" t="s">
        <v>5072</v>
      </c>
      <c r="B2109" s="2" t="s">
        <v>5073</v>
      </c>
      <c r="C2109" s="2" t="s">
        <v>111</v>
      </c>
      <c r="D2109" s="2" t="s">
        <v>112</v>
      </c>
      <c r="E2109" s="5">
        <v>-30319</v>
      </c>
      <c r="F2109" s="3" t="s">
        <v>131</v>
      </c>
      <c r="G2109" s="3" t="s">
        <v>132</v>
      </c>
      <c r="H2109" s="2" t="s">
        <v>21</v>
      </c>
      <c r="I2109" s="2" t="s">
        <v>5074</v>
      </c>
      <c r="J2109" s="3" t="str">
        <f>HYPERLINK("https://www.boe.es/gazeta/dias/1816/12/26/pdfs/GMD-1816-160.pdf#page=6","Abrir facsímil")</f>
        <v>Abrir facsímil</v>
      </c>
      <c r="K2109" s="3" t="s">
        <v>23</v>
      </c>
    </row>
    <row r="2110" spans="1:11" ht="42" customHeight="1">
      <c r="A2110" s="2" t="s">
        <v>5072</v>
      </c>
      <c r="B2110" s="2" t="s">
        <v>5073</v>
      </c>
      <c r="C2110" s="2" t="s">
        <v>81</v>
      </c>
      <c r="D2110" s="2" t="s">
        <v>18</v>
      </c>
      <c r="E2110" s="5">
        <v>-30319</v>
      </c>
      <c r="F2110" s="3" t="s">
        <v>131</v>
      </c>
      <c r="G2110" s="3" t="s">
        <v>2122</v>
      </c>
      <c r="H2110" s="2" t="s">
        <v>21</v>
      </c>
      <c r="I2110" s="2" t="s">
        <v>5075</v>
      </c>
      <c r="J2110" s="3" t="str">
        <f>HYPERLINK("https://www.boe.es/gazeta/dias/1816/12/26/pdfs/GMD-1816-160.pdf#page=7","Abrir facsímil")</f>
        <v>Abrir facsímil</v>
      </c>
      <c r="K2110" s="3" t="s">
        <v>23</v>
      </c>
    </row>
    <row r="2111" spans="1:11" ht="42" customHeight="1">
      <c r="A2111" s="2" t="s">
        <v>5076</v>
      </c>
      <c r="B2111" s="2" t="s">
        <v>5077</v>
      </c>
      <c r="C2111" s="2" t="s">
        <v>387</v>
      </c>
      <c r="D2111" s="2" t="s">
        <v>18</v>
      </c>
      <c r="E2111" s="5">
        <v>-30492</v>
      </c>
      <c r="F2111" s="3" t="s">
        <v>248</v>
      </c>
      <c r="G2111" s="3" t="s">
        <v>58</v>
      </c>
      <c r="H2111" s="2" t="s">
        <v>21</v>
      </c>
      <c r="I2111" s="2" t="s">
        <v>5078</v>
      </c>
      <c r="J2111" s="3" t="str">
        <f>HYPERLINK("https://www.boe.es/gazeta/dias/1816/07/06/pdfs/GMD-1816-84.pdf#page=1","Abrir facsímil")</f>
        <v>Abrir facsímil</v>
      </c>
      <c r="K2111" s="3" t="s">
        <v>23</v>
      </c>
    </row>
    <row r="2112" spans="1:11" ht="42" customHeight="1">
      <c r="A2112" s="2" t="s">
        <v>5079</v>
      </c>
      <c r="B2112" s="2" t="s">
        <v>5080</v>
      </c>
      <c r="C2112" s="2" t="s">
        <v>67</v>
      </c>
      <c r="D2112" s="2" t="s">
        <v>18</v>
      </c>
      <c r="E2112" s="5">
        <v>-30389</v>
      </c>
      <c r="F2112" s="3" t="s">
        <v>522</v>
      </c>
      <c r="G2112" s="3" t="s">
        <v>42</v>
      </c>
      <c r="H2112" s="2" t="s">
        <v>21</v>
      </c>
      <c r="I2112" s="2" t="s">
        <v>5081</v>
      </c>
      <c r="J2112" s="3" t="str">
        <f>HYPERLINK("https://www.boe.es/gazeta/dias/1816/10/17/pdfs/GMD-1816-130.pdf#page=8","Abrir facsímil")</f>
        <v>Abrir facsímil</v>
      </c>
      <c r="K2112" s="3" t="s">
        <v>23</v>
      </c>
    </row>
    <row r="2113" spans="1:11" ht="42" customHeight="1">
      <c r="A2113" s="2" t="s">
        <v>5082</v>
      </c>
      <c r="B2113" s="2" t="s">
        <v>5083</v>
      </c>
      <c r="C2113" s="2" t="s">
        <v>17</v>
      </c>
      <c r="D2113" s="2" t="s">
        <v>18</v>
      </c>
      <c r="E2113" s="5">
        <v>-30639</v>
      </c>
      <c r="F2113" s="3" t="s">
        <v>87</v>
      </c>
      <c r="G2113" s="3" t="s">
        <v>42</v>
      </c>
      <c r="H2113" s="2" t="s">
        <v>21</v>
      </c>
      <c r="I2113" s="2" t="s">
        <v>5084</v>
      </c>
      <c r="J2113" s="3" t="str">
        <f>HYPERLINK("https://www.boe.es/gazeta/dias/1816/02/10/pdfs/GMD-1816-19.pdf#page=8","Abrir facsímil")</f>
        <v>Abrir facsímil</v>
      </c>
      <c r="K2113" s="3" t="s">
        <v>23</v>
      </c>
    </row>
    <row r="2114" spans="1:11" ht="42" customHeight="1">
      <c r="A2114" s="2" t="s">
        <v>5082</v>
      </c>
      <c r="B2114" s="2" t="s">
        <v>5083</v>
      </c>
      <c r="C2114" s="2" t="s">
        <v>26</v>
      </c>
      <c r="D2114" s="2" t="s">
        <v>18</v>
      </c>
      <c r="E2114" s="5">
        <v>-30459</v>
      </c>
      <c r="F2114" s="3" t="s">
        <v>1957</v>
      </c>
      <c r="G2114" s="3" t="s">
        <v>72</v>
      </c>
      <c r="H2114" s="2" t="s">
        <v>21</v>
      </c>
      <c r="I2114" s="2" t="s">
        <v>5085</v>
      </c>
      <c r="J2114" s="3" t="str">
        <f>HYPERLINK("https://www.boe.es/gazeta/dias/1816/08/08/pdfs/GMD-1816-98.pdf#page=7","Abrir facsímil")</f>
        <v>Abrir facsímil</v>
      </c>
      <c r="K2114" s="3" t="s">
        <v>23</v>
      </c>
    </row>
    <row r="2115" spans="1:11" ht="42" customHeight="1">
      <c r="A2115" s="2" t="s">
        <v>5086</v>
      </c>
      <c r="B2115" s="2" t="s">
        <v>5087</v>
      </c>
      <c r="C2115" s="2" t="s">
        <v>26</v>
      </c>
      <c r="D2115" s="2" t="s">
        <v>18</v>
      </c>
      <c r="E2115" s="5">
        <v>-30391</v>
      </c>
      <c r="F2115" s="3" t="s">
        <v>482</v>
      </c>
      <c r="G2115" s="3" t="s">
        <v>72</v>
      </c>
      <c r="H2115" s="2" t="s">
        <v>21</v>
      </c>
      <c r="I2115" s="2" t="s">
        <v>5088</v>
      </c>
      <c r="J2115" s="3" t="str">
        <f>HYPERLINK("https://www.boe.es/gazeta/dias/1816/10/15/pdfs/GMD-1816-129.pdf#page=7","Abrir facsímil")</f>
        <v>Abrir facsímil</v>
      </c>
      <c r="K2115" s="3" t="s">
        <v>23</v>
      </c>
    </row>
    <row r="2116" spans="1:11" ht="42" customHeight="1">
      <c r="A2116" s="2" t="s">
        <v>5089</v>
      </c>
      <c r="B2116" s="2" t="s">
        <v>5090</v>
      </c>
      <c r="C2116" s="2" t="s">
        <v>34</v>
      </c>
      <c r="D2116" s="2" t="s">
        <v>35</v>
      </c>
      <c r="E2116" s="5">
        <v>-30391</v>
      </c>
      <c r="F2116" s="3" t="s">
        <v>482</v>
      </c>
      <c r="G2116" s="3" t="s">
        <v>28</v>
      </c>
      <c r="H2116" s="2" t="s">
        <v>21</v>
      </c>
      <c r="I2116" s="2" t="s">
        <v>5091</v>
      </c>
      <c r="J2116" s="3" t="str">
        <f>HYPERLINK("https://www.boe.es/gazeta/dias/1816/10/15/pdfs/GMD-1816-129.pdf#page=6","Abrir facsímil")</f>
        <v>Abrir facsímil</v>
      </c>
      <c r="K2116" s="3" t="s">
        <v>23</v>
      </c>
    </row>
    <row r="2117" spans="1:11" ht="42" customHeight="1">
      <c r="A2117" s="2" t="s">
        <v>5092</v>
      </c>
      <c r="B2117" s="2" t="s">
        <v>5093</v>
      </c>
      <c r="C2117" s="2" t="s">
        <v>34</v>
      </c>
      <c r="D2117" s="2" t="s">
        <v>35</v>
      </c>
      <c r="E2117" s="5">
        <v>-30468</v>
      </c>
      <c r="F2117" s="3" t="s">
        <v>383</v>
      </c>
      <c r="G2117" s="3" t="s">
        <v>42</v>
      </c>
      <c r="H2117" s="2" t="s">
        <v>21</v>
      </c>
      <c r="I2117" s="2" t="s">
        <v>5094</v>
      </c>
      <c r="J2117" s="3" t="str">
        <f>HYPERLINK("https://www.boe.es/gazeta/dias/1816/07/30/pdfs/GMD-1816-94.pdf#page=8","Abrir facsímil")</f>
        <v>Abrir facsímil</v>
      </c>
      <c r="K2117" s="3" t="s">
        <v>23</v>
      </c>
    </row>
    <row r="2118" spans="1:11" ht="42" customHeight="1">
      <c r="A2118" s="2" t="s">
        <v>5095</v>
      </c>
      <c r="B2118" s="2" t="s">
        <v>5096</v>
      </c>
      <c r="C2118" s="2" t="s">
        <v>34</v>
      </c>
      <c r="D2118" s="2" t="s">
        <v>35</v>
      </c>
      <c r="E2118" s="5">
        <v>-30678</v>
      </c>
      <c r="F2118" s="3" t="s">
        <v>76</v>
      </c>
      <c r="G2118" s="3" t="s">
        <v>77</v>
      </c>
      <c r="H2118" s="2" t="s">
        <v>21</v>
      </c>
      <c r="I2118" s="2" t="s">
        <v>5097</v>
      </c>
      <c r="J2118" s="3" t="str">
        <f>HYPERLINK("https://www.boe.es/gazeta/dias/1816/01/02/pdfs/GMD-1816-1.pdf#page=8","Abrir facsímil")</f>
        <v>Abrir facsímil</v>
      </c>
      <c r="K2118" s="3" t="s">
        <v>23</v>
      </c>
    </row>
    <row r="2119" spans="1:11" ht="42" customHeight="1">
      <c r="A2119" s="2" t="s">
        <v>5098</v>
      </c>
      <c r="B2119" s="2" t="s">
        <v>5099</v>
      </c>
      <c r="C2119" s="2" t="s">
        <v>26</v>
      </c>
      <c r="D2119" s="2" t="s">
        <v>18</v>
      </c>
      <c r="E2119" s="5">
        <v>-30457</v>
      </c>
      <c r="F2119" s="3" t="s">
        <v>539</v>
      </c>
      <c r="G2119" s="3" t="s">
        <v>184</v>
      </c>
      <c r="H2119" s="2" t="s">
        <v>29</v>
      </c>
      <c r="I2119" s="2" t="s">
        <v>5100</v>
      </c>
      <c r="J2119" s="3" t="str">
        <f>HYPERLINK("https://www.boe.es/gazeta/dias/1816/08/10/pdfs/GMD-1816-99.pdf#page=3","Abrir facsímil")</f>
        <v>Abrir facsímil</v>
      </c>
      <c r="K2119" s="3" t="s">
        <v>31</v>
      </c>
    </row>
    <row r="2120" spans="1:11" ht="42" customHeight="1">
      <c r="A2120" s="2" t="s">
        <v>5101</v>
      </c>
      <c r="B2120" s="2" t="s">
        <v>5102</v>
      </c>
      <c r="C2120" s="2" t="s">
        <v>111</v>
      </c>
      <c r="D2120" s="2" t="s">
        <v>112</v>
      </c>
      <c r="E2120" s="5">
        <v>-30480</v>
      </c>
      <c r="F2120" s="3" t="s">
        <v>147</v>
      </c>
      <c r="G2120" s="3" t="s">
        <v>28</v>
      </c>
      <c r="H2120" s="2" t="s">
        <v>21</v>
      </c>
      <c r="I2120" s="2" t="s">
        <v>5103</v>
      </c>
      <c r="J2120" s="3" t="str">
        <f>HYPERLINK("https://www.boe.es/gazeta/dias/1816/07/18/pdfs/GMD-1816-89.pdf#page=6","Abrir facsímil")</f>
        <v>Abrir facsímil</v>
      </c>
      <c r="K2120" s="3" t="s">
        <v>23</v>
      </c>
    </row>
    <row r="2121" spans="1:11" ht="42" customHeight="1">
      <c r="A2121" s="2" t="s">
        <v>5104</v>
      </c>
      <c r="B2121" s="2" t="s">
        <v>5105</v>
      </c>
      <c r="C2121" s="2" t="s">
        <v>34</v>
      </c>
      <c r="D2121" s="2" t="s">
        <v>35</v>
      </c>
      <c r="E2121" s="5">
        <v>-30534</v>
      </c>
      <c r="F2121" s="3" t="s">
        <v>274</v>
      </c>
      <c r="G2121" s="3" t="s">
        <v>47</v>
      </c>
      <c r="H2121" s="2" t="s">
        <v>21</v>
      </c>
      <c r="I2121" s="2" t="s">
        <v>5106</v>
      </c>
      <c r="J2121" s="3" t="str">
        <f>HYPERLINK("https://www.boe.es/gazeta/dias/1816/05/25/pdfs/GMD-1816-66.pdf#page=5","Abrir facsímil")</f>
        <v>Abrir facsímil</v>
      </c>
      <c r="K2121" s="3" t="s">
        <v>23</v>
      </c>
    </row>
    <row r="2122" spans="1:11" ht="42" customHeight="1">
      <c r="A2122" s="2" t="s">
        <v>5104</v>
      </c>
      <c r="B2122" s="2" t="s">
        <v>5105</v>
      </c>
      <c r="C2122" s="2" t="s">
        <v>17</v>
      </c>
      <c r="D2122" s="2" t="s">
        <v>18</v>
      </c>
      <c r="E2122" s="5">
        <v>-30347</v>
      </c>
      <c r="F2122" s="3" t="s">
        <v>2994</v>
      </c>
      <c r="G2122" s="3" t="s">
        <v>3599</v>
      </c>
      <c r="H2122" s="2" t="s">
        <v>21</v>
      </c>
      <c r="I2122" s="2" t="s">
        <v>5107</v>
      </c>
      <c r="J2122" s="3" t="str">
        <f>HYPERLINK("https://www.boe.es/gazeta/dias/1816/11/28/pdfs/GMD-1816-148.pdf#page=5","Abrir facsímil")</f>
        <v>Abrir facsímil</v>
      </c>
      <c r="K2122" s="3" t="s">
        <v>23</v>
      </c>
    </row>
    <row r="2123" spans="1:11" ht="42" customHeight="1">
      <c r="A2123" s="2" t="s">
        <v>5108</v>
      </c>
      <c r="B2123" s="2" t="s">
        <v>5109</v>
      </c>
      <c r="C2123" s="2" t="s">
        <v>26</v>
      </c>
      <c r="D2123" s="2" t="s">
        <v>18</v>
      </c>
      <c r="E2123" s="5">
        <v>-30366</v>
      </c>
      <c r="F2123" s="3" t="s">
        <v>179</v>
      </c>
      <c r="G2123" s="3" t="s">
        <v>103</v>
      </c>
      <c r="H2123" s="2" t="s">
        <v>21</v>
      </c>
      <c r="I2123" s="2" t="s">
        <v>5110</v>
      </c>
      <c r="J2123" s="3" t="str">
        <f>HYPERLINK("https://www.boe.es/gazeta/dias/1816/11/09/pdfs/GMD-1816-140.pdf#page=4","Abrir facsímil")</f>
        <v>Abrir facsímil</v>
      </c>
      <c r="K2123" s="3" t="s">
        <v>23</v>
      </c>
    </row>
    <row r="2124" spans="1:11" ht="42" customHeight="1">
      <c r="A2124" s="2" t="s">
        <v>5111</v>
      </c>
      <c r="B2124" s="2" t="s">
        <v>5112</v>
      </c>
      <c r="C2124" s="2" t="s">
        <v>111</v>
      </c>
      <c r="D2124" s="2" t="s">
        <v>112</v>
      </c>
      <c r="E2124" s="5">
        <v>-30487</v>
      </c>
      <c r="F2124" s="3" t="s">
        <v>397</v>
      </c>
      <c r="G2124" s="3" t="s">
        <v>180</v>
      </c>
      <c r="H2124" s="2" t="s">
        <v>21</v>
      </c>
      <c r="I2124" s="2" t="s">
        <v>5113</v>
      </c>
      <c r="J2124" s="3" t="str">
        <f>HYPERLINK("https://www.boe.es/gazeta/dias/1816/07/11/pdfs/GMD-1816-86.pdf#page=10","Abrir facsímil")</f>
        <v>Abrir facsímil</v>
      </c>
      <c r="K2124" s="3" t="s">
        <v>23</v>
      </c>
    </row>
    <row r="2125" spans="1:11" ht="42" customHeight="1">
      <c r="A2125" s="2" t="s">
        <v>5114</v>
      </c>
      <c r="B2125" s="2" t="s">
        <v>5115</v>
      </c>
      <c r="C2125" s="2" t="s">
        <v>34</v>
      </c>
      <c r="D2125" s="2" t="s">
        <v>35</v>
      </c>
      <c r="E2125" s="5">
        <v>-30599</v>
      </c>
      <c r="F2125" s="3" t="s">
        <v>552</v>
      </c>
      <c r="G2125" s="3" t="s">
        <v>47</v>
      </c>
      <c r="H2125" s="2" t="s">
        <v>21</v>
      </c>
      <c r="I2125" s="2" t="s">
        <v>5116</v>
      </c>
      <c r="J2125" s="3" t="str">
        <f>HYPERLINK("https://www.boe.es/gazeta/dias/1816/03/21/pdfs/GMD-1816-38.pdf#page=5","Abrir facsímil")</f>
        <v>Abrir facsímil</v>
      </c>
      <c r="K2125" s="3" t="s">
        <v>23</v>
      </c>
    </row>
    <row r="2126" spans="1:11" ht="42" customHeight="1">
      <c r="A2126" s="2" t="s">
        <v>5117</v>
      </c>
      <c r="B2126" s="2" t="s">
        <v>5117</v>
      </c>
      <c r="C2126" s="2" t="s">
        <v>111</v>
      </c>
      <c r="D2126" s="2" t="s">
        <v>112</v>
      </c>
      <c r="E2126" s="5">
        <v>-30585</v>
      </c>
      <c r="F2126" s="3" t="s">
        <v>633</v>
      </c>
      <c r="G2126" s="3" t="s">
        <v>634</v>
      </c>
      <c r="H2126" s="2" t="s">
        <v>21</v>
      </c>
      <c r="I2126" s="2" t="s">
        <v>5118</v>
      </c>
      <c r="J2126" s="3" t="str">
        <f>HYPERLINK("https://www.boe.es/gazeta/dias/1816/04/04/pdfs/GMD-1816-44.pdf#page=6","Abrir facsímil")</f>
        <v>Abrir facsímil</v>
      </c>
      <c r="K2126" s="3" t="s">
        <v>23</v>
      </c>
    </row>
    <row r="2127" spans="1:11" ht="42" customHeight="1">
      <c r="A2127" s="2" t="s">
        <v>5119</v>
      </c>
      <c r="B2127" s="2" t="s">
        <v>5120</v>
      </c>
      <c r="C2127" s="2" t="s">
        <v>26</v>
      </c>
      <c r="D2127" s="2" t="s">
        <v>18</v>
      </c>
      <c r="E2127" s="5">
        <v>-30606</v>
      </c>
      <c r="F2127" s="3" t="s">
        <v>761</v>
      </c>
      <c r="G2127" s="3" t="s">
        <v>72</v>
      </c>
      <c r="H2127" s="2" t="s">
        <v>21</v>
      </c>
      <c r="I2127" s="2" t="s">
        <v>5121</v>
      </c>
      <c r="J2127" s="3" t="str">
        <f>HYPERLINK("https://www.boe.es/gazeta/dias/1816/03/14/pdfs/GMD-1816-34.pdf#page=7","Abrir facsímil")</f>
        <v>Abrir facsímil</v>
      </c>
      <c r="K2127" s="3" t="s">
        <v>23</v>
      </c>
    </row>
    <row r="2128" spans="1:11" ht="42" customHeight="1">
      <c r="A2128" s="2" t="s">
        <v>5122</v>
      </c>
      <c r="B2128" s="2" t="s">
        <v>5123</v>
      </c>
      <c r="C2128" s="2" t="s">
        <v>26</v>
      </c>
      <c r="D2128" s="2" t="s">
        <v>18</v>
      </c>
      <c r="E2128" s="5">
        <v>-30655</v>
      </c>
      <c r="F2128" s="3" t="s">
        <v>170</v>
      </c>
      <c r="G2128" s="3" t="s">
        <v>72</v>
      </c>
      <c r="H2128" s="2" t="s">
        <v>21</v>
      </c>
      <c r="I2128" s="2" t="s">
        <v>5124</v>
      </c>
      <c r="J2128" s="3" t="str">
        <f>HYPERLINK("https://www.boe.es/gazeta/dias/1816/01/25/pdfs/GMD-1816-11.pdf#page=7","Abrir facsímil")</f>
        <v>Abrir facsímil</v>
      </c>
      <c r="K2128" s="3" t="s">
        <v>23</v>
      </c>
    </row>
    <row r="2129" spans="1:11" ht="42" customHeight="1">
      <c r="A2129" s="2" t="s">
        <v>5125</v>
      </c>
      <c r="B2129" s="2" t="s">
        <v>5126</v>
      </c>
      <c r="C2129" s="2" t="s">
        <v>26</v>
      </c>
      <c r="D2129" s="2" t="s">
        <v>18</v>
      </c>
      <c r="E2129" s="5">
        <v>-30611</v>
      </c>
      <c r="F2129" s="3" t="s">
        <v>211</v>
      </c>
      <c r="G2129" s="3" t="s">
        <v>42</v>
      </c>
      <c r="H2129" s="2" t="s">
        <v>21</v>
      </c>
      <c r="I2129" s="2" t="s">
        <v>5127</v>
      </c>
      <c r="J2129" s="3" t="str">
        <f>HYPERLINK("https://www.boe.es/gazeta/dias/1816/03/09/pdfs/GMD-1816-32.pdf#page=8","Abrir facsímil")</f>
        <v>Abrir facsímil</v>
      </c>
      <c r="K2129" s="3" t="s">
        <v>23</v>
      </c>
    </row>
    <row r="2130" spans="1:11" ht="42" customHeight="1">
      <c r="A2130" s="2" t="s">
        <v>5128</v>
      </c>
      <c r="B2130" s="2" t="s">
        <v>5129</v>
      </c>
      <c r="C2130" s="2" t="s">
        <v>26</v>
      </c>
      <c r="D2130" s="2" t="s">
        <v>18</v>
      </c>
      <c r="E2130" s="5">
        <v>-30438</v>
      </c>
      <c r="F2130" s="3" t="s">
        <v>299</v>
      </c>
      <c r="G2130" s="3" t="s">
        <v>300</v>
      </c>
      <c r="H2130" s="2" t="s">
        <v>21</v>
      </c>
      <c r="I2130" s="2" t="s">
        <v>5130</v>
      </c>
      <c r="J2130" s="3" t="str">
        <f>HYPERLINK("https://www.boe.es/gazeta/dias/1816/08/29/pdfs/GMD-1816-107.pdf#page=12","Abrir facsímil")</f>
        <v>Abrir facsímil</v>
      </c>
      <c r="K2130" s="3" t="s">
        <v>23</v>
      </c>
    </row>
    <row r="2131" spans="1:11" ht="42" customHeight="1">
      <c r="A2131" s="2" t="s">
        <v>5131</v>
      </c>
      <c r="B2131" s="2" t="s">
        <v>5131</v>
      </c>
      <c r="C2131" s="2" t="s">
        <v>111</v>
      </c>
      <c r="D2131" s="2" t="s">
        <v>112</v>
      </c>
      <c r="E2131" s="5">
        <v>-30545</v>
      </c>
      <c r="F2131" s="3" t="s">
        <v>127</v>
      </c>
      <c r="G2131" s="3" t="s">
        <v>58</v>
      </c>
      <c r="H2131" s="2" t="s">
        <v>21</v>
      </c>
      <c r="I2131" s="2" t="s">
        <v>5132</v>
      </c>
      <c r="J2131" s="3" t="str">
        <f>HYPERLINK("https://www.boe.es/gazeta/dias/1816/05/14/pdfs/GMD-1816-61.pdf#page=1","Abrir facsímil")</f>
        <v>Abrir facsímil</v>
      </c>
      <c r="K2131" s="3" t="s">
        <v>23</v>
      </c>
    </row>
    <row r="2132" spans="1:11" ht="42" customHeight="1">
      <c r="A2132" s="2" t="s">
        <v>5133</v>
      </c>
      <c r="B2132" s="2" t="s">
        <v>5134</v>
      </c>
      <c r="C2132" s="2" t="s">
        <v>34</v>
      </c>
      <c r="D2132" s="2" t="s">
        <v>35</v>
      </c>
      <c r="E2132" s="5">
        <v>-30557</v>
      </c>
      <c r="F2132" s="3" t="s">
        <v>508</v>
      </c>
      <c r="G2132" s="3" t="s">
        <v>184</v>
      </c>
      <c r="H2132" s="2" t="s">
        <v>21</v>
      </c>
      <c r="I2132" s="2" t="s">
        <v>5135</v>
      </c>
      <c r="J2132" s="3" t="str">
        <f>HYPERLINK("https://www.boe.es/gazeta/dias/1816/05/02/pdfs/GMD-1816-56.pdf#page=3","Abrir facsímil")</f>
        <v>Abrir facsímil</v>
      </c>
      <c r="K2132" s="3" t="s">
        <v>23</v>
      </c>
    </row>
    <row r="2133" spans="1:11" ht="42" customHeight="1">
      <c r="A2133" s="2" t="s">
        <v>5136</v>
      </c>
      <c r="B2133" s="2" t="s">
        <v>5137</v>
      </c>
      <c r="C2133" s="2" t="s">
        <v>26</v>
      </c>
      <c r="D2133" s="2" t="s">
        <v>18</v>
      </c>
      <c r="E2133" s="5">
        <v>-30408</v>
      </c>
      <c r="F2133" s="3" t="s">
        <v>295</v>
      </c>
      <c r="G2133" s="3" t="s">
        <v>42</v>
      </c>
      <c r="H2133" s="2" t="s">
        <v>21</v>
      </c>
      <c r="I2133" s="2" t="s">
        <v>5138</v>
      </c>
      <c r="J2133" s="3" t="str">
        <f>HYPERLINK("https://www.boe.es/gazeta/dias/1816/09/28/pdfs/GMD-1816-120.pdf#page=8","Abrir facsímil")</f>
        <v>Abrir facsímil</v>
      </c>
      <c r="K2133" s="3" t="s">
        <v>23</v>
      </c>
    </row>
    <row r="2134" spans="1:11" ht="42" customHeight="1">
      <c r="A2134" s="2" t="s">
        <v>5139</v>
      </c>
      <c r="B2134" s="2" t="s">
        <v>5140</v>
      </c>
      <c r="C2134" s="2" t="s">
        <v>34</v>
      </c>
      <c r="D2134" s="2" t="s">
        <v>35</v>
      </c>
      <c r="E2134" s="5">
        <v>-30513</v>
      </c>
      <c r="F2134" s="3" t="s">
        <v>582</v>
      </c>
      <c r="G2134" s="3" t="s">
        <v>47</v>
      </c>
      <c r="H2134" s="2" t="s">
        <v>21</v>
      </c>
      <c r="I2134" s="2" t="s">
        <v>5141</v>
      </c>
      <c r="J2134" s="3" t="str">
        <f>HYPERLINK("https://www.boe.es/gazeta/dias/1816/06/15/pdfs/GMD-1816-75.pdf#page=5","Abrir facsímil")</f>
        <v>Abrir facsímil</v>
      </c>
      <c r="K2134" s="3" t="s">
        <v>23</v>
      </c>
    </row>
    <row r="2135" spans="1:11" ht="42" customHeight="1">
      <c r="A2135" s="2" t="s">
        <v>5142</v>
      </c>
      <c r="B2135" s="2" t="s">
        <v>5143</v>
      </c>
      <c r="C2135" s="2" t="s">
        <v>67</v>
      </c>
      <c r="D2135" s="2" t="s">
        <v>18</v>
      </c>
      <c r="E2135" s="5">
        <v>-30389</v>
      </c>
      <c r="F2135" s="3" t="s">
        <v>522</v>
      </c>
      <c r="G2135" s="3" t="s">
        <v>42</v>
      </c>
      <c r="H2135" s="2" t="s">
        <v>21</v>
      </c>
      <c r="I2135" s="2" t="s">
        <v>5144</v>
      </c>
      <c r="J2135" s="3" t="str">
        <f>HYPERLINK("https://www.boe.es/gazeta/dias/1816/10/17/pdfs/GMD-1816-130.pdf#page=8","Abrir facsímil")</f>
        <v>Abrir facsímil</v>
      </c>
      <c r="K2135" s="3" t="s">
        <v>23</v>
      </c>
    </row>
    <row r="2136" spans="1:11" ht="42" customHeight="1">
      <c r="A2136" s="2" t="s">
        <v>5145</v>
      </c>
      <c r="B2136" s="2" t="s">
        <v>5146</v>
      </c>
      <c r="C2136" s="2" t="s">
        <v>67</v>
      </c>
      <c r="D2136" s="2" t="s">
        <v>18</v>
      </c>
      <c r="E2136" s="5">
        <v>-30655</v>
      </c>
      <c r="F2136" s="3" t="s">
        <v>170</v>
      </c>
      <c r="G2136" s="3" t="s">
        <v>42</v>
      </c>
      <c r="H2136" s="2" t="s">
        <v>21</v>
      </c>
      <c r="I2136" s="2" t="s">
        <v>5147</v>
      </c>
      <c r="J2136" s="3" t="str">
        <f>HYPERLINK("https://www.boe.es/gazeta/dias/1816/01/25/pdfs/GMD-1816-11.pdf#page=8","Abrir facsímil")</f>
        <v>Abrir facsímil</v>
      </c>
      <c r="K2136" s="3" t="s">
        <v>23</v>
      </c>
    </row>
    <row r="2137" spans="1:11" ht="42" customHeight="1">
      <c r="A2137" s="2" t="s">
        <v>5145</v>
      </c>
      <c r="B2137" s="2" t="s">
        <v>5146</v>
      </c>
      <c r="C2137" s="2" t="s">
        <v>26</v>
      </c>
      <c r="D2137" s="2" t="s">
        <v>18</v>
      </c>
      <c r="E2137" s="5">
        <v>-30576</v>
      </c>
      <c r="F2137" s="3" t="s">
        <v>353</v>
      </c>
      <c r="G2137" s="3" t="s">
        <v>72</v>
      </c>
      <c r="H2137" s="2" t="s">
        <v>21</v>
      </c>
      <c r="I2137" s="2" t="s">
        <v>5148</v>
      </c>
      <c r="J2137" s="3" t="str">
        <f>HYPERLINK("https://www.boe.es/gazeta/dias/1816/04/13/pdfs/GMD-1816-48.pdf#page=7","Abrir facsímil")</f>
        <v>Abrir facsímil</v>
      </c>
      <c r="K2137" s="3" t="s">
        <v>23</v>
      </c>
    </row>
    <row r="2138" spans="1:11" ht="42" customHeight="1">
      <c r="A2138" s="2" t="s">
        <v>5149</v>
      </c>
      <c r="B2138" s="2" t="s">
        <v>5150</v>
      </c>
      <c r="C2138" s="2" t="s">
        <v>111</v>
      </c>
      <c r="D2138" s="2" t="s">
        <v>112</v>
      </c>
      <c r="E2138" s="5">
        <v>-30391</v>
      </c>
      <c r="F2138" s="3" t="s">
        <v>482</v>
      </c>
      <c r="G2138" s="3" t="s">
        <v>47</v>
      </c>
      <c r="H2138" s="2" t="s">
        <v>21</v>
      </c>
      <c r="I2138" s="2" t="s">
        <v>5151</v>
      </c>
      <c r="J2138" s="3" t="str">
        <f>HYPERLINK("https://www.boe.es/gazeta/dias/1816/10/15/pdfs/GMD-1816-129.pdf#page=5","Abrir facsímil")</f>
        <v>Abrir facsímil</v>
      </c>
      <c r="K2138" s="3" t="s">
        <v>23</v>
      </c>
    </row>
    <row r="2139" spans="1:11" ht="42" customHeight="1">
      <c r="A2139" s="2" t="s">
        <v>5149</v>
      </c>
      <c r="B2139" s="2" t="s">
        <v>5150</v>
      </c>
      <c r="C2139" s="2" t="s">
        <v>41</v>
      </c>
      <c r="D2139" s="2" t="s">
        <v>18</v>
      </c>
      <c r="E2139" s="5">
        <v>-30384</v>
      </c>
      <c r="F2139" s="3" t="s">
        <v>460</v>
      </c>
      <c r="G2139" s="3" t="s">
        <v>28</v>
      </c>
      <c r="H2139" s="2" t="s">
        <v>21</v>
      </c>
      <c r="I2139" s="2" t="s">
        <v>5152</v>
      </c>
      <c r="J2139" s="3" t="str">
        <f>HYPERLINK("https://www.boe.es/gazeta/dias/1816/10/22/pdfs/GMD-1816-132.pdf#page=6","Abrir facsímil")</f>
        <v>Abrir facsímil</v>
      </c>
      <c r="K2139" s="3" t="s">
        <v>23</v>
      </c>
    </row>
    <row r="2140" spans="1:11" ht="42" customHeight="1">
      <c r="A2140" s="2" t="s">
        <v>5153</v>
      </c>
      <c r="B2140" s="2" t="s">
        <v>5154</v>
      </c>
      <c r="C2140" s="2" t="s">
        <v>34</v>
      </c>
      <c r="D2140" s="2" t="s">
        <v>35</v>
      </c>
      <c r="E2140" s="5">
        <v>-30387</v>
      </c>
      <c r="F2140" s="3" t="s">
        <v>224</v>
      </c>
      <c r="G2140" s="3" t="s">
        <v>28</v>
      </c>
      <c r="H2140" s="2" t="s">
        <v>21</v>
      </c>
      <c r="I2140" s="2" t="s">
        <v>5155</v>
      </c>
      <c r="J2140" s="3" t="str">
        <f>HYPERLINK("https://www.boe.es/gazeta/dias/1816/10/19/pdfs/GMD-1816-131.pdf#page=6","Abrir facsímil")</f>
        <v>Abrir facsímil</v>
      </c>
      <c r="K2140" s="3" t="s">
        <v>23</v>
      </c>
    </row>
    <row r="2141" spans="1:11" ht="42" customHeight="1">
      <c r="A2141" s="2" t="s">
        <v>5156</v>
      </c>
      <c r="B2141" s="2" t="s">
        <v>5157</v>
      </c>
      <c r="C2141" s="2" t="s">
        <v>34</v>
      </c>
      <c r="D2141" s="2" t="s">
        <v>35</v>
      </c>
      <c r="E2141" s="5">
        <v>-30384</v>
      </c>
      <c r="F2141" s="3" t="s">
        <v>460</v>
      </c>
      <c r="G2141" s="3" t="s">
        <v>103</v>
      </c>
      <c r="H2141" s="2" t="s">
        <v>21</v>
      </c>
      <c r="I2141" s="2" t="s">
        <v>5158</v>
      </c>
      <c r="J2141" s="3" t="str">
        <f>HYPERLINK("https://www.boe.es/gazeta/dias/1816/10/22/pdfs/GMD-1816-132.pdf#page=4","Abrir facsímil")</f>
        <v>Abrir facsímil</v>
      </c>
      <c r="K2141" s="3" t="s">
        <v>23</v>
      </c>
    </row>
    <row r="2142" spans="1:11" ht="42" customHeight="1">
      <c r="A2142" s="2" t="s">
        <v>5159</v>
      </c>
      <c r="B2142" s="2" t="s">
        <v>5160</v>
      </c>
      <c r="C2142" s="2" t="s">
        <v>26</v>
      </c>
      <c r="D2142" s="2" t="s">
        <v>18</v>
      </c>
      <c r="E2142" s="5">
        <v>-30576</v>
      </c>
      <c r="F2142" s="3" t="s">
        <v>353</v>
      </c>
      <c r="G2142" s="3" t="s">
        <v>72</v>
      </c>
      <c r="H2142" s="2" t="s">
        <v>21</v>
      </c>
      <c r="I2142" s="2" t="s">
        <v>5161</v>
      </c>
      <c r="J2142" s="3" t="str">
        <f>HYPERLINK("https://www.boe.es/gazeta/dias/1816/04/13/pdfs/GMD-1816-48.pdf#page=7","Abrir facsímil")</f>
        <v>Abrir facsímil</v>
      </c>
      <c r="K2142" s="3" t="s">
        <v>23</v>
      </c>
    </row>
    <row r="2143" spans="1:11" ht="42" customHeight="1">
      <c r="A2143" s="2" t="s">
        <v>5162</v>
      </c>
      <c r="B2143" s="2" t="s">
        <v>5163</v>
      </c>
      <c r="C2143" s="2" t="s">
        <v>26</v>
      </c>
      <c r="D2143" s="2" t="s">
        <v>18</v>
      </c>
      <c r="E2143" s="5">
        <v>-30655</v>
      </c>
      <c r="F2143" s="3" t="s">
        <v>170</v>
      </c>
      <c r="G2143" s="3" t="s">
        <v>72</v>
      </c>
      <c r="H2143" s="2" t="s">
        <v>21</v>
      </c>
      <c r="I2143" s="2" t="s">
        <v>5164</v>
      </c>
      <c r="J2143" s="3" t="str">
        <f>HYPERLINK("https://www.boe.es/gazeta/dias/1816/01/25/pdfs/GMD-1816-11.pdf#page=7","Abrir facsímil")</f>
        <v>Abrir facsímil</v>
      </c>
      <c r="K2143" s="3" t="s">
        <v>23</v>
      </c>
    </row>
    <row r="2144" spans="1:11" ht="42" customHeight="1">
      <c r="A2144" s="2" t="s">
        <v>5162</v>
      </c>
      <c r="B2144" s="2" t="s">
        <v>5163</v>
      </c>
      <c r="C2144" s="2" t="s">
        <v>111</v>
      </c>
      <c r="D2144" s="2" t="s">
        <v>112</v>
      </c>
      <c r="E2144" s="5">
        <v>-30601</v>
      </c>
      <c r="F2144" s="3" t="s">
        <v>308</v>
      </c>
      <c r="G2144" s="3" t="s">
        <v>28</v>
      </c>
      <c r="H2144" s="2" t="s">
        <v>21</v>
      </c>
      <c r="I2144" s="2" t="s">
        <v>5165</v>
      </c>
      <c r="J2144" s="3" t="str">
        <f>HYPERLINK("https://www.boe.es/gazeta/dias/1816/03/19/pdfs/GMD-1816-37.pdf#page=6","Abrir facsímil")</f>
        <v>Abrir facsímil</v>
      </c>
      <c r="K2144" s="3" t="s">
        <v>23</v>
      </c>
    </row>
    <row r="2145" spans="1:11" ht="42" customHeight="1">
      <c r="A2145" s="2" t="s">
        <v>5162</v>
      </c>
      <c r="B2145" s="2" t="s">
        <v>5163</v>
      </c>
      <c r="C2145" s="2" t="s">
        <v>111</v>
      </c>
      <c r="D2145" s="2" t="s">
        <v>112</v>
      </c>
      <c r="E2145" s="5">
        <v>-30436</v>
      </c>
      <c r="F2145" s="3" t="s">
        <v>102</v>
      </c>
      <c r="G2145" s="3" t="s">
        <v>175</v>
      </c>
      <c r="H2145" s="2" t="s">
        <v>21</v>
      </c>
      <c r="I2145" s="2" t="s">
        <v>5166</v>
      </c>
      <c r="J2145" s="3" t="str">
        <f>HYPERLINK("https://www.boe.es/gazeta/dias/1816/08/31/pdfs/GMD-1816-108.pdf#page=11","Abrir facsímil")</f>
        <v>Abrir facsímil</v>
      </c>
      <c r="K2145" s="3" t="s">
        <v>23</v>
      </c>
    </row>
    <row r="2146" spans="1:11" ht="42" customHeight="1">
      <c r="A2146" s="2" t="s">
        <v>5167</v>
      </c>
      <c r="B2146" s="2" t="s">
        <v>5168</v>
      </c>
      <c r="C2146" s="2" t="s">
        <v>41</v>
      </c>
      <c r="D2146" s="2" t="s">
        <v>18</v>
      </c>
      <c r="E2146" s="5">
        <v>-30508</v>
      </c>
      <c r="F2146" s="3" t="s">
        <v>36</v>
      </c>
      <c r="G2146" s="3" t="s">
        <v>37</v>
      </c>
      <c r="H2146" s="2" t="s">
        <v>21</v>
      </c>
      <c r="I2146" s="2" t="s">
        <v>5169</v>
      </c>
      <c r="J2146" s="3" t="str">
        <f>HYPERLINK("https://www.boe.es/gazeta/dias/1816/06/20/pdfs/GMD-1816-77.pdf#page=7","Abrir facsímil")</f>
        <v>Abrir facsímil</v>
      </c>
      <c r="K2146" s="3" t="s">
        <v>23</v>
      </c>
    </row>
    <row r="2147" spans="1:11" ht="42" customHeight="1">
      <c r="A2147" s="2" t="s">
        <v>5170</v>
      </c>
      <c r="B2147" s="2" t="s">
        <v>5171</v>
      </c>
      <c r="C2147" s="2" t="s">
        <v>111</v>
      </c>
      <c r="D2147" s="2" t="s">
        <v>112</v>
      </c>
      <c r="E2147" s="5">
        <v>-30338</v>
      </c>
      <c r="F2147" s="3" t="s">
        <v>464</v>
      </c>
      <c r="G2147" s="3" t="s">
        <v>28</v>
      </c>
      <c r="H2147" s="2" t="s">
        <v>21</v>
      </c>
      <c r="I2147" s="2" t="s">
        <v>5172</v>
      </c>
      <c r="J2147" s="3" t="str">
        <f>HYPERLINK("https://www.boe.es/gazeta/dias/1816/12/07/pdfs/GMD-1816-152.pdf#page=6","Abrir facsímil")</f>
        <v>Abrir facsímil</v>
      </c>
      <c r="K2147" s="3" t="s">
        <v>23</v>
      </c>
    </row>
    <row r="2148" spans="1:11" ht="42" customHeight="1">
      <c r="A2148" s="2" t="s">
        <v>5173</v>
      </c>
      <c r="B2148" s="2" t="s">
        <v>5174</v>
      </c>
      <c r="C2148" s="2" t="s">
        <v>34</v>
      </c>
      <c r="D2148" s="2" t="s">
        <v>35</v>
      </c>
      <c r="E2148" s="5">
        <v>-30352</v>
      </c>
      <c r="F2148" s="3" t="s">
        <v>407</v>
      </c>
      <c r="G2148" s="3" t="s">
        <v>72</v>
      </c>
      <c r="H2148" s="2" t="s">
        <v>21</v>
      </c>
      <c r="I2148" s="2" t="s">
        <v>5175</v>
      </c>
      <c r="J2148" s="3" t="str">
        <f>HYPERLINK("https://www.boe.es/gazeta/dias/1816/11/23/pdfs/GMD-1816-146.pdf#page=7","Abrir facsímil")</f>
        <v>Abrir facsímil</v>
      </c>
      <c r="K2148" s="3" t="s">
        <v>23</v>
      </c>
    </row>
    <row r="2149" spans="1:11" ht="42" customHeight="1">
      <c r="A2149" s="2" t="s">
        <v>5176</v>
      </c>
      <c r="B2149" s="2" t="s">
        <v>5177</v>
      </c>
      <c r="C2149" s="2" t="s">
        <v>26</v>
      </c>
      <c r="D2149" s="2" t="s">
        <v>18</v>
      </c>
      <c r="E2149" s="5">
        <v>-30445</v>
      </c>
      <c r="F2149" s="3" t="s">
        <v>51</v>
      </c>
      <c r="G2149" s="3" t="s">
        <v>47</v>
      </c>
      <c r="H2149" s="2" t="s">
        <v>21</v>
      </c>
      <c r="I2149" s="2" t="s">
        <v>5178</v>
      </c>
      <c r="J2149" s="3" t="str">
        <f>HYPERLINK("https://www.boe.es/gazeta/dias/1816/08/22/pdfs/GMD-1816-104.pdf#page=5","Abrir facsímil")</f>
        <v>Abrir facsímil</v>
      </c>
      <c r="K2149" s="3" t="s">
        <v>23</v>
      </c>
    </row>
    <row r="2150" spans="1:11" ht="42" customHeight="1">
      <c r="A2150" s="2" t="s">
        <v>5179</v>
      </c>
      <c r="B2150" s="2" t="s">
        <v>5180</v>
      </c>
      <c r="C2150" s="2" t="s">
        <v>26</v>
      </c>
      <c r="D2150" s="2" t="s">
        <v>18</v>
      </c>
      <c r="E2150" s="5">
        <v>-30487</v>
      </c>
      <c r="F2150" s="3" t="s">
        <v>397</v>
      </c>
      <c r="G2150" s="3" t="s">
        <v>455</v>
      </c>
      <c r="H2150" s="2" t="s">
        <v>21</v>
      </c>
      <c r="I2150" s="2" t="s">
        <v>5181</v>
      </c>
      <c r="J2150" s="3" t="str">
        <f>HYPERLINK("https://www.boe.es/gazeta/dias/1816/07/11/pdfs/GMD-1816-86.pdf#page=7","Abrir facsímil")</f>
        <v>Abrir facsímil</v>
      </c>
      <c r="K2150" s="3" t="s">
        <v>23</v>
      </c>
    </row>
    <row r="2151" spans="1:11" ht="42" customHeight="1">
      <c r="A2151" s="2" t="s">
        <v>5182</v>
      </c>
      <c r="B2151" s="2" t="s">
        <v>5183</v>
      </c>
      <c r="C2151" s="2" t="s">
        <v>111</v>
      </c>
      <c r="D2151" s="2" t="s">
        <v>112</v>
      </c>
      <c r="E2151" s="5">
        <v>-30366</v>
      </c>
      <c r="F2151" s="3" t="s">
        <v>179</v>
      </c>
      <c r="G2151" s="3" t="s">
        <v>47</v>
      </c>
      <c r="H2151" s="2" t="s">
        <v>21</v>
      </c>
      <c r="I2151" s="2" t="s">
        <v>5184</v>
      </c>
      <c r="J2151" s="3" t="str">
        <f>HYPERLINK("https://www.boe.es/gazeta/dias/1816/11/09/pdfs/GMD-1816-140.pdf#page=5","Abrir facsímil")</f>
        <v>Abrir facsímil</v>
      </c>
      <c r="K2151" s="3" t="s">
        <v>23</v>
      </c>
    </row>
    <row r="2152" spans="1:11" ht="42" customHeight="1">
      <c r="A2152" s="2" t="s">
        <v>5185</v>
      </c>
      <c r="B2152" s="2" t="s">
        <v>5185</v>
      </c>
      <c r="C2152" s="2" t="s">
        <v>41</v>
      </c>
      <c r="D2152" s="2" t="s">
        <v>18</v>
      </c>
      <c r="E2152" s="5">
        <v>-30387</v>
      </c>
      <c r="F2152" s="3" t="s">
        <v>224</v>
      </c>
      <c r="G2152" s="3" t="s">
        <v>72</v>
      </c>
      <c r="H2152" s="2" t="s">
        <v>21</v>
      </c>
      <c r="I2152" s="2" t="s">
        <v>5186</v>
      </c>
      <c r="J2152" s="3" t="str">
        <f>HYPERLINK("https://www.boe.es/gazeta/dias/1816/10/19/pdfs/GMD-1816-131.pdf#page=7","Abrir facsímil")</f>
        <v>Abrir facsímil</v>
      </c>
      <c r="K2152" s="3" t="s">
        <v>23</v>
      </c>
    </row>
    <row r="2153" spans="1:11" ht="42" customHeight="1">
      <c r="A2153" s="2" t="s">
        <v>5187</v>
      </c>
      <c r="B2153" s="2" t="s">
        <v>5188</v>
      </c>
      <c r="C2153" s="2" t="s">
        <v>34</v>
      </c>
      <c r="D2153" s="2" t="s">
        <v>35</v>
      </c>
      <c r="E2153" s="5">
        <v>-30508</v>
      </c>
      <c r="F2153" s="3" t="s">
        <v>36</v>
      </c>
      <c r="G2153" s="3" t="s">
        <v>47</v>
      </c>
      <c r="H2153" s="2" t="s">
        <v>21</v>
      </c>
      <c r="I2153" s="2" t="s">
        <v>5189</v>
      </c>
      <c r="J2153" s="3" t="str">
        <f>HYPERLINK("https://www.boe.es/gazeta/dias/1816/06/20/pdfs/GMD-1816-77.pdf#page=5","Abrir facsímil")</f>
        <v>Abrir facsímil</v>
      </c>
      <c r="K2153" s="3" t="s">
        <v>23</v>
      </c>
    </row>
    <row r="2154" spans="1:11" ht="42" customHeight="1">
      <c r="A2154" s="2" t="s">
        <v>5190</v>
      </c>
      <c r="B2154" s="2" t="s">
        <v>5191</v>
      </c>
      <c r="C2154" s="2" t="s">
        <v>111</v>
      </c>
      <c r="D2154" s="2" t="s">
        <v>112</v>
      </c>
      <c r="E2154" s="5">
        <v>-30464</v>
      </c>
      <c r="F2154" s="3" t="s">
        <v>215</v>
      </c>
      <c r="G2154" s="3" t="s">
        <v>175</v>
      </c>
      <c r="H2154" s="2" t="s">
        <v>21</v>
      </c>
      <c r="I2154" s="2" t="s">
        <v>5192</v>
      </c>
      <c r="J2154" s="3" t="str">
        <f>HYPERLINK("https://www.boe.es/gazeta/dias/1816/08/03/pdfs/GMD-1816-96.pdf#page=11","Abrir facsímil")</f>
        <v>Abrir facsímil</v>
      </c>
      <c r="K2154" s="3" t="s">
        <v>23</v>
      </c>
    </row>
    <row r="2155" spans="1:11" ht="42" customHeight="1">
      <c r="A2155" s="2" t="s">
        <v>5190</v>
      </c>
      <c r="B2155" s="2" t="s">
        <v>5191</v>
      </c>
      <c r="C2155" s="2" t="s">
        <v>111</v>
      </c>
      <c r="D2155" s="2" t="s">
        <v>112</v>
      </c>
      <c r="E2155" s="5">
        <v>-30415</v>
      </c>
      <c r="F2155" s="3" t="s">
        <v>585</v>
      </c>
      <c r="G2155" s="3" t="s">
        <v>52</v>
      </c>
      <c r="H2155" s="2" t="s">
        <v>21</v>
      </c>
      <c r="I2155" s="2" t="s">
        <v>5193</v>
      </c>
      <c r="J2155" s="3" t="str">
        <f>HYPERLINK("https://www.boe.es/gazeta/dias/1816/09/21/pdfs/GMD-1816-117.pdf#page=12","Abrir facsímil")</f>
        <v>Abrir facsímil</v>
      </c>
      <c r="K2155" s="3" t="s">
        <v>23</v>
      </c>
    </row>
    <row r="2156" spans="1:11" ht="42" customHeight="1">
      <c r="A2156" s="2" t="s">
        <v>5190</v>
      </c>
      <c r="B2156" s="2" t="s">
        <v>5191</v>
      </c>
      <c r="C2156" s="2" t="s">
        <v>111</v>
      </c>
      <c r="D2156" s="2" t="s">
        <v>112</v>
      </c>
      <c r="E2156" s="5">
        <v>-30394</v>
      </c>
      <c r="F2156" s="3" t="s">
        <v>589</v>
      </c>
      <c r="G2156" s="3" t="s">
        <v>42</v>
      </c>
      <c r="H2156" s="2" t="s">
        <v>21</v>
      </c>
      <c r="I2156" s="2" t="s">
        <v>5194</v>
      </c>
      <c r="J2156" s="3" t="str">
        <f>HYPERLINK("https://www.boe.es/gazeta/dias/1816/10/12/pdfs/GMD-1816-127.pdf#page=8","Abrir facsímil")</f>
        <v>Abrir facsímil</v>
      </c>
      <c r="K2156" s="3" t="s">
        <v>23</v>
      </c>
    </row>
    <row r="2157" spans="1:11" ht="42" customHeight="1">
      <c r="A2157" s="2" t="s">
        <v>5195</v>
      </c>
      <c r="B2157" s="2" t="s">
        <v>5195</v>
      </c>
      <c r="C2157" s="2" t="s">
        <v>34</v>
      </c>
      <c r="D2157" s="2" t="s">
        <v>35</v>
      </c>
      <c r="E2157" s="5">
        <v>-30436</v>
      </c>
      <c r="F2157" s="3" t="s">
        <v>102</v>
      </c>
      <c r="G2157" s="3" t="s">
        <v>270</v>
      </c>
      <c r="H2157" s="2" t="s">
        <v>21</v>
      </c>
      <c r="I2157" s="2" t="s">
        <v>5196</v>
      </c>
      <c r="J2157" s="3" t="str">
        <f>HYPERLINK("https://www.boe.es/gazeta/dias/1816/08/31/pdfs/GMD-1816-108.pdf#page=2","Abrir facsímil")</f>
        <v>Abrir facsímil</v>
      </c>
      <c r="K2157" s="3" t="s">
        <v>23</v>
      </c>
    </row>
    <row r="2158" spans="1:11" ht="42" customHeight="1">
      <c r="A2158" s="2" t="s">
        <v>5197</v>
      </c>
      <c r="B2158" s="2" t="s">
        <v>5198</v>
      </c>
      <c r="C2158" s="2" t="s">
        <v>26</v>
      </c>
      <c r="D2158" s="2" t="s">
        <v>18</v>
      </c>
      <c r="E2158" s="5">
        <v>-30655</v>
      </c>
      <c r="F2158" s="3" t="s">
        <v>170</v>
      </c>
      <c r="G2158" s="3" t="s">
        <v>72</v>
      </c>
      <c r="H2158" s="2" t="s">
        <v>21</v>
      </c>
      <c r="I2158" s="2" t="s">
        <v>5199</v>
      </c>
      <c r="J2158" s="3" t="str">
        <f>HYPERLINK("https://www.boe.es/gazeta/dias/1816/01/25/pdfs/GMD-1816-11.pdf#page=7","Abrir facsímil")</f>
        <v>Abrir facsímil</v>
      </c>
      <c r="K2158" s="3" t="s">
        <v>23</v>
      </c>
    </row>
    <row r="2159" spans="1:11" ht="42" customHeight="1">
      <c r="A2159" s="2" t="s">
        <v>5200</v>
      </c>
      <c r="B2159" s="2" t="s">
        <v>5201</v>
      </c>
      <c r="C2159" s="2" t="s">
        <v>111</v>
      </c>
      <c r="D2159" s="2" t="s">
        <v>112</v>
      </c>
      <c r="E2159" s="5">
        <v>-30384</v>
      </c>
      <c r="F2159" s="3" t="s">
        <v>460</v>
      </c>
      <c r="G2159" s="3" t="s">
        <v>932</v>
      </c>
      <c r="H2159" s="2" t="s">
        <v>21</v>
      </c>
      <c r="I2159" s="2" t="s">
        <v>5202</v>
      </c>
      <c r="J2159" s="3" t="str">
        <f>HYPERLINK("https://www.boe.es/gazeta/dias/1816/10/22/pdfs/GMD-1816-132.pdf#page=7","Abrir facsímil")</f>
        <v>Abrir facsímil</v>
      </c>
      <c r="K2159" s="3" t="s">
        <v>23</v>
      </c>
    </row>
    <row r="2160" spans="1:11" ht="42" customHeight="1">
      <c r="A2160" s="2" t="s">
        <v>5203</v>
      </c>
      <c r="B2160" s="2" t="s">
        <v>5204</v>
      </c>
      <c r="C2160" s="2" t="s">
        <v>41</v>
      </c>
      <c r="D2160" s="2" t="s">
        <v>18</v>
      </c>
      <c r="E2160" s="5">
        <v>-30403</v>
      </c>
      <c r="F2160" s="3" t="s">
        <v>1264</v>
      </c>
      <c r="G2160" s="3" t="s">
        <v>28</v>
      </c>
      <c r="H2160" s="2" t="s">
        <v>21</v>
      </c>
      <c r="I2160" s="2" t="s">
        <v>5205</v>
      </c>
      <c r="J2160" s="3" t="str">
        <f>HYPERLINK("https://www.boe.es/gazeta/dias/1816/10/03/pdfs/GMD-1816-122.pdf#page=6","Abrir facsímil")</f>
        <v>Abrir facsímil</v>
      </c>
      <c r="K2160" s="3" t="s">
        <v>23</v>
      </c>
    </row>
    <row r="2161" spans="1:11" ht="42" customHeight="1">
      <c r="A2161" s="2" t="s">
        <v>5206</v>
      </c>
      <c r="B2161" s="2" t="s">
        <v>5207</v>
      </c>
      <c r="C2161" s="2" t="s">
        <v>34</v>
      </c>
      <c r="D2161" s="2" t="s">
        <v>56</v>
      </c>
      <c r="E2161" s="5">
        <v>-30393</v>
      </c>
      <c r="F2161" s="3" t="s">
        <v>202</v>
      </c>
      <c r="G2161" s="3" t="s">
        <v>645</v>
      </c>
      <c r="H2161" s="2" t="s">
        <v>21</v>
      </c>
      <c r="I2161" s="2" t="s">
        <v>5208</v>
      </c>
      <c r="J2161" s="3" t="str">
        <f>HYPERLINK("https://www.boe.es/gazeta/dias/1816/10/13/pdfs/GMD-1816-128E.pdf#page=4","Abrir facsímil")</f>
        <v>Abrir facsímil</v>
      </c>
      <c r="K2161" s="3" t="s">
        <v>23</v>
      </c>
    </row>
    <row r="2162" spans="1:11" ht="42" customHeight="1">
      <c r="A2162" s="2" t="s">
        <v>5209</v>
      </c>
      <c r="B2162" s="2" t="s">
        <v>5209</v>
      </c>
      <c r="C2162" s="2" t="s">
        <v>34</v>
      </c>
      <c r="D2162" s="2" t="s">
        <v>35</v>
      </c>
      <c r="E2162" s="5">
        <v>-30657</v>
      </c>
      <c r="F2162" s="3" t="s">
        <v>899</v>
      </c>
      <c r="G2162" s="3" t="s">
        <v>5210</v>
      </c>
      <c r="H2162" s="2" t="s">
        <v>21</v>
      </c>
      <c r="I2162" s="2" t="s">
        <v>5211</v>
      </c>
      <c r="J2162" s="3" t="str">
        <f>HYPERLINK("https://www.boe.es/gazeta/dias/1816/01/23/pdfs/GMD-1816-10.pdf#page=6","Abrir facsímil")</f>
        <v>Abrir facsímil</v>
      </c>
      <c r="K2162" s="3" t="s">
        <v>23</v>
      </c>
    </row>
    <row r="2163" spans="1:11" ht="42" customHeight="1">
      <c r="A2163" s="2" t="s">
        <v>5209</v>
      </c>
      <c r="B2163" s="2" t="s">
        <v>5209</v>
      </c>
      <c r="C2163" s="2" t="s">
        <v>34</v>
      </c>
      <c r="D2163" s="2" t="s">
        <v>35</v>
      </c>
      <c r="E2163" s="5">
        <v>-30657</v>
      </c>
      <c r="F2163" s="3" t="s">
        <v>899</v>
      </c>
      <c r="G2163" s="3" t="s">
        <v>72</v>
      </c>
      <c r="H2163" s="2" t="s">
        <v>21</v>
      </c>
      <c r="I2163" s="2" t="s">
        <v>5212</v>
      </c>
      <c r="J2163" s="3" t="str">
        <f>HYPERLINK("https://www.boe.es/gazeta/dias/1816/01/23/pdfs/GMD-1816-10.pdf#page=7","Abrir facsímil")</f>
        <v>Abrir facsímil</v>
      </c>
      <c r="K2163" s="3" t="s">
        <v>23</v>
      </c>
    </row>
    <row r="2164" spans="1:11" ht="42" customHeight="1">
      <c r="A2164" s="2" t="s">
        <v>5213</v>
      </c>
      <c r="B2164" s="2" t="s">
        <v>5214</v>
      </c>
      <c r="C2164" s="2" t="s">
        <v>26</v>
      </c>
      <c r="D2164" s="2" t="s">
        <v>18</v>
      </c>
      <c r="E2164" s="5">
        <v>-30314</v>
      </c>
      <c r="F2164" s="3" t="s">
        <v>1899</v>
      </c>
      <c r="G2164" s="3" t="s">
        <v>42</v>
      </c>
      <c r="H2164" s="2" t="s">
        <v>21</v>
      </c>
      <c r="I2164" s="2" t="s">
        <v>5215</v>
      </c>
      <c r="J2164" s="3" t="str">
        <f>HYPERLINK("https://www.boe.es/gazeta/dias/1816/12/31/pdfs/GMD-1816-162.pdf#page=8","Abrir facsímil")</f>
        <v>Abrir facsímil</v>
      </c>
      <c r="K2164" s="3" t="s">
        <v>23</v>
      </c>
    </row>
    <row r="2165" spans="1:11" ht="42" customHeight="1">
      <c r="A2165" s="2" t="s">
        <v>5216</v>
      </c>
      <c r="B2165" s="2" t="s">
        <v>5217</v>
      </c>
      <c r="C2165" s="2" t="s">
        <v>34</v>
      </c>
      <c r="D2165" s="2" t="s">
        <v>35</v>
      </c>
      <c r="E2165" s="5">
        <v>-30517</v>
      </c>
      <c r="F2165" s="3" t="s">
        <v>557</v>
      </c>
      <c r="G2165" s="3" t="s">
        <v>72</v>
      </c>
      <c r="H2165" s="2" t="s">
        <v>21</v>
      </c>
      <c r="I2165" s="2" t="s">
        <v>5218</v>
      </c>
      <c r="J2165" s="3" t="str">
        <f>HYPERLINK("https://www.boe.es/gazeta/dias/1816/06/11/pdfs/GMD-1816-73.pdf#page=7","Abrir facsímil")</f>
        <v>Abrir facsímil</v>
      </c>
      <c r="K2165" s="3" t="s">
        <v>23</v>
      </c>
    </row>
    <row r="2166" spans="1:11" ht="42" customHeight="1">
      <c r="A2166" s="2" t="s">
        <v>5219</v>
      </c>
      <c r="B2166" s="2" t="s">
        <v>5220</v>
      </c>
      <c r="C2166" s="2" t="s">
        <v>34</v>
      </c>
      <c r="D2166" s="2" t="s">
        <v>35</v>
      </c>
      <c r="E2166" s="5">
        <v>-30384</v>
      </c>
      <c r="F2166" s="3" t="s">
        <v>460</v>
      </c>
      <c r="G2166" s="3" t="s">
        <v>932</v>
      </c>
      <c r="H2166" s="2" t="s">
        <v>21</v>
      </c>
      <c r="I2166" s="2" t="s">
        <v>5221</v>
      </c>
      <c r="J2166" s="3" t="str">
        <f>HYPERLINK("https://www.boe.es/gazeta/dias/1816/10/22/pdfs/GMD-1816-132.pdf#page=7","Abrir facsímil")</f>
        <v>Abrir facsímil</v>
      </c>
      <c r="K2166" s="3" t="s">
        <v>23</v>
      </c>
    </row>
    <row r="2167" spans="1:11" ht="42" customHeight="1">
      <c r="A2167" s="2" t="s">
        <v>5222</v>
      </c>
      <c r="B2167" s="2" t="s">
        <v>5223</v>
      </c>
      <c r="C2167" s="2" t="s">
        <v>26</v>
      </c>
      <c r="D2167" s="2" t="s">
        <v>18</v>
      </c>
      <c r="E2167" s="5">
        <v>-30457</v>
      </c>
      <c r="F2167" s="3" t="s">
        <v>539</v>
      </c>
      <c r="G2167" s="3" t="s">
        <v>47</v>
      </c>
      <c r="H2167" s="2" t="s">
        <v>21</v>
      </c>
      <c r="I2167" s="2" t="s">
        <v>5224</v>
      </c>
      <c r="J2167" s="3" t="str">
        <f>HYPERLINK("https://www.boe.es/gazeta/dias/1816/08/10/pdfs/GMD-1816-99.pdf#page=5","Abrir facsímil")</f>
        <v>Abrir facsímil</v>
      </c>
      <c r="K2167" s="3" t="s">
        <v>23</v>
      </c>
    </row>
    <row r="2168" spans="1:11" ht="42" customHeight="1">
      <c r="A2168" s="2" t="s">
        <v>5225</v>
      </c>
      <c r="B2168" s="2" t="s">
        <v>5226</v>
      </c>
      <c r="C2168" s="2" t="s">
        <v>67</v>
      </c>
      <c r="D2168" s="2" t="s">
        <v>18</v>
      </c>
      <c r="E2168" s="5">
        <v>-30597</v>
      </c>
      <c r="F2168" s="3" t="s">
        <v>696</v>
      </c>
      <c r="G2168" s="3" t="s">
        <v>5227</v>
      </c>
      <c r="H2168" s="2" t="s">
        <v>21</v>
      </c>
      <c r="I2168" s="2" t="s">
        <v>5228</v>
      </c>
      <c r="J2168" s="3" t="str">
        <f>HYPERLINK("https://www.boe.es/gazeta/dias/1816/03/23/pdfs/GMD-1816-39.pdf#page=8","Abrir facsímil")</f>
        <v>Abrir facsímil</v>
      </c>
      <c r="K2168" s="3" t="s">
        <v>23</v>
      </c>
    </row>
    <row r="2169" spans="1:11" ht="42" customHeight="1">
      <c r="A2169" s="2" t="s">
        <v>5225</v>
      </c>
      <c r="B2169" s="2" t="s">
        <v>5226</v>
      </c>
      <c r="C2169" s="2" t="s">
        <v>26</v>
      </c>
      <c r="D2169" s="2" t="s">
        <v>18</v>
      </c>
      <c r="E2169" s="5">
        <v>-30398</v>
      </c>
      <c r="F2169" s="3" t="s">
        <v>447</v>
      </c>
      <c r="G2169" s="3" t="s">
        <v>42</v>
      </c>
      <c r="H2169" s="2" t="s">
        <v>21</v>
      </c>
      <c r="I2169" s="2" t="s">
        <v>5229</v>
      </c>
      <c r="J2169" s="3" t="str">
        <f>HYPERLINK("https://www.boe.es/gazeta/dias/1816/10/08/pdfs/GMD-1816-125.pdf#page=8","Abrir facsímil")</f>
        <v>Abrir facsímil</v>
      </c>
      <c r="K2169" s="3" t="s">
        <v>23</v>
      </c>
    </row>
    <row r="2170" spans="1:11" ht="42" customHeight="1">
      <c r="A2170" s="2" t="s">
        <v>5230</v>
      </c>
      <c r="B2170" s="2" t="s">
        <v>5231</v>
      </c>
      <c r="C2170" s="2" t="s">
        <v>111</v>
      </c>
      <c r="D2170" s="2" t="s">
        <v>112</v>
      </c>
      <c r="E2170" s="5">
        <v>-30375</v>
      </c>
      <c r="F2170" s="3" t="s">
        <v>404</v>
      </c>
      <c r="G2170" s="3" t="s">
        <v>1276</v>
      </c>
      <c r="H2170" s="2" t="s">
        <v>21</v>
      </c>
      <c r="I2170" s="2" t="s">
        <v>5232</v>
      </c>
      <c r="J2170" s="3" t="str">
        <f>HYPERLINK("https://www.boe.es/gazeta/dias/1816/10/31/pdfs/GMD-1816-136.pdf#page=5","Abrir facsímil")</f>
        <v>Abrir facsímil</v>
      </c>
      <c r="K2170" s="3" t="s">
        <v>23</v>
      </c>
    </row>
    <row r="2171" spans="1:11" ht="42" customHeight="1">
      <c r="A2171" s="2" t="s">
        <v>5233</v>
      </c>
      <c r="B2171" s="2" t="s">
        <v>5234</v>
      </c>
      <c r="C2171" s="2" t="s">
        <v>111</v>
      </c>
      <c r="D2171" s="2" t="s">
        <v>112</v>
      </c>
      <c r="E2171" s="5">
        <v>-30431</v>
      </c>
      <c r="F2171" s="3" t="s">
        <v>756</v>
      </c>
      <c r="G2171" s="3" t="s">
        <v>72</v>
      </c>
      <c r="H2171" s="2" t="s">
        <v>21</v>
      </c>
      <c r="I2171" s="2" t="s">
        <v>5235</v>
      </c>
      <c r="J2171" s="3" t="str">
        <f>HYPERLINK("https://www.boe.es/gazeta/dias/1816/09/05/pdfs/GMD-1816-110.pdf#page=7","Abrir facsímil")</f>
        <v>Abrir facsímil</v>
      </c>
      <c r="K2171" s="3" t="s">
        <v>23</v>
      </c>
    </row>
    <row r="2172" spans="1:11" ht="42" customHeight="1">
      <c r="A2172" s="2" t="s">
        <v>5236</v>
      </c>
      <c r="B2172" s="2" t="s">
        <v>5237</v>
      </c>
      <c r="C2172" s="2" t="s">
        <v>26</v>
      </c>
      <c r="D2172" s="2" t="s">
        <v>18</v>
      </c>
      <c r="E2172" s="5">
        <v>-30436</v>
      </c>
      <c r="F2172" s="3" t="s">
        <v>102</v>
      </c>
      <c r="G2172" s="3" t="s">
        <v>184</v>
      </c>
      <c r="H2172" s="2" t="s">
        <v>21</v>
      </c>
      <c r="I2172" s="2" t="s">
        <v>5238</v>
      </c>
      <c r="J2172" s="3" t="str">
        <f>HYPERLINK("https://www.boe.es/gazeta/dias/1816/08/31/pdfs/GMD-1816-108.pdf#page=3","Abrir facsímil")</f>
        <v>Abrir facsímil</v>
      </c>
      <c r="K2172" s="3" t="s">
        <v>23</v>
      </c>
    </row>
    <row r="2173" spans="1:11" ht="42" customHeight="1">
      <c r="A2173" s="2" t="s">
        <v>5239</v>
      </c>
      <c r="B2173" s="2" t="s">
        <v>5240</v>
      </c>
      <c r="C2173" s="2" t="s">
        <v>26</v>
      </c>
      <c r="D2173" s="2" t="s">
        <v>18</v>
      </c>
      <c r="E2173" s="5">
        <v>-30622</v>
      </c>
      <c r="F2173" s="3" t="s">
        <v>27</v>
      </c>
      <c r="G2173" s="3" t="s">
        <v>2083</v>
      </c>
      <c r="H2173" s="2" t="s">
        <v>21</v>
      </c>
      <c r="I2173" s="2" t="s">
        <v>5241</v>
      </c>
      <c r="J2173" s="3" t="str">
        <f>HYPERLINK("https://www.boe.es/gazeta/dias/1816/02/27/pdfs/GMD-1816-26.pdf#page=4","Abrir facsímil")</f>
        <v>Abrir facsímil</v>
      </c>
      <c r="K2173" s="3" t="s">
        <v>23</v>
      </c>
    </row>
    <row r="2174" spans="1:11" ht="42" customHeight="1">
      <c r="A2174" s="2" t="s">
        <v>5242</v>
      </c>
      <c r="B2174" s="2" t="s">
        <v>5243</v>
      </c>
      <c r="C2174" s="2" t="s">
        <v>26</v>
      </c>
      <c r="D2174" s="2" t="s">
        <v>18</v>
      </c>
      <c r="E2174" s="5">
        <v>-30436</v>
      </c>
      <c r="F2174" s="3" t="s">
        <v>102</v>
      </c>
      <c r="G2174" s="3" t="s">
        <v>184</v>
      </c>
      <c r="H2174" s="2" t="s">
        <v>21</v>
      </c>
      <c r="I2174" s="2" t="s">
        <v>5244</v>
      </c>
      <c r="J2174" s="3" t="str">
        <f>HYPERLINK("https://www.boe.es/gazeta/dias/1816/08/31/pdfs/GMD-1816-108.pdf#page=3","Abrir facsímil")</f>
        <v>Abrir facsímil</v>
      </c>
      <c r="K2174" s="3" t="s">
        <v>23</v>
      </c>
    </row>
    <row r="2175" spans="1:11" ht="42" customHeight="1">
      <c r="A2175" s="2" t="s">
        <v>5245</v>
      </c>
      <c r="B2175" s="2" t="s">
        <v>5246</v>
      </c>
      <c r="C2175" s="2" t="s">
        <v>111</v>
      </c>
      <c r="D2175" s="2" t="s">
        <v>112</v>
      </c>
      <c r="E2175" s="5">
        <v>-30585</v>
      </c>
      <c r="F2175" s="3" t="s">
        <v>633</v>
      </c>
      <c r="G2175" s="3" t="s">
        <v>634</v>
      </c>
      <c r="H2175" s="2" t="s">
        <v>21</v>
      </c>
      <c r="I2175" s="2" t="s">
        <v>5247</v>
      </c>
      <c r="J2175" s="3" t="str">
        <f>HYPERLINK("https://www.boe.es/gazeta/dias/1816/04/04/pdfs/GMD-1816-44.pdf#page=6","Abrir facsímil")</f>
        <v>Abrir facsímil</v>
      </c>
      <c r="K2175" s="3" t="s">
        <v>23</v>
      </c>
    </row>
    <row r="2176" spans="1:11" ht="42" customHeight="1">
      <c r="A2176" s="2" t="s">
        <v>5248</v>
      </c>
      <c r="B2176" s="2" t="s">
        <v>5249</v>
      </c>
      <c r="C2176" s="2" t="s">
        <v>67</v>
      </c>
      <c r="D2176" s="2" t="s">
        <v>18</v>
      </c>
      <c r="E2176" s="5">
        <v>-30389</v>
      </c>
      <c r="F2176" s="3" t="s">
        <v>522</v>
      </c>
      <c r="G2176" s="3" t="s">
        <v>28</v>
      </c>
      <c r="H2176" s="2" t="s">
        <v>29</v>
      </c>
      <c r="I2176" s="2" t="s">
        <v>5250</v>
      </c>
      <c r="J2176" s="3" t="str">
        <f>HYPERLINK("https://www.boe.es/gazeta/dias/1816/10/17/pdfs/GMD-1816-130.pdf#page=6","Abrir facsímil")</f>
        <v>Abrir facsímil</v>
      </c>
      <c r="K2176" s="3" t="s">
        <v>31</v>
      </c>
    </row>
    <row r="2177" spans="1:11" ht="42" customHeight="1">
      <c r="A2177" s="2" t="s">
        <v>5251</v>
      </c>
      <c r="B2177" s="2" t="s">
        <v>5252</v>
      </c>
      <c r="C2177" s="2" t="s">
        <v>34</v>
      </c>
      <c r="D2177" s="2" t="s">
        <v>35</v>
      </c>
      <c r="E2177" s="5">
        <v>-30347</v>
      </c>
      <c r="F2177" s="3" t="s">
        <v>2994</v>
      </c>
      <c r="G2177" s="3" t="s">
        <v>28</v>
      </c>
      <c r="H2177" s="2" t="s">
        <v>29</v>
      </c>
      <c r="I2177" s="2" t="s">
        <v>5253</v>
      </c>
      <c r="J2177" s="3" t="str">
        <f>HYPERLINK("https://www.boe.es/gazeta/dias/1816/11/28/pdfs/GMD-1816-148.pdf#page=6","Abrir facsímil")</f>
        <v>Abrir facsímil</v>
      </c>
      <c r="K2177" s="3" t="s">
        <v>31</v>
      </c>
    </row>
    <row r="2178" spans="1:11" ht="42" customHeight="1">
      <c r="A2178" s="2" t="s">
        <v>5254</v>
      </c>
      <c r="B2178" s="2" t="s">
        <v>5254</v>
      </c>
      <c r="C2178" s="2" t="s">
        <v>111</v>
      </c>
      <c r="D2178" s="2" t="s">
        <v>112</v>
      </c>
      <c r="E2178" s="5">
        <v>-30366</v>
      </c>
      <c r="F2178" s="3" t="s">
        <v>179</v>
      </c>
      <c r="G2178" s="3" t="s">
        <v>175</v>
      </c>
      <c r="H2178" s="2" t="s">
        <v>21</v>
      </c>
      <c r="I2178" s="2" t="s">
        <v>5255</v>
      </c>
      <c r="J2178" s="3" t="str">
        <f>HYPERLINK("https://www.boe.es/gazeta/dias/1816/11/09/pdfs/GMD-1816-140.pdf#page=11","Abrir facsímil")</f>
        <v>Abrir facsímil</v>
      </c>
      <c r="K2178" s="3" t="s">
        <v>23</v>
      </c>
    </row>
    <row r="2179" spans="1:11" ht="42" customHeight="1">
      <c r="A2179" s="2" t="s">
        <v>5256</v>
      </c>
      <c r="B2179" s="2" t="s">
        <v>5257</v>
      </c>
      <c r="C2179" s="2" t="s">
        <v>34</v>
      </c>
      <c r="D2179" s="2" t="s">
        <v>35</v>
      </c>
      <c r="E2179" s="5">
        <v>-30529</v>
      </c>
      <c r="F2179" s="3" t="s">
        <v>432</v>
      </c>
      <c r="G2179" s="3" t="s">
        <v>103</v>
      </c>
      <c r="H2179" s="2" t="s">
        <v>21</v>
      </c>
      <c r="I2179" s="2" t="s">
        <v>5258</v>
      </c>
      <c r="J2179" s="3" t="str">
        <f>HYPERLINK("https://www.boe.es/gazeta/dias/1816/05/30/pdfs/GMD-1816-68.pdf#page=4","Abrir facsímil")</f>
        <v>Abrir facsímil</v>
      </c>
      <c r="K2179" s="3" t="s">
        <v>23</v>
      </c>
    </row>
    <row r="2180" spans="1:11" ht="42" customHeight="1">
      <c r="A2180" s="2" t="s">
        <v>5259</v>
      </c>
      <c r="B2180" s="2" t="s">
        <v>5260</v>
      </c>
      <c r="C2180" s="2" t="s">
        <v>26</v>
      </c>
      <c r="D2180" s="2" t="s">
        <v>18</v>
      </c>
      <c r="E2180" s="5">
        <v>-30576</v>
      </c>
      <c r="F2180" s="3" t="s">
        <v>353</v>
      </c>
      <c r="G2180" s="3" t="s">
        <v>72</v>
      </c>
      <c r="H2180" s="2" t="s">
        <v>21</v>
      </c>
      <c r="I2180" s="2" t="s">
        <v>5261</v>
      </c>
      <c r="J2180" s="3" t="str">
        <f>HYPERLINK("https://www.boe.es/gazeta/dias/1816/04/13/pdfs/GMD-1816-48.pdf#page=7","Abrir facsímil")</f>
        <v>Abrir facsímil</v>
      </c>
      <c r="K2180" s="3" t="s">
        <v>23</v>
      </c>
    </row>
    <row r="2181" spans="1:11" ht="42" customHeight="1">
      <c r="A2181" s="2" t="s">
        <v>5262</v>
      </c>
      <c r="B2181" s="2" t="s">
        <v>5262</v>
      </c>
      <c r="C2181" s="2" t="s">
        <v>34</v>
      </c>
      <c r="D2181" s="2" t="s">
        <v>35</v>
      </c>
      <c r="E2181" s="5">
        <v>-30415</v>
      </c>
      <c r="F2181" s="3" t="s">
        <v>585</v>
      </c>
      <c r="G2181" s="3" t="s">
        <v>1156</v>
      </c>
      <c r="H2181" s="2" t="s">
        <v>21</v>
      </c>
      <c r="I2181" s="2" t="s">
        <v>5263</v>
      </c>
      <c r="J2181" s="3" t="str">
        <f>HYPERLINK("https://www.boe.es/gazeta/dias/1816/09/21/pdfs/GMD-1816-117.pdf#page=7","Abrir facsímil")</f>
        <v>Abrir facsímil</v>
      </c>
      <c r="K2181" s="3" t="s">
        <v>23</v>
      </c>
    </row>
    <row r="2182" spans="1:11" ht="42" customHeight="1">
      <c r="A2182" s="2" t="s">
        <v>5264</v>
      </c>
      <c r="B2182" s="2" t="s">
        <v>5265</v>
      </c>
      <c r="C2182" s="2" t="s">
        <v>34</v>
      </c>
      <c r="D2182" s="2" t="s">
        <v>35</v>
      </c>
      <c r="E2182" s="5">
        <v>-30639</v>
      </c>
      <c r="F2182" s="3" t="s">
        <v>87</v>
      </c>
      <c r="G2182" s="3" t="s">
        <v>42</v>
      </c>
      <c r="H2182" s="2" t="s">
        <v>21</v>
      </c>
      <c r="I2182" s="2" t="s">
        <v>5266</v>
      </c>
      <c r="J2182" s="3" t="str">
        <f>HYPERLINK("https://www.boe.es/gazeta/dias/1816/02/10/pdfs/GMD-1816-19.pdf#page=8","Abrir facsímil")</f>
        <v>Abrir facsímil</v>
      </c>
      <c r="K2182" s="3" t="s">
        <v>23</v>
      </c>
    </row>
    <row r="2183" spans="1:11" ht="42" customHeight="1">
      <c r="A2183" s="2" t="s">
        <v>5267</v>
      </c>
      <c r="B2183" s="2" t="s">
        <v>5267</v>
      </c>
      <c r="C2183" s="2" t="s">
        <v>34</v>
      </c>
      <c r="D2183" s="2" t="s">
        <v>35</v>
      </c>
      <c r="E2183" s="5">
        <v>-30382</v>
      </c>
      <c r="F2183" s="3" t="s">
        <v>326</v>
      </c>
      <c r="G2183" s="3" t="s">
        <v>42</v>
      </c>
      <c r="H2183" s="2" t="s">
        <v>21</v>
      </c>
      <c r="I2183" s="2" t="s">
        <v>5268</v>
      </c>
      <c r="J2183" s="3" t="str">
        <f>HYPERLINK("https://www.boe.es/gazeta/dias/1816/10/24/pdfs/GMD-1816-133.pdf#page=8","Abrir facsímil")</f>
        <v>Abrir facsímil</v>
      </c>
      <c r="K2183" s="3" t="s">
        <v>23</v>
      </c>
    </row>
    <row r="2184" spans="1:11" ht="42" customHeight="1">
      <c r="A2184" s="2" t="s">
        <v>5269</v>
      </c>
      <c r="B2184" s="2" t="s">
        <v>5270</v>
      </c>
      <c r="C2184" s="2" t="s">
        <v>34</v>
      </c>
      <c r="D2184" s="2" t="s">
        <v>35</v>
      </c>
      <c r="E2184" s="5">
        <v>-30391</v>
      </c>
      <c r="F2184" s="3" t="s">
        <v>482</v>
      </c>
      <c r="G2184" s="3" t="s">
        <v>28</v>
      </c>
      <c r="H2184" s="2" t="s">
        <v>21</v>
      </c>
      <c r="I2184" s="2" t="s">
        <v>5271</v>
      </c>
      <c r="J2184" s="3" t="str">
        <f>HYPERLINK("https://www.boe.es/gazeta/dias/1816/10/15/pdfs/GMD-1816-129.pdf#page=6","Abrir facsímil")</f>
        <v>Abrir facsímil</v>
      </c>
      <c r="K2184" s="3" t="s">
        <v>23</v>
      </c>
    </row>
    <row r="2185" spans="1:11" ht="42" customHeight="1">
      <c r="A2185" s="2" t="s">
        <v>5272</v>
      </c>
      <c r="B2185" s="2" t="s">
        <v>5272</v>
      </c>
      <c r="C2185" s="2" t="s">
        <v>34</v>
      </c>
      <c r="D2185" s="2" t="s">
        <v>35</v>
      </c>
      <c r="E2185" s="5">
        <v>-30436</v>
      </c>
      <c r="F2185" s="3" t="s">
        <v>102</v>
      </c>
      <c r="G2185" s="3" t="s">
        <v>58</v>
      </c>
      <c r="H2185" s="2" t="s">
        <v>21</v>
      </c>
      <c r="I2185" s="2" t="s">
        <v>5273</v>
      </c>
      <c r="J2185" s="3" t="str">
        <f>HYPERLINK("https://www.boe.es/gazeta/dias/1816/08/31/pdfs/GMD-1816-108.pdf#page=1","Abrir facsímil")</f>
        <v>Abrir facsímil</v>
      </c>
      <c r="K2185" s="3" t="s">
        <v>23</v>
      </c>
    </row>
    <row r="2186" spans="1:11" ht="42" customHeight="1">
      <c r="A2186" s="2" t="s">
        <v>5274</v>
      </c>
      <c r="B2186" s="2" t="s">
        <v>5274</v>
      </c>
      <c r="C2186" s="2" t="s">
        <v>41</v>
      </c>
      <c r="D2186" s="2" t="s">
        <v>18</v>
      </c>
      <c r="E2186" s="5">
        <v>-30412</v>
      </c>
      <c r="F2186" s="3" t="s">
        <v>388</v>
      </c>
      <c r="G2186" s="3" t="s">
        <v>42</v>
      </c>
      <c r="H2186" s="2" t="s">
        <v>21</v>
      </c>
      <c r="I2186" s="2" t="s">
        <v>5275</v>
      </c>
      <c r="J2186" s="3" t="str">
        <f>HYPERLINK("https://www.boe.es/gazeta/dias/1816/09/24/pdfs/GMD-1816-118.pdf#page=8","Abrir facsímil")</f>
        <v>Abrir facsímil</v>
      </c>
      <c r="K2186" s="3" t="s">
        <v>23</v>
      </c>
    </row>
    <row r="2187" spans="1:11" ht="42" customHeight="1">
      <c r="A2187" s="2" t="s">
        <v>5276</v>
      </c>
      <c r="B2187" s="2" t="s">
        <v>5277</v>
      </c>
      <c r="C2187" s="2" t="s">
        <v>34</v>
      </c>
      <c r="D2187" s="2" t="s">
        <v>35</v>
      </c>
      <c r="E2187" s="5">
        <v>-30443</v>
      </c>
      <c r="F2187" s="3" t="s">
        <v>259</v>
      </c>
      <c r="G2187" s="3" t="s">
        <v>260</v>
      </c>
      <c r="H2187" s="2" t="s">
        <v>21</v>
      </c>
      <c r="I2187" s="2" t="s">
        <v>5278</v>
      </c>
      <c r="J2187" s="3" t="str">
        <f>HYPERLINK("https://www.boe.es/gazeta/dias/1816/08/24/pdfs/GMD-1816-105.pdf#page=8","Abrir facsímil")</f>
        <v>Abrir facsímil</v>
      </c>
      <c r="K2187" s="3" t="s">
        <v>23</v>
      </c>
    </row>
    <row r="2188" spans="1:11" ht="42" customHeight="1">
      <c r="A2188" s="2" t="s">
        <v>5279</v>
      </c>
      <c r="B2188" s="2" t="s">
        <v>5280</v>
      </c>
      <c r="C2188" s="2" t="s">
        <v>26</v>
      </c>
      <c r="D2188" s="2" t="s">
        <v>18</v>
      </c>
      <c r="E2188" s="5">
        <v>-30347</v>
      </c>
      <c r="F2188" s="3" t="s">
        <v>2994</v>
      </c>
      <c r="G2188" s="3" t="s">
        <v>72</v>
      </c>
      <c r="H2188" s="2" t="s">
        <v>21</v>
      </c>
      <c r="I2188" s="2" t="s">
        <v>5281</v>
      </c>
      <c r="J2188" s="3" t="str">
        <f>HYPERLINK("https://www.boe.es/gazeta/dias/1816/11/28/pdfs/GMD-1816-148.pdf#page=7","Abrir facsímil")</f>
        <v>Abrir facsímil</v>
      </c>
      <c r="K2188" s="3" t="s">
        <v>23</v>
      </c>
    </row>
    <row r="2189" spans="1:11" ht="42" customHeight="1">
      <c r="A2189" s="2" t="s">
        <v>5282</v>
      </c>
      <c r="B2189" s="2" t="s">
        <v>5282</v>
      </c>
      <c r="C2189" s="2" t="s">
        <v>34</v>
      </c>
      <c r="D2189" s="2" t="s">
        <v>35</v>
      </c>
      <c r="E2189" s="5">
        <v>-30650</v>
      </c>
      <c r="F2189" s="3" t="s">
        <v>1170</v>
      </c>
      <c r="G2189" s="3" t="s">
        <v>103</v>
      </c>
      <c r="H2189" s="2" t="s">
        <v>21</v>
      </c>
      <c r="I2189" s="2" t="s">
        <v>5283</v>
      </c>
      <c r="J2189" s="3" t="str">
        <f>HYPERLINK("https://www.boe.es/gazeta/dias/1816/01/30/pdfs/GMD-1816-14.pdf#page=4","Abrir facsímil")</f>
        <v>Abrir facsímil</v>
      </c>
      <c r="K2189" s="3" t="s">
        <v>23</v>
      </c>
    </row>
    <row r="2190" spans="1:11" ht="42" customHeight="1">
      <c r="A2190" s="2" t="s">
        <v>5284</v>
      </c>
      <c r="B2190" s="2" t="s">
        <v>5284</v>
      </c>
      <c r="C2190" s="2" t="s">
        <v>34</v>
      </c>
      <c r="D2190" s="2" t="s">
        <v>35</v>
      </c>
      <c r="E2190" s="5">
        <v>-30424</v>
      </c>
      <c r="F2190" s="3" t="s">
        <v>142</v>
      </c>
      <c r="G2190" s="3" t="s">
        <v>58</v>
      </c>
      <c r="H2190" s="2" t="s">
        <v>21</v>
      </c>
      <c r="I2190" s="2" t="s">
        <v>5285</v>
      </c>
      <c r="J2190" s="3" t="str">
        <f>HYPERLINK("https://www.boe.es/gazeta/dias/1816/09/12/pdfs/GMD-1816-113.pdf#page=1","Abrir facsímil")</f>
        <v>Abrir facsímil</v>
      </c>
      <c r="K2190" s="3" t="s">
        <v>23</v>
      </c>
    </row>
    <row r="2191" spans="1:11" ht="42" customHeight="1">
      <c r="A2191" s="2" t="s">
        <v>5284</v>
      </c>
      <c r="B2191" s="2" t="s">
        <v>5284</v>
      </c>
      <c r="C2191" s="2" t="s">
        <v>34</v>
      </c>
      <c r="D2191" s="2" t="s">
        <v>35</v>
      </c>
      <c r="E2191" s="5">
        <v>-30370</v>
      </c>
      <c r="F2191" s="3" t="s">
        <v>669</v>
      </c>
      <c r="G2191" s="3" t="s">
        <v>184</v>
      </c>
      <c r="H2191" s="2" t="s">
        <v>21</v>
      </c>
      <c r="I2191" s="2" t="s">
        <v>5286</v>
      </c>
      <c r="J2191" s="3" t="str">
        <f>HYPERLINK("https://www.boe.es/gazeta/dias/1816/11/05/pdfs/GMD-1816-138.pdf#page=3","Abrir facsímil")</f>
        <v>Abrir facsímil</v>
      </c>
      <c r="K2191" s="3" t="s">
        <v>23</v>
      </c>
    </row>
    <row r="2192" spans="1:11" ht="42" customHeight="1">
      <c r="A2192" s="2" t="s">
        <v>5287</v>
      </c>
      <c r="B2192" s="2" t="s">
        <v>5288</v>
      </c>
      <c r="C2192" s="2" t="s">
        <v>34</v>
      </c>
      <c r="D2192" s="2" t="s">
        <v>35</v>
      </c>
      <c r="E2192" s="5">
        <v>-30492</v>
      </c>
      <c r="F2192" s="3" t="s">
        <v>248</v>
      </c>
      <c r="G2192" s="3" t="s">
        <v>175</v>
      </c>
      <c r="H2192" s="2" t="s">
        <v>21</v>
      </c>
      <c r="I2192" s="2" t="s">
        <v>5289</v>
      </c>
      <c r="J2192" s="3" t="str">
        <f>HYPERLINK("https://www.boe.es/gazeta/dias/1816/07/06/pdfs/GMD-1816-84.pdf#page=11","Abrir facsímil")</f>
        <v>Abrir facsímil</v>
      </c>
      <c r="K2192" s="3" t="s">
        <v>23</v>
      </c>
    </row>
    <row r="2193" spans="1:11" ht="42" customHeight="1">
      <c r="A2193" s="2" t="s">
        <v>5290</v>
      </c>
      <c r="B2193" s="2" t="s">
        <v>5291</v>
      </c>
      <c r="C2193" s="2" t="s">
        <v>111</v>
      </c>
      <c r="D2193" s="2" t="s">
        <v>112</v>
      </c>
      <c r="E2193" s="5">
        <v>-30321</v>
      </c>
      <c r="F2193" s="3" t="s">
        <v>1086</v>
      </c>
      <c r="G2193" s="3" t="s">
        <v>52</v>
      </c>
      <c r="H2193" s="2" t="s">
        <v>21</v>
      </c>
      <c r="I2193" s="2" t="s">
        <v>5292</v>
      </c>
      <c r="J2193" s="3" t="str">
        <f>HYPERLINK("https://www.boe.es/gazeta/dias/1816/12/24/pdfs/GMD-1816-159.pdf#page=12","Abrir facsímil")</f>
        <v>Abrir facsímil</v>
      </c>
      <c r="K2193" s="3" t="s">
        <v>23</v>
      </c>
    </row>
    <row r="2194" spans="1:11" ht="42" customHeight="1">
      <c r="A2194" s="2" t="s">
        <v>5293</v>
      </c>
      <c r="B2194" s="2" t="s">
        <v>5294</v>
      </c>
      <c r="C2194" s="2" t="s">
        <v>34</v>
      </c>
      <c r="D2194" s="2" t="s">
        <v>35</v>
      </c>
      <c r="E2194" s="5">
        <v>-30450</v>
      </c>
      <c r="F2194" s="3" t="s">
        <v>349</v>
      </c>
      <c r="G2194" s="3" t="s">
        <v>42</v>
      </c>
      <c r="H2194" s="2" t="s">
        <v>21</v>
      </c>
      <c r="I2194" s="2" t="s">
        <v>5295</v>
      </c>
      <c r="J2194" s="3" t="str">
        <f>HYPERLINK("https://www.boe.es/gazeta/dias/1816/08/17/pdfs/GMD-1816-102.pdf#page=8","Abrir facsímil")</f>
        <v>Abrir facsímil</v>
      </c>
      <c r="K2194" s="3" t="s">
        <v>23</v>
      </c>
    </row>
    <row r="2195" spans="1:11" ht="42" customHeight="1">
      <c r="A2195" s="2" t="s">
        <v>5296</v>
      </c>
      <c r="B2195" s="2" t="s">
        <v>5297</v>
      </c>
      <c r="C2195" s="2" t="s">
        <v>26</v>
      </c>
      <c r="D2195" s="2" t="s">
        <v>18</v>
      </c>
      <c r="E2195" s="5">
        <v>-30366</v>
      </c>
      <c r="F2195" s="3" t="s">
        <v>179</v>
      </c>
      <c r="G2195" s="3" t="s">
        <v>175</v>
      </c>
      <c r="H2195" s="2" t="s">
        <v>21</v>
      </c>
      <c r="I2195" s="2" t="s">
        <v>5298</v>
      </c>
      <c r="J2195" s="3" t="str">
        <f>HYPERLINK("https://www.boe.es/gazeta/dias/1816/11/09/pdfs/GMD-1816-140.pdf#page=11","Abrir facsímil")</f>
        <v>Abrir facsímil</v>
      </c>
      <c r="K2195" s="3" t="s">
        <v>23</v>
      </c>
    </row>
    <row r="2196" spans="1:11" ht="42" customHeight="1">
      <c r="A2196" s="2" t="s">
        <v>5299</v>
      </c>
      <c r="B2196" s="2" t="s">
        <v>5300</v>
      </c>
      <c r="C2196" s="2" t="s">
        <v>26</v>
      </c>
      <c r="D2196" s="2" t="s">
        <v>18</v>
      </c>
      <c r="E2196" s="5">
        <v>-30461</v>
      </c>
      <c r="F2196" s="3" t="s">
        <v>912</v>
      </c>
      <c r="G2196" s="3" t="s">
        <v>1375</v>
      </c>
      <c r="H2196" s="2" t="s">
        <v>21</v>
      </c>
      <c r="I2196" s="2" t="s">
        <v>5301</v>
      </c>
      <c r="J2196" s="3" t="str">
        <f>HYPERLINK("https://www.boe.es/gazeta/dias/1816/08/06/pdfs/GMD-1816-97.pdf#page=6","Abrir facsímil")</f>
        <v>Abrir facsímil</v>
      </c>
      <c r="K2196" s="3" t="s">
        <v>23</v>
      </c>
    </row>
    <row r="2197" spans="1:11" ht="42" customHeight="1">
      <c r="A2197" s="2" t="s">
        <v>5302</v>
      </c>
      <c r="B2197" s="2" t="s">
        <v>5303</v>
      </c>
      <c r="C2197" s="2" t="s">
        <v>34</v>
      </c>
      <c r="D2197" s="2" t="s">
        <v>35</v>
      </c>
      <c r="E2197" s="5">
        <v>-30583</v>
      </c>
      <c r="F2197" s="3" t="s">
        <v>241</v>
      </c>
      <c r="G2197" s="3" t="s">
        <v>184</v>
      </c>
      <c r="H2197" s="2" t="s">
        <v>21</v>
      </c>
      <c r="I2197" s="2" t="s">
        <v>5304</v>
      </c>
      <c r="J2197" s="3" t="str">
        <f>HYPERLINK("https://www.boe.es/gazeta/dias/1816/04/06/pdfs/GMD-1816-45.pdf#page=3","Abrir facsímil")</f>
        <v>Abrir facsímil</v>
      </c>
      <c r="K2197" s="3" t="s">
        <v>23</v>
      </c>
    </row>
    <row r="2198" spans="1:11" ht="42" customHeight="1">
      <c r="A2198" s="2" t="s">
        <v>5305</v>
      </c>
      <c r="B2198" s="2" t="s">
        <v>5306</v>
      </c>
      <c r="C2198" s="2" t="s">
        <v>41</v>
      </c>
      <c r="D2198" s="2" t="s">
        <v>18</v>
      </c>
      <c r="E2198" s="5">
        <v>-30459</v>
      </c>
      <c r="F2198" s="3" t="s">
        <v>1957</v>
      </c>
      <c r="G2198" s="3" t="s">
        <v>42</v>
      </c>
      <c r="H2198" s="2" t="s">
        <v>21</v>
      </c>
      <c r="I2198" s="2" t="s">
        <v>5307</v>
      </c>
      <c r="J2198" s="3" t="str">
        <f>HYPERLINK("https://www.boe.es/gazeta/dias/1816/08/08/pdfs/GMD-1816-98.pdf#page=8","Abrir facsímil")</f>
        <v>Abrir facsímil</v>
      </c>
      <c r="K2198" s="3" t="s">
        <v>23</v>
      </c>
    </row>
    <row r="2199" spans="1:11" ht="42" customHeight="1">
      <c r="A2199" s="2" t="s">
        <v>5308</v>
      </c>
      <c r="B2199" s="2" t="s">
        <v>5309</v>
      </c>
      <c r="C2199" s="2" t="s">
        <v>34</v>
      </c>
      <c r="D2199" s="2" t="s">
        <v>35</v>
      </c>
      <c r="E2199" s="5">
        <v>-30522</v>
      </c>
      <c r="F2199" s="3" t="s">
        <v>282</v>
      </c>
      <c r="G2199" s="3" t="s">
        <v>5310</v>
      </c>
      <c r="H2199" s="2" t="s">
        <v>21</v>
      </c>
      <c r="I2199" s="2" t="s">
        <v>5311</v>
      </c>
      <c r="J2199" s="3" t="str">
        <f>HYPERLINK("https://www.boe.es/gazeta/dias/1816/06/06/pdfs/GMD-1816-71.pdf#page=4","Abrir facsímil")</f>
        <v>Abrir facsímil</v>
      </c>
      <c r="K2199" s="3" t="s">
        <v>23</v>
      </c>
    </row>
    <row r="2200" spans="1:11" ht="42" customHeight="1">
      <c r="A2200" s="2" t="s">
        <v>5312</v>
      </c>
      <c r="B2200" s="2" t="s">
        <v>5313</v>
      </c>
      <c r="C2200" s="2" t="s">
        <v>34</v>
      </c>
      <c r="D2200" s="2" t="s">
        <v>35</v>
      </c>
      <c r="E2200" s="5">
        <v>-30317</v>
      </c>
      <c r="F2200" s="3" t="s">
        <v>1030</v>
      </c>
      <c r="G2200" s="3" t="s">
        <v>4521</v>
      </c>
      <c r="H2200" s="2" t="s">
        <v>21</v>
      </c>
      <c r="I2200" s="2" t="s">
        <v>5314</v>
      </c>
      <c r="J2200" s="3" t="str">
        <f>HYPERLINK("https://www.boe.es/gazeta/dias/1816/12/28/pdfs/GMD-1816-161.pdf#page=4","Abrir facsímil")</f>
        <v>Abrir facsímil</v>
      </c>
      <c r="K2200" s="3" t="s">
        <v>23</v>
      </c>
    </row>
    <row r="2201" spans="1:11" ht="42" customHeight="1">
      <c r="A2201" s="2" t="s">
        <v>5315</v>
      </c>
      <c r="B2201" s="2" t="s">
        <v>5316</v>
      </c>
      <c r="C2201" s="2" t="s">
        <v>34</v>
      </c>
      <c r="D2201" s="2" t="s">
        <v>35</v>
      </c>
      <c r="E2201" s="5">
        <v>-30340</v>
      </c>
      <c r="F2201" s="3" t="s">
        <v>1618</v>
      </c>
      <c r="G2201" s="3" t="s">
        <v>5317</v>
      </c>
      <c r="H2201" s="2" t="s">
        <v>21</v>
      </c>
      <c r="I2201" s="2" t="s">
        <v>5318</v>
      </c>
      <c r="J2201" s="3" t="str">
        <f>HYPERLINK("https://www.boe.es/gazeta/dias/1816/12/05/pdfs/GMD-1816-151.pdf#page=6","Abrir facsímil")</f>
        <v>Abrir facsímil</v>
      </c>
      <c r="K2201" s="3" t="s">
        <v>23</v>
      </c>
    </row>
    <row r="2202" spans="1:11" ht="42" customHeight="1">
      <c r="A2202" s="2" t="s">
        <v>5319</v>
      </c>
      <c r="B2202" s="2" t="s">
        <v>5320</v>
      </c>
      <c r="C2202" s="2" t="s">
        <v>34</v>
      </c>
      <c r="D2202" s="2" t="s">
        <v>56</v>
      </c>
      <c r="E2202" s="5">
        <v>-30622</v>
      </c>
      <c r="F2202" s="3" t="s">
        <v>907</v>
      </c>
      <c r="G2202" s="3" t="s">
        <v>58</v>
      </c>
      <c r="H2202" s="2" t="s">
        <v>21</v>
      </c>
      <c r="I2202" s="2" t="s">
        <v>5321</v>
      </c>
      <c r="J2202" s="3" t="str">
        <f>HYPERLINK("https://www.boe.es/gazeta/dias/1816/02/27/pdfs/GMD-1816-27E.pdf#page=1","Abrir facsímil")</f>
        <v>Abrir facsímil</v>
      </c>
      <c r="K2202" s="3" t="s">
        <v>23</v>
      </c>
    </row>
    <row r="2203" spans="1:11" ht="42" customHeight="1">
      <c r="A2203" s="2" t="s">
        <v>5322</v>
      </c>
      <c r="B2203" s="2" t="s">
        <v>5323</v>
      </c>
      <c r="C2203" s="2" t="s">
        <v>34</v>
      </c>
      <c r="D2203" s="2" t="s">
        <v>56</v>
      </c>
      <c r="E2203" s="5">
        <v>-30622</v>
      </c>
      <c r="F2203" s="3" t="s">
        <v>907</v>
      </c>
      <c r="G2203" s="3" t="s">
        <v>184</v>
      </c>
      <c r="H2203" s="2" t="s">
        <v>29</v>
      </c>
      <c r="I2203" s="2" t="s">
        <v>5324</v>
      </c>
      <c r="J2203" s="3" t="str">
        <f>HYPERLINK("https://www.boe.es/gazeta/dias/1816/02/27/pdfs/GMD-1816-27E.pdf#page=3","Abrir facsímil")</f>
        <v>Abrir facsímil</v>
      </c>
      <c r="K2203" s="3" t="s">
        <v>31</v>
      </c>
    </row>
    <row r="2204" spans="1:11" ht="42" customHeight="1">
      <c r="A2204" s="2" t="s">
        <v>5325</v>
      </c>
      <c r="B2204" s="2" t="s">
        <v>5326</v>
      </c>
      <c r="C2204" s="2" t="s">
        <v>34</v>
      </c>
      <c r="D2204" s="2" t="s">
        <v>35</v>
      </c>
      <c r="E2204" s="5">
        <v>-30552</v>
      </c>
      <c r="F2204" s="3" t="s">
        <v>1842</v>
      </c>
      <c r="G2204" s="3" t="s">
        <v>42</v>
      </c>
      <c r="H2204" s="2" t="s">
        <v>21</v>
      </c>
      <c r="I2204" s="2" t="s">
        <v>5327</v>
      </c>
      <c r="J2204" s="3" t="str">
        <f>HYPERLINK("https://www.boe.es/gazeta/dias/1816/05/07/pdfs/GMD-1816-58.pdf#page=8","Abrir facsímil")</f>
        <v>Abrir facsímil</v>
      </c>
      <c r="K2204" s="3" t="s">
        <v>23</v>
      </c>
    </row>
    <row r="2205" spans="1:11" ht="42" customHeight="1">
      <c r="A2205" s="2" t="s">
        <v>5328</v>
      </c>
      <c r="B2205" s="2" t="s">
        <v>5329</v>
      </c>
      <c r="C2205" s="2" t="s">
        <v>34</v>
      </c>
      <c r="D2205" s="2" t="s">
        <v>35</v>
      </c>
      <c r="E2205" s="5">
        <v>-30548</v>
      </c>
      <c r="F2205" s="3" t="s">
        <v>472</v>
      </c>
      <c r="G2205" s="3" t="s">
        <v>5330</v>
      </c>
      <c r="H2205" s="2" t="s">
        <v>21</v>
      </c>
      <c r="I2205" s="2" t="s">
        <v>5331</v>
      </c>
      <c r="J2205" s="3" t="str">
        <f>HYPERLINK("https://www.boe.es/gazeta/dias/1816/05/11/pdfs/GMD-1816-60.pdf#page=7","Abrir facsímil")</f>
        <v>Abrir facsímil</v>
      </c>
      <c r="K2205" s="3" t="s">
        <v>23</v>
      </c>
    </row>
    <row r="2206" spans="1:11" ht="42" customHeight="1">
      <c r="A2206" s="2" t="s">
        <v>5332</v>
      </c>
      <c r="B2206" s="2" t="s">
        <v>5333</v>
      </c>
      <c r="C2206" s="2" t="s">
        <v>41</v>
      </c>
      <c r="D2206" s="2" t="s">
        <v>18</v>
      </c>
      <c r="E2206" s="5">
        <v>-30667</v>
      </c>
      <c r="F2206" s="3" t="s">
        <v>659</v>
      </c>
      <c r="G2206" s="3" t="s">
        <v>42</v>
      </c>
      <c r="H2206" s="2" t="s">
        <v>21</v>
      </c>
      <c r="I2206" s="2" t="s">
        <v>5334</v>
      </c>
      <c r="J2206" s="3" t="str">
        <f>HYPERLINK("https://www.boe.es/gazeta/dias/1816/01/13/pdfs/GMD-1816-6.pdf#page=8","Abrir facsímil")</f>
        <v>Abrir facsímil</v>
      </c>
      <c r="K2206" s="3" t="s">
        <v>23</v>
      </c>
    </row>
    <row r="2207" spans="1:11" ht="42" customHeight="1">
      <c r="A2207" s="2" t="s">
        <v>5332</v>
      </c>
      <c r="B2207" s="2" t="s">
        <v>5333</v>
      </c>
      <c r="C2207" s="2" t="s">
        <v>67</v>
      </c>
      <c r="D2207" s="2" t="s">
        <v>18</v>
      </c>
      <c r="E2207" s="5">
        <v>-30615</v>
      </c>
      <c r="F2207" s="3" t="s">
        <v>1848</v>
      </c>
      <c r="G2207" s="3" t="s">
        <v>42</v>
      </c>
      <c r="H2207" s="2" t="s">
        <v>21</v>
      </c>
      <c r="I2207" s="2" t="s">
        <v>5335</v>
      </c>
      <c r="J2207" s="3" t="str">
        <f>HYPERLINK("https://www.boe.es/gazeta/dias/1816/03/05/pdfs/GMD-1816-30.pdf#page=8","Abrir facsímil")</f>
        <v>Abrir facsímil</v>
      </c>
      <c r="K2207" s="3" t="s">
        <v>23</v>
      </c>
    </row>
    <row r="2208" spans="1:11" ht="42" customHeight="1">
      <c r="A2208" s="2" t="s">
        <v>5332</v>
      </c>
      <c r="B2208" s="2" t="s">
        <v>5333</v>
      </c>
      <c r="C2208" s="2" t="s">
        <v>41</v>
      </c>
      <c r="D2208" s="2" t="s">
        <v>18</v>
      </c>
      <c r="E2208" s="5">
        <v>-30583</v>
      </c>
      <c r="F2208" s="3" t="s">
        <v>241</v>
      </c>
      <c r="G2208" s="3" t="s">
        <v>42</v>
      </c>
      <c r="H2208" s="2" t="s">
        <v>21</v>
      </c>
      <c r="I2208" s="2" t="s">
        <v>5336</v>
      </c>
      <c r="J2208" s="3" t="str">
        <f>HYPERLINK("https://www.boe.es/gazeta/dias/1816/04/06/pdfs/GMD-1816-45.pdf#page=8","Abrir facsímil")</f>
        <v>Abrir facsímil</v>
      </c>
      <c r="K2208" s="3" t="s">
        <v>23</v>
      </c>
    </row>
    <row r="2209" spans="1:11" ht="42" customHeight="1">
      <c r="A2209" s="2" t="s">
        <v>5332</v>
      </c>
      <c r="B2209" s="2" t="s">
        <v>5333</v>
      </c>
      <c r="C2209" s="2" t="s">
        <v>67</v>
      </c>
      <c r="D2209" s="2" t="s">
        <v>18</v>
      </c>
      <c r="E2209" s="5">
        <v>-30566</v>
      </c>
      <c r="F2209" s="3" t="s">
        <v>113</v>
      </c>
      <c r="G2209" s="3" t="s">
        <v>42</v>
      </c>
      <c r="H2209" s="2" t="s">
        <v>21</v>
      </c>
      <c r="I2209" s="2" t="s">
        <v>5337</v>
      </c>
      <c r="J2209" s="3" t="str">
        <f>HYPERLINK("https://www.boe.es/gazeta/dias/1816/04/23/pdfs/GMD-1816-52.pdf#page=8","Abrir facsímil")</f>
        <v>Abrir facsímil</v>
      </c>
      <c r="K2209" s="3" t="s">
        <v>23</v>
      </c>
    </row>
    <row r="2210" spans="1:11" ht="42" customHeight="1">
      <c r="A2210" s="2" t="s">
        <v>5332</v>
      </c>
      <c r="B2210" s="2" t="s">
        <v>5333</v>
      </c>
      <c r="C2210" s="2" t="s">
        <v>34</v>
      </c>
      <c r="D2210" s="2" t="s">
        <v>35</v>
      </c>
      <c r="E2210" s="5">
        <v>-30443</v>
      </c>
      <c r="F2210" s="3" t="s">
        <v>259</v>
      </c>
      <c r="G2210" s="3" t="s">
        <v>260</v>
      </c>
      <c r="H2210" s="2" t="s">
        <v>21</v>
      </c>
      <c r="I2210" s="2" t="s">
        <v>5338</v>
      </c>
      <c r="J2210" s="3" t="str">
        <f>HYPERLINK("https://www.boe.es/gazeta/dias/1816/08/24/pdfs/GMD-1816-105.pdf#page=8","Abrir facsímil")</f>
        <v>Abrir facsímil</v>
      </c>
      <c r="K2210" s="3" t="s">
        <v>23</v>
      </c>
    </row>
    <row r="2211" spans="1:11" ht="42" customHeight="1">
      <c r="A2211" s="2" t="s">
        <v>5332</v>
      </c>
      <c r="B2211" s="2" t="s">
        <v>5333</v>
      </c>
      <c r="C2211" s="2" t="s">
        <v>67</v>
      </c>
      <c r="D2211" s="2" t="s">
        <v>18</v>
      </c>
      <c r="E2211" s="5">
        <v>-30380</v>
      </c>
      <c r="F2211" s="3" t="s">
        <v>819</v>
      </c>
      <c r="G2211" s="3" t="s">
        <v>42</v>
      </c>
      <c r="H2211" s="2" t="s">
        <v>21</v>
      </c>
      <c r="I2211" s="2" t="s">
        <v>5339</v>
      </c>
      <c r="J2211" s="3" t="str">
        <f>HYPERLINK("https://www.boe.es/gazeta/dias/1816/10/26/pdfs/GMD-1816-134.pdf#page=8","Abrir facsímil")</f>
        <v>Abrir facsímil</v>
      </c>
      <c r="K2211" s="3" t="s">
        <v>23</v>
      </c>
    </row>
    <row r="2212" spans="1:11" ht="42" customHeight="1">
      <c r="A2212" s="2" t="s">
        <v>5340</v>
      </c>
      <c r="B2212" s="2" t="s">
        <v>5341</v>
      </c>
      <c r="C2212" s="2" t="s">
        <v>26</v>
      </c>
      <c r="D2212" s="2" t="s">
        <v>18</v>
      </c>
      <c r="E2212" s="5">
        <v>-30599</v>
      </c>
      <c r="F2212" s="3" t="s">
        <v>552</v>
      </c>
      <c r="G2212" s="3" t="s">
        <v>47</v>
      </c>
      <c r="H2212" s="2" t="s">
        <v>21</v>
      </c>
      <c r="I2212" s="2" t="s">
        <v>5342</v>
      </c>
      <c r="J2212" s="3" t="str">
        <f>HYPERLINK("https://www.boe.es/gazeta/dias/1816/03/21/pdfs/GMD-1816-38.pdf#page=5","Abrir facsímil")</f>
        <v>Abrir facsímil</v>
      </c>
      <c r="K2212" s="3" t="s">
        <v>23</v>
      </c>
    </row>
    <row r="2213" spans="1:11" ht="42" customHeight="1">
      <c r="A2213" s="2" t="s">
        <v>5340</v>
      </c>
      <c r="B2213" s="2" t="s">
        <v>5341</v>
      </c>
      <c r="C2213" s="2" t="s">
        <v>34</v>
      </c>
      <c r="D2213" s="2" t="s">
        <v>35</v>
      </c>
      <c r="E2213" s="5">
        <v>-30564</v>
      </c>
      <c r="F2213" s="3" t="s">
        <v>963</v>
      </c>
      <c r="G2213" s="3" t="s">
        <v>1662</v>
      </c>
      <c r="H2213" s="2" t="s">
        <v>21</v>
      </c>
      <c r="I2213" s="2" t="s">
        <v>5343</v>
      </c>
      <c r="J2213" s="3" t="str">
        <f>HYPERLINK("https://www.boe.es/gazeta/dias/1816/04/25/pdfs/GMD-1816-53.pdf#page=7","Abrir facsímil")</f>
        <v>Abrir facsímil</v>
      </c>
      <c r="K2213" s="3" t="s">
        <v>23</v>
      </c>
    </row>
    <row r="2214" spans="1:11" ht="42" customHeight="1">
      <c r="A2214" s="2" t="s">
        <v>5340</v>
      </c>
      <c r="B2214" s="2" t="s">
        <v>5341</v>
      </c>
      <c r="C2214" s="2" t="s">
        <v>26</v>
      </c>
      <c r="D2214" s="2" t="s">
        <v>18</v>
      </c>
      <c r="E2214" s="5">
        <v>-30548</v>
      </c>
      <c r="F2214" s="3" t="s">
        <v>472</v>
      </c>
      <c r="G2214" s="3" t="s">
        <v>5330</v>
      </c>
      <c r="H2214" s="2" t="s">
        <v>21</v>
      </c>
      <c r="I2214" s="2" t="s">
        <v>5344</v>
      </c>
      <c r="J2214" s="3" t="str">
        <f>HYPERLINK("https://www.boe.es/gazeta/dias/1816/05/11/pdfs/GMD-1816-60.pdf#page=7","Abrir facsímil")</f>
        <v>Abrir facsímil</v>
      </c>
      <c r="K2214" s="3" t="s">
        <v>23</v>
      </c>
    </row>
    <row r="2215" spans="1:11" ht="42" customHeight="1">
      <c r="A2215" s="2" t="s">
        <v>5345</v>
      </c>
      <c r="B2215" s="2" t="s">
        <v>5346</v>
      </c>
      <c r="C2215" s="2" t="s">
        <v>41</v>
      </c>
      <c r="D2215" s="2" t="s">
        <v>18</v>
      </c>
      <c r="E2215" s="5">
        <v>-30387</v>
      </c>
      <c r="F2215" s="3" t="s">
        <v>224</v>
      </c>
      <c r="G2215" s="3" t="s">
        <v>28</v>
      </c>
      <c r="H2215" s="2" t="s">
        <v>21</v>
      </c>
      <c r="I2215" s="2" t="s">
        <v>5347</v>
      </c>
      <c r="J2215" s="3" t="str">
        <f>HYPERLINK("https://www.boe.es/gazeta/dias/1816/10/19/pdfs/GMD-1816-131.pdf#page=6","Abrir facsímil")</f>
        <v>Abrir facsímil</v>
      </c>
      <c r="K2215" s="3" t="s">
        <v>23</v>
      </c>
    </row>
    <row r="2216" spans="1:11" ht="42" customHeight="1">
      <c r="A2216" s="2" t="s">
        <v>5348</v>
      </c>
      <c r="B2216" s="2" t="s">
        <v>5348</v>
      </c>
      <c r="C2216" s="2" t="s">
        <v>26</v>
      </c>
      <c r="D2216" s="2" t="s">
        <v>18</v>
      </c>
      <c r="E2216" s="5">
        <v>-30342</v>
      </c>
      <c r="F2216" s="3" t="s">
        <v>116</v>
      </c>
      <c r="G2216" s="3" t="s">
        <v>28</v>
      </c>
      <c r="H2216" s="2" t="s">
        <v>21</v>
      </c>
      <c r="I2216" s="2" t="s">
        <v>5349</v>
      </c>
      <c r="J2216" s="3" t="str">
        <f>HYPERLINK("https://www.boe.es/gazeta/dias/1816/12/03/pdfs/GMD-1816-150.pdf#page=6","Abrir facsímil")</f>
        <v>Abrir facsímil</v>
      </c>
      <c r="K2216" s="3" t="s">
        <v>23</v>
      </c>
    </row>
    <row r="2217" spans="1:11" ht="42" customHeight="1">
      <c r="A2217" s="2" t="s">
        <v>5350</v>
      </c>
      <c r="B2217" s="2" t="s">
        <v>5350</v>
      </c>
      <c r="C2217" s="2" t="s">
        <v>34</v>
      </c>
      <c r="D2217" s="2" t="s">
        <v>35</v>
      </c>
      <c r="E2217" s="5">
        <v>-30422</v>
      </c>
      <c r="F2217" s="3" t="s">
        <v>803</v>
      </c>
      <c r="G2217" s="3" t="s">
        <v>58</v>
      </c>
      <c r="H2217" s="2" t="s">
        <v>21</v>
      </c>
      <c r="I2217" s="2" t="s">
        <v>5351</v>
      </c>
      <c r="J2217" s="3" t="str">
        <f>HYPERLINK("https://www.boe.es/gazeta/dias/1816/09/14/pdfs/GMD-1816-114.pdf#page=1","Abrir facsímil")</f>
        <v>Abrir facsímil</v>
      </c>
      <c r="K2217" s="3" t="s">
        <v>23</v>
      </c>
    </row>
    <row r="2218" spans="1:11" ht="42" customHeight="1">
      <c r="A2218" s="2" t="s">
        <v>5352</v>
      </c>
      <c r="B2218" s="2" t="s">
        <v>5352</v>
      </c>
      <c r="C2218" s="2" t="s">
        <v>34</v>
      </c>
      <c r="D2218" s="2" t="s">
        <v>35</v>
      </c>
      <c r="E2218" s="5">
        <v>-30543</v>
      </c>
      <c r="F2218" s="3" t="s">
        <v>94</v>
      </c>
      <c r="G2218" s="3" t="s">
        <v>270</v>
      </c>
      <c r="H2218" s="2" t="s">
        <v>21</v>
      </c>
      <c r="I2218" s="2" t="s">
        <v>5353</v>
      </c>
      <c r="J2218" s="3" t="str">
        <f>HYPERLINK("https://www.boe.es/gazeta/dias/1816/05/16/pdfs/GMD-1816-62.pdf#page=2","Abrir facsímil")</f>
        <v>Abrir facsímil</v>
      </c>
      <c r="K2218" s="3" t="s">
        <v>23</v>
      </c>
    </row>
    <row r="2219" spans="1:11" ht="42" customHeight="1">
      <c r="A2219" s="2" t="s">
        <v>5354</v>
      </c>
      <c r="B2219" s="2" t="s">
        <v>5355</v>
      </c>
      <c r="C2219" s="2" t="s">
        <v>111</v>
      </c>
      <c r="D2219" s="2" t="s">
        <v>112</v>
      </c>
      <c r="E2219" s="5">
        <v>-30662</v>
      </c>
      <c r="F2219" s="3" t="s">
        <v>485</v>
      </c>
      <c r="G2219" s="3" t="s">
        <v>42</v>
      </c>
      <c r="H2219" s="2" t="s">
        <v>21</v>
      </c>
      <c r="I2219" s="2" t="s">
        <v>5356</v>
      </c>
      <c r="J2219" s="3" t="str">
        <f>HYPERLINK("https://www.boe.es/gazeta/dias/1816/01/18/pdfs/GMD-1816-8.pdf#page=8","Abrir facsímil")</f>
        <v>Abrir facsímil</v>
      </c>
      <c r="K2219" s="3" t="s">
        <v>23</v>
      </c>
    </row>
    <row r="2220" spans="1:11" ht="42" customHeight="1">
      <c r="A2220" s="2" t="s">
        <v>5357</v>
      </c>
      <c r="B2220" s="2" t="s">
        <v>5357</v>
      </c>
      <c r="C2220" s="2" t="s">
        <v>34</v>
      </c>
      <c r="D2220" s="2" t="s">
        <v>35</v>
      </c>
      <c r="E2220" s="5">
        <v>-30580</v>
      </c>
      <c r="F2220" s="3" t="s">
        <v>107</v>
      </c>
      <c r="G2220" s="3" t="s">
        <v>103</v>
      </c>
      <c r="H2220" s="2" t="s">
        <v>21</v>
      </c>
      <c r="I2220" s="2" t="s">
        <v>5358</v>
      </c>
      <c r="J2220" s="3" t="str">
        <f>HYPERLINK("https://www.boe.es/gazeta/dias/1816/04/09/pdfs/GMD-1816-46.pdf#page=4","Abrir facsímil")</f>
        <v>Abrir facsímil</v>
      </c>
      <c r="K2220" s="3" t="s">
        <v>23</v>
      </c>
    </row>
    <row r="2221" spans="1:11" ht="42" customHeight="1">
      <c r="A2221" s="2" t="s">
        <v>5359</v>
      </c>
      <c r="B2221" s="2" t="s">
        <v>5360</v>
      </c>
      <c r="C2221" s="2" t="s">
        <v>26</v>
      </c>
      <c r="D2221" s="2" t="s">
        <v>18</v>
      </c>
      <c r="E2221" s="5">
        <v>-30503</v>
      </c>
      <c r="F2221" s="3" t="s">
        <v>1600</v>
      </c>
      <c r="G2221" s="3" t="s">
        <v>42</v>
      </c>
      <c r="H2221" s="2" t="s">
        <v>21</v>
      </c>
      <c r="I2221" s="2" t="s">
        <v>5361</v>
      </c>
      <c r="J2221" s="3" t="str">
        <f>HYPERLINK("https://www.boe.es/gazeta/dias/1816/06/25/pdfs/GMD-1816-79.pdf#page=8","Abrir facsímil")</f>
        <v>Abrir facsímil</v>
      </c>
      <c r="K2221" s="3" t="s">
        <v>23</v>
      </c>
    </row>
    <row r="2222" spans="1:11" ht="42" customHeight="1">
      <c r="A2222" s="2" t="s">
        <v>5362</v>
      </c>
      <c r="B2222" s="2" t="s">
        <v>5363</v>
      </c>
      <c r="C2222" s="2" t="s">
        <v>67</v>
      </c>
      <c r="D2222" s="2" t="s">
        <v>18</v>
      </c>
      <c r="E2222" s="5">
        <v>-30676</v>
      </c>
      <c r="F2222" s="3" t="s">
        <v>1932</v>
      </c>
      <c r="G2222" s="3" t="s">
        <v>2724</v>
      </c>
      <c r="H2222" s="2" t="s">
        <v>21</v>
      </c>
      <c r="I2222" s="2" t="s">
        <v>5364</v>
      </c>
      <c r="J2222" s="3" t="str">
        <f>HYPERLINK("https://www.boe.es/gazeta/dias/1816/01/04/pdfs/GMD-1816-2.pdf#page=8","Abrir facsímil")</f>
        <v>Abrir facsímil</v>
      </c>
      <c r="K2222" s="3" t="s">
        <v>23</v>
      </c>
    </row>
    <row r="2223" spans="1:11" ht="42" customHeight="1">
      <c r="A2223" s="2" t="s">
        <v>5365</v>
      </c>
      <c r="B2223" s="2" t="s">
        <v>5366</v>
      </c>
      <c r="C2223" s="2" t="s">
        <v>111</v>
      </c>
      <c r="D2223" s="2" t="s">
        <v>112</v>
      </c>
      <c r="E2223" s="5">
        <v>-30671</v>
      </c>
      <c r="F2223" s="3" t="s">
        <v>2049</v>
      </c>
      <c r="G2223" s="3" t="s">
        <v>5367</v>
      </c>
      <c r="H2223" s="2" t="s">
        <v>21</v>
      </c>
      <c r="I2223" s="2" t="s">
        <v>5368</v>
      </c>
      <c r="J2223" s="3" t="str">
        <f>HYPERLINK("https://www.boe.es/gazeta/dias/1816/01/09/pdfs/GMD-1816-4.pdf#page=8","Abrir facsímil")</f>
        <v>Abrir facsímil</v>
      </c>
      <c r="K2223" s="3" t="s">
        <v>23</v>
      </c>
    </row>
    <row r="2224" spans="1:11" ht="42" customHeight="1">
      <c r="A2224" s="2" t="s">
        <v>5369</v>
      </c>
      <c r="B2224" s="2" t="s">
        <v>5370</v>
      </c>
      <c r="C2224" s="2" t="s">
        <v>34</v>
      </c>
      <c r="D2224" s="2" t="s">
        <v>35</v>
      </c>
      <c r="E2224" s="5">
        <v>-30662</v>
      </c>
      <c r="F2224" s="3" t="s">
        <v>485</v>
      </c>
      <c r="G2224" s="3" t="s">
        <v>42</v>
      </c>
      <c r="H2224" s="2" t="s">
        <v>21</v>
      </c>
      <c r="I2224" s="2" t="s">
        <v>5371</v>
      </c>
      <c r="J2224" s="3" t="str">
        <f>HYPERLINK("https://www.boe.es/gazeta/dias/1816/01/18/pdfs/GMD-1816-8.pdf#page=8","Abrir facsímil")</f>
        <v>Abrir facsímil</v>
      </c>
      <c r="K2224" s="3" t="s">
        <v>23</v>
      </c>
    </row>
    <row r="2225" spans="1:11" ht="42" customHeight="1">
      <c r="A2225" s="2" t="s">
        <v>5372</v>
      </c>
      <c r="B2225" s="2" t="s">
        <v>5373</v>
      </c>
      <c r="C2225" s="2" t="s">
        <v>111</v>
      </c>
      <c r="D2225" s="2" t="s">
        <v>112</v>
      </c>
      <c r="E2225" s="5">
        <v>-30417</v>
      </c>
      <c r="F2225" s="3" t="s">
        <v>62</v>
      </c>
      <c r="G2225" s="3" t="s">
        <v>58</v>
      </c>
      <c r="H2225" s="2" t="s">
        <v>21</v>
      </c>
      <c r="I2225" s="2" t="s">
        <v>5374</v>
      </c>
      <c r="J2225" s="3" t="str">
        <f>HYPERLINK("https://www.boe.es/gazeta/dias/1816/09/19/pdfs/GMD-1816-116.pdf#page=1","Abrir facsímil")</f>
        <v>Abrir facsímil</v>
      </c>
      <c r="K2225" s="3" t="s">
        <v>23</v>
      </c>
    </row>
    <row r="2226" spans="1:11" ht="42" customHeight="1">
      <c r="A2226" s="2" t="s">
        <v>5375</v>
      </c>
      <c r="B2226" s="2" t="s">
        <v>5376</v>
      </c>
      <c r="C2226" s="2" t="s">
        <v>34</v>
      </c>
      <c r="D2226" s="2" t="s">
        <v>35</v>
      </c>
      <c r="E2226" s="5">
        <v>-30557</v>
      </c>
      <c r="F2226" s="3" t="s">
        <v>508</v>
      </c>
      <c r="G2226" s="3" t="s">
        <v>184</v>
      </c>
      <c r="H2226" s="2" t="s">
        <v>21</v>
      </c>
      <c r="I2226" s="2" t="s">
        <v>5377</v>
      </c>
      <c r="J2226" s="3" t="str">
        <f>HYPERLINK("https://www.boe.es/gazeta/dias/1816/05/02/pdfs/GMD-1816-56.pdf#page=3","Abrir facsímil")</f>
        <v>Abrir facsímil</v>
      </c>
      <c r="K2226" s="3" t="s">
        <v>23</v>
      </c>
    </row>
    <row r="2227" spans="1:11" ht="42" customHeight="1">
      <c r="A2227" s="2" t="s">
        <v>5378</v>
      </c>
      <c r="B2227" s="2" t="s">
        <v>5379</v>
      </c>
      <c r="C2227" s="2" t="s">
        <v>111</v>
      </c>
      <c r="D2227" s="2" t="s">
        <v>56</v>
      </c>
      <c r="E2227" s="5">
        <v>-30393</v>
      </c>
      <c r="F2227" s="3" t="s">
        <v>202</v>
      </c>
      <c r="G2227" s="3" t="s">
        <v>270</v>
      </c>
      <c r="H2227" s="2" t="s">
        <v>21</v>
      </c>
      <c r="I2227" s="2" t="s">
        <v>5380</v>
      </c>
      <c r="J2227" s="3" t="str">
        <f>HYPERLINK("https://www.boe.es/gazeta/dias/1816/10/13/pdfs/GMD-1816-128E.pdf#page=2","Abrir facsímil")</f>
        <v>Abrir facsímil</v>
      </c>
      <c r="K2227" s="3" t="s">
        <v>23</v>
      </c>
    </row>
    <row r="2228" spans="1:11" ht="42" customHeight="1">
      <c r="A2228" s="2" t="s">
        <v>5381</v>
      </c>
      <c r="B2228" s="2" t="s">
        <v>5382</v>
      </c>
      <c r="C2228" s="2" t="s">
        <v>26</v>
      </c>
      <c r="D2228" s="2" t="s">
        <v>18</v>
      </c>
      <c r="E2228" s="5">
        <v>-30534</v>
      </c>
      <c r="F2228" s="3" t="s">
        <v>274</v>
      </c>
      <c r="G2228" s="3" t="s">
        <v>103</v>
      </c>
      <c r="H2228" s="2" t="s">
        <v>21</v>
      </c>
      <c r="I2228" s="2" t="s">
        <v>5383</v>
      </c>
      <c r="J2228" s="3" t="str">
        <f>HYPERLINK("https://www.boe.es/gazeta/dias/1816/05/25/pdfs/GMD-1816-66.pdf#page=4","Abrir facsímil")</f>
        <v>Abrir facsímil</v>
      </c>
      <c r="K2228" s="3" t="s">
        <v>23</v>
      </c>
    </row>
    <row r="2229" spans="1:11" ht="42" customHeight="1">
      <c r="A2229" s="2" t="s">
        <v>5384</v>
      </c>
      <c r="B2229" s="2" t="s">
        <v>5384</v>
      </c>
      <c r="C2229" s="2" t="s">
        <v>67</v>
      </c>
      <c r="D2229" s="2" t="s">
        <v>18</v>
      </c>
      <c r="E2229" s="5">
        <v>-30615</v>
      </c>
      <c r="F2229" s="3" t="s">
        <v>1848</v>
      </c>
      <c r="G2229" s="3" t="s">
        <v>5385</v>
      </c>
      <c r="H2229" s="2" t="s">
        <v>21</v>
      </c>
      <c r="I2229" s="2" t="s">
        <v>5386</v>
      </c>
      <c r="J2229" s="3" t="str">
        <f>HYPERLINK("https://www.boe.es/gazeta/dias/1816/03/05/pdfs/GMD-1816-30.pdf#page=2","Abrir facsímil")</f>
        <v>Abrir facsímil</v>
      </c>
      <c r="K2229" s="3" t="s">
        <v>23</v>
      </c>
    </row>
    <row r="2230" spans="1:11" ht="42" customHeight="1">
      <c r="A2230" s="2" t="s">
        <v>5387</v>
      </c>
      <c r="B2230" s="2" t="s">
        <v>5388</v>
      </c>
      <c r="C2230" s="2" t="s">
        <v>387</v>
      </c>
      <c r="D2230" s="2" t="s">
        <v>18</v>
      </c>
      <c r="E2230" s="5">
        <v>-30436</v>
      </c>
      <c r="F2230" s="3" t="s">
        <v>102</v>
      </c>
      <c r="G2230" s="3" t="s">
        <v>52</v>
      </c>
      <c r="H2230" s="2" t="s">
        <v>21</v>
      </c>
      <c r="I2230" s="2" t="s">
        <v>5389</v>
      </c>
      <c r="J2230" s="3" t="str">
        <f>HYPERLINK("https://www.boe.es/gazeta/dias/1816/08/31/pdfs/GMD-1816-108.pdf#page=12","Abrir facsímil")</f>
        <v>Abrir facsímil</v>
      </c>
      <c r="K2230" s="3" t="s">
        <v>23</v>
      </c>
    </row>
    <row r="2231" spans="1:11" ht="42" customHeight="1">
      <c r="A2231" s="2" t="s">
        <v>5390</v>
      </c>
      <c r="B2231" s="2" t="s">
        <v>5391</v>
      </c>
      <c r="C2231" s="2" t="s">
        <v>34</v>
      </c>
      <c r="D2231" s="2" t="s">
        <v>35</v>
      </c>
      <c r="E2231" s="5">
        <v>-30363</v>
      </c>
      <c r="F2231" s="3" t="s">
        <v>570</v>
      </c>
      <c r="G2231" s="3" t="s">
        <v>47</v>
      </c>
      <c r="H2231" s="2" t="s">
        <v>21</v>
      </c>
      <c r="I2231" s="2" t="s">
        <v>5392</v>
      </c>
      <c r="J2231" s="3" t="str">
        <f>HYPERLINK("https://www.boe.es/gazeta/dias/1816/11/12/pdfs/GMD-1816-141.pdf#page=5","Abrir facsímil")</f>
        <v>Abrir facsímil</v>
      </c>
      <c r="K2231" s="3" t="s">
        <v>23</v>
      </c>
    </row>
    <row r="2232" spans="1:11" ht="42" customHeight="1">
      <c r="A2232" s="2" t="s">
        <v>5393</v>
      </c>
      <c r="B2232" s="2" t="s">
        <v>5394</v>
      </c>
      <c r="C2232" s="2" t="s">
        <v>26</v>
      </c>
      <c r="D2232" s="2" t="s">
        <v>18</v>
      </c>
      <c r="E2232" s="5">
        <v>-30478</v>
      </c>
      <c r="F2232" s="3" t="s">
        <v>123</v>
      </c>
      <c r="G2232" s="3" t="s">
        <v>28</v>
      </c>
      <c r="H2232" s="2" t="s">
        <v>21</v>
      </c>
      <c r="I2232" s="2" t="s">
        <v>5395</v>
      </c>
      <c r="J2232" s="3" t="str">
        <f>HYPERLINK("https://www.boe.es/gazeta/dias/1816/07/20/pdfs/GMD-1816-90.pdf#page=6","Abrir facsímil")</f>
        <v>Abrir facsímil</v>
      </c>
      <c r="K2232" s="3" t="s">
        <v>23</v>
      </c>
    </row>
    <row r="2233" spans="1:11" ht="42" customHeight="1">
      <c r="A2233" s="2" t="s">
        <v>5396</v>
      </c>
      <c r="B2233" s="2" t="s">
        <v>5397</v>
      </c>
      <c r="C2233" s="2" t="s">
        <v>34</v>
      </c>
      <c r="D2233" s="2" t="s">
        <v>35</v>
      </c>
      <c r="E2233" s="5">
        <v>-30363</v>
      </c>
      <c r="F2233" s="3" t="s">
        <v>570</v>
      </c>
      <c r="G2233" s="3" t="s">
        <v>47</v>
      </c>
      <c r="H2233" s="2" t="s">
        <v>21</v>
      </c>
      <c r="I2233" s="2" t="s">
        <v>5398</v>
      </c>
      <c r="J2233" s="3" t="str">
        <f>HYPERLINK("https://www.boe.es/gazeta/dias/1816/11/12/pdfs/GMD-1816-141.pdf#page=5","Abrir facsímil")</f>
        <v>Abrir facsímil</v>
      </c>
      <c r="K2233" s="3" t="s">
        <v>23</v>
      </c>
    </row>
    <row r="2234" spans="1:11" ht="42" customHeight="1">
      <c r="A2234" s="2" t="s">
        <v>5399</v>
      </c>
      <c r="B2234" s="2" t="s">
        <v>5400</v>
      </c>
      <c r="C2234" s="2" t="s">
        <v>81</v>
      </c>
      <c r="D2234" s="2" t="s">
        <v>18</v>
      </c>
      <c r="E2234" s="5">
        <v>-30384</v>
      </c>
      <c r="F2234" s="3" t="s">
        <v>460</v>
      </c>
      <c r="G2234" s="3" t="s">
        <v>932</v>
      </c>
      <c r="H2234" s="2" t="s">
        <v>21</v>
      </c>
      <c r="I2234" s="2" t="s">
        <v>5401</v>
      </c>
      <c r="J2234" s="3" t="str">
        <f>HYPERLINK("https://www.boe.es/gazeta/dias/1816/10/22/pdfs/GMD-1816-132.pdf#page=7","Abrir facsímil")</f>
        <v>Abrir facsímil</v>
      </c>
      <c r="K2234" s="3" t="s">
        <v>23</v>
      </c>
    </row>
    <row r="2235" spans="1:11" ht="42" customHeight="1">
      <c r="A2235" s="2" t="s">
        <v>5402</v>
      </c>
      <c r="B2235" s="2" t="s">
        <v>5403</v>
      </c>
      <c r="C2235" s="2" t="s">
        <v>17</v>
      </c>
      <c r="D2235" s="2" t="s">
        <v>18</v>
      </c>
      <c r="E2235" s="5">
        <v>-30478</v>
      </c>
      <c r="F2235" s="3" t="s">
        <v>123</v>
      </c>
      <c r="G2235" s="3" t="s">
        <v>42</v>
      </c>
      <c r="H2235" s="2" t="s">
        <v>21</v>
      </c>
      <c r="I2235" s="2" t="s">
        <v>5404</v>
      </c>
      <c r="J2235" s="3" t="str">
        <f>HYPERLINK("https://www.boe.es/gazeta/dias/1816/07/20/pdfs/GMD-1816-90.pdf#page=8","Abrir facsímil")</f>
        <v>Abrir facsímil</v>
      </c>
      <c r="K2235" s="3" t="s">
        <v>23</v>
      </c>
    </row>
    <row r="2236" spans="1:11" ht="42" customHeight="1">
      <c r="A2236" s="2" t="s">
        <v>5405</v>
      </c>
      <c r="B2236" s="2" t="s">
        <v>5405</v>
      </c>
      <c r="C2236" s="2" t="s">
        <v>34</v>
      </c>
      <c r="D2236" s="2" t="s">
        <v>35</v>
      </c>
      <c r="E2236" s="5">
        <v>-30531</v>
      </c>
      <c r="F2236" s="3" t="s">
        <v>535</v>
      </c>
      <c r="G2236" s="3" t="s">
        <v>58</v>
      </c>
      <c r="H2236" s="2" t="s">
        <v>21</v>
      </c>
      <c r="I2236" s="2" t="s">
        <v>5406</v>
      </c>
      <c r="J2236" s="3" t="str">
        <f>HYPERLINK("https://www.boe.es/gazeta/dias/1816/05/28/pdfs/GMD-1816-67.pdf#page=1","Abrir facsímil")</f>
        <v>Abrir facsímil</v>
      </c>
      <c r="K2236" s="3" t="s">
        <v>23</v>
      </c>
    </row>
    <row r="2237" spans="1:11" ht="42" customHeight="1">
      <c r="A2237" s="2" t="s">
        <v>5407</v>
      </c>
      <c r="B2237" s="2" t="s">
        <v>5408</v>
      </c>
      <c r="C2237" s="2" t="s">
        <v>81</v>
      </c>
      <c r="D2237" s="2" t="s">
        <v>18</v>
      </c>
      <c r="E2237" s="5">
        <v>-30321</v>
      </c>
      <c r="F2237" s="3" t="s">
        <v>1086</v>
      </c>
      <c r="G2237" s="3" t="s">
        <v>52</v>
      </c>
      <c r="H2237" s="2" t="s">
        <v>21</v>
      </c>
      <c r="I2237" s="2" t="s">
        <v>5409</v>
      </c>
      <c r="J2237" s="3" t="str">
        <f>HYPERLINK("https://www.boe.es/gazeta/dias/1816/12/24/pdfs/GMD-1816-159.pdf#page=12","Abrir facsímil")</f>
        <v>Abrir facsímil</v>
      </c>
      <c r="K2237" s="3" t="s">
        <v>23</v>
      </c>
    </row>
    <row r="2238" spans="1:11" ht="42" customHeight="1">
      <c r="A2238" s="2" t="s">
        <v>5410</v>
      </c>
      <c r="B2238" s="2" t="s">
        <v>5411</v>
      </c>
      <c r="C2238" s="2" t="s">
        <v>111</v>
      </c>
      <c r="D2238" s="2" t="s">
        <v>112</v>
      </c>
      <c r="E2238" s="5">
        <v>-30354</v>
      </c>
      <c r="F2238" s="3" t="s">
        <v>68</v>
      </c>
      <c r="G2238" s="3" t="s">
        <v>184</v>
      </c>
      <c r="H2238" s="2" t="s">
        <v>21</v>
      </c>
      <c r="I2238" s="2" t="s">
        <v>5412</v>
      </c>
      <c r="J2238" s="3" t="str">
        <f>HYPERLINK("https://www.boe.es/gazeta/dias/1816/11/21/pdfs/GMD-1816-145.pdf#page=3","Abrir facsímil")</f>
        <v>Abrir facsímil</v>
      </c>
      <c r="K2238" s="3" t="s">
        <v>23</v>
      </c>
    </row>
    <row r="2239" spans="1:11" ht="42" customHeight="1">
      <c r="A2239" s="2" t="s">
        <v>5413</v>
      </c>
      <c r="B2239" s="2" t="s">
        <v>5414</v>
      </c>
      <c r="C2239" s="2" t="s">
        <v>111</v>
      </c>
      <c r="D2239" s="2" t="s">
        <v>112</v>
      </c>
      <c r="E2239" s="5">
        <v>-30667</v>
      </c>
      <c r="F2239" s="3" t="s">
        <v>659</v>
      </c>
      <c r="G2239" s="3" t="s">
        <v>3788</v>
      </c>
      <c r="H2239" s="2" t="s">
        <v>21</v>
      </c>
      <c r="I2239" s="2" t="s">
        <v>5415</v>
      </c>
      <c r="J2239" s="3" t="str">
        <f>HYPERLINK("https://www.boe.es/gazeta/dias/1816/01/13/pdfs/GMD-1816-6.pdf#page=5","Abrir facsímil")</f>
        <v>Abrir facsímil</v>
      </c>
      <c r="K2239" s="3" t="s">
        <v>23</v>
      </c>
    </row>
    <row r="2240" spans="1:11" ht="42" customHeight="1">
      <c r="A2240" s="2" t="s">
        <v>5413</v>
      </c>
      <c r="B2240" s="2" t="s">
        <v>5414</v>
      </c>
      <c r="C2240" s="2" t="s">
        <v>111</v>
      </c>
      <c r="D2240" s="2" t="s">
        <v>112</v>
      </c>
      <c r="E2240" s="5">
        <v>-30445</v>
      </c>
      <c r="F2240" s="3" t="s">
        <v>51</v>
      </c>
      <c r="G2240" s="3" t="s">
        <v>180</v>
      </c>
      <c r="H2240" s="2" t="s">
        <v>21</v>
      </c>
      <c r="I2240" s="2" t="s">
        <v>5416</v>
      </c>
      <c r="J2240" s="3" t="str">
        <f>HYPERLINK("https://www.boe.es/gazeta/dias/1816/08/22/pdfs/GMD-1816-104.pdf#page=10","Abrir facsímil")</f>
        <v>Abrir facsímil</v>
      </c>
      <c r="K2240" s="3" t="s">
        <v>23</v>
      </c>
    </row>
    <row r="2241" spans="1:11" ht="42" customHeight="1">
      <c r="A2241" s="2" t="s">
        <v>5413</v>
      </c>
      <c r="B2241" s="2" t="s">
        <v>5414</v>
      </c>
      <c r="C2241" s="2" t="s">
        <v>34</v>
      </c>
      <c r="D2241" s="2" t="s">
        <v>35</v>
      </c>
      <c r="E2241" s="5">
        <v>-30328</v>
      </c>
      <c r="F2241" s="3" t="s">
        <v>573</v>
      </c>
      <c r="G2241" s="3" t="s">
        <v>28</v>
      </c>
      <c r="H2241" s="2" t="s">
        <v>21</v>
      </c>
      <c r="I2241" s="2" t="s">
        <v>5417</v>
      </c>
      <c r="J2241" s="3" t="str">
        <f>HYPERLINK("https://www.boe.es/gazeta/dias/1816/12/17/pdfs/GMD-1816-156.pdf#page=6","Abrir facsímil")</f>
        <v>Abrir facsímil</v>
      </c>
      <c r="K2241" s="3" t="s">
        <v>23</v>
      </c>
    </row>
    <row r="2242" spans="1:11" ht="42" customHeight="1">
      <c r="A2242" s="2" t="s">
        <v>5418</v>
      </c>
      <c r="B2242" s="2" t="s">
        <v>5418</v>
      </c>
      <c r="C2242" s="2" t="s">
        <v>111</v>
      </c>
      <c r="D2242" s="2" t="s">
        <v>112</v>
      </c>
      <c r="E2242" s="5">
        <v>-30573</v>
      </c>
      <c r="F2242" s="3" t="s">
        <v>840</v>
      </c>
      <c r="G2242" s="3" t="s">
        <v>184</v>
      </c>
      <c r="H2242" s="2" t="s">
        <v>21</v>
      </c>
      <c r="I2242" s="2" t="s">
        <v>5419</v>
      </c>
      <c r="J2242" s="3" t="str">
        <f>HYPERLINK("https://www.boe.es/gazeta/dias/1816/04/16/pdfs/GMD-1816-49.pdf#page=3","Abrir facsímil")</f>
        <v>Abrir facsímil</v>
      </c>
      <c r="K2242" s="3" t="s">
        <v>23</v>
      </c>
    </row>
    <row r="2243" spans="1:11" ht="42" customHeight="1">
      <c r="A2243" s="2" t="s">
        <v>5420</v>
      </c>
      <c r="B2243" s="2" t="s">
        <v>5420</v>
      </c>
      <c r="C2243" s="2" t="s">
        <v>34</v>
      </c>
      <c r="D2243" s="2" t="s">
        <v>35</v>
      </c>
      <c r="E2243" s="5">
        <v>-30426</v>
      </c>
      <c r="F2243" s="3" t="s">
        <v>779</v>
      </c>
      <c r="G2243" s="3" t="s">
        <v>270</v>
      </c>
      <c r="H2243" s="2" t="s">
        <v>21</v>
      </c>
      <c r="I2243" s="2" t="s">
        <v>5421</v>
      </c>
      <c r="J2243" s="3" t="str">
        <f>HYPERLINK("https://www.boe.es/gazeta/dias/1816/09/10/pdfs/GMD-1816-112.pdf#page=2","Abrir facsímil")</f>
        <v>Abrir facsímil</v>
      </c>
      <c r="K2243" s="3" t="s">
        <v>23</v>
      </c>
    </row>
    <row r="2244" spans="1:11" ht="42" customHeight="1">
      <c r="A2244" s="2" t="s">
        <v>5422</v>
      </c>
      <c r="B2244" s="2" t="s">
        <v>5423</v>
      </c>
      <c r="C2244" s="2" t="s">
        <v>34</v>
      </c>
      <c r="D2244" s="2" t="s">
        <v>35</v>
      </c>
      <c r="E2244" s="5">
        <v>-30611</v>
      </c>
      <c r="F2244" s="3" t="s">
        <v>211</v>
      </c>
      <c r="G2244" s="3" t="s">
        <v>47</v>
      </c>
      <c r="H2244" s="2" t="s">
        <v>21</v>
      </c>
      <c r="I2244" s="2" t="s">
        <v>5424</v>
      </c>
      <c r="J2244" s="3" t="str">
        <f>HYPERLINK("https://www.boe.es/gazeta/dias/1816/03/09/pdfs/GMD-1816-32.pdf#page=5","Abrir facsímil")</f>
        <v>Abrir facsímil</v>
      </c>
      <c r="K2244" s="3" t="s">
        <v>23</v>
      </c>
    </row>
    <row r="2245" spans="1:11" ht="42" customHeight="1">
      <c r="A2245" s="2" t="s">
        <v>5425</v>
      </c>
      <c r="B2245" s="2" t="s">
        <v>5426</v>
      </c>
      <c r="C2245" s="2" t="s">
        <v>26</v>
      </c>
      <c r="D2245" s="2" t="s">
        <v>18</v>
      </c>
      <c r="E2245" s="5">
        <v>-30655</v>
      </c>
      <c r="F2245" s="3" t="s">
        <v>170</v>
      </c>
      <c r="G2245" s="3" t="s">
        <v>72</v>
      </c>
      <c r="H2245" s="2" t="s">
        <v>21</v>
      </c>
      <c r="I2245" s="2" t="s">
        <v>5427</v>
      </c>
      <c r="J2245" s="3" t="str">
        <f>HYPERLINK("https://www.boe.es/gazeta/dias/1816/01/25/pdfs/GMD-1816-11.pdf#page=7","Abrir facsímil")</f>
        <v>Abrir facsímil</v>
      </c>
      <c r="K2245" s="3" t="s">
        <v>23</v>
      </c>
    </row>
    <row r="2246" spans="1:11" ht="42" customHeight="1">
      <c r="A2246" s="2" t="s">
        <v>5428</v>
      </c>
      <c r="B2246" s="2" t="s">
        <v>5429</v>
      </c>
      <c r="C2246" s="2" t="s">
        <v>26</v>
      </c>
      <c r="D2246" s="2" t="s">
        <v>18</v>
      </c>
      <c r="E2246" s="5">
        <v>-30431</v>
      </c>
      <c r="F2246" s="3" t="s">
        <v>756</v>
      </c>
      <c r="G2246" s="3" t="s">
        <v>72</v>
      </c>
      <c r="H2246" s="2" t="s">
        <v>21</v>
      </c>
      <c r="I2246" s="2" t="s">
        <v>5430</v>
      </c>
      <c r="J2246" s="3" t="str">
        <f>HYPERLINK("https://www.boe.es/gazeta/dias/1816/09/05/pdfs/GMD-1816-110.pdf#page=7","Abrir facsímil")</f>
        <v>Abrir facsímil</v>
      </c>
      <c r="K2246" s="3" t="s">
        <v>23</v>
      </c>
    </row>
    <row r="2247" spans="1:11" ht="42" customHeight="1">
      <c r="A2247" s="2" t="s">
        <v>5431</v>
      </c>
      <c r="B2247" s="2" t="s">
        <v>5432</v>
      </c>
      <c r="C2247" s="2" t="s">
        <v>26</v>
      </c>
      <c r="D2247" s="2" t="s">
        <v>18</v>
      </c>
      <c r="E2247" s="5">
        <v>-30508</v>
      </c>
      <c r="F2247" s="3" t="s">
        <v>36</v>
      </c>
      <c r="G2247" s="3" t="s">
        <v>42</v>
      </c>
      <c r="H2247" s="2" t="s">
        <v>21</v>
      </c>
      <c r="I2247" s="2" t="s">
        <v>5433</v>
      </c>
      <c r="J2247" s="3" t="str">
        <f>HYPERLINK("https://www.boe.es/gazeta/dias/1816/06/20/pdfs/GMD-1816-77.pdf#page=8","Abrir facsímil")</f>
        <v>Abrir facsímil</v>
      </c>
      <c r="K2247" s="3" t="s">
        <v>23</v>
      </c>
    </row>
    <row r="2248" spans="1:11" ht="42" customHeight="1">
      <c r="A2248" s="2" t="s">
        <v>5434</v>
      </c>
      <c r="B2248" s="2" t="s">
        <v>5434</v>
      </c>
      <c r="C2248" s="2" t="s">
        <v>34</v>
      </c>
      <c r="D2248" s="2" t="s">
        <v>35</v>
      </c>
      <c r="E2248" s="5">
        <v>-30513</v>
      </c>
      <c r="F2248" s="3" t="s">
        <v>582</v>
      </c>
      <c r="G2248" s="3" t="s">
        <v>1129</v>
      </c>
      <c r="H2248" s="2" t="s">
        <v>21</v>
      </c>
      <c r="I2248" s="2" t="s">
        <v>5435</v>
      </c>
      <c r="J2248" s="3" t="str">
        <f>HYPERLINK("https://www.boe.es/gazeta/dias/1816/06/15/pdfs/GMD-1816-75.pdf#page=4","Abrir facsímil")</f>
        <v>Abrir facsímil</v>
      </c>
      <c r="K2248" s="3" t="s">
        <v>23</v>
      </c>
    </row>
    <row r="2249" spans="1:11" ht="42" customHeight="1">
      <c r="A2249" s="2" t="s">
        <v>5436</v>
      </c>
      <c r="B2249" s="2" t="s">
        <v>5437</v>
      </c>
      <c r="C2249" s="2" t="s">
        <v>17</v>
      </c>
      <c r="D2249" s="2" t="s">
        <v>18</v>
      </c>
      <c r="E2249" s="5">
        <v>-30440</v>
      </c>
      <c r="F2249" s="3" t="s">
        <v>564</v>
      </c>
      <c r="G2249" s="3" t="s">
        <v>3188</v>
      </c>
      <c r="H2249" s="2" t="s">
        <v>21</v>
      </c>
      <c r="I2249" s="2" t="s">
        <v>5438</v>
      </c>
      <c r="J2249" s="3" t="str">
        <f>HYPERLINK("https://www.boe.es/gazeta/dias/1816/08/27/pdfs/GMD-1816-106.pdf#page=4","Abrir facsímil")</f>
        <v>Abrir facsímil</v>
      </c>
      <c r="K2249" s="3" t="s">
        <v>23</v>
      </c>
    </row>
    <row r="2250" spans="1:11" ht="42" customHeight="1">
      <c r="A2250" s="2" t="s">
        <v>5439</v>
      </c>
      <c r="B2250" s="2" t="s">
        <v>5440</v>
      </c>
      <c r="C2250" s="2" t="s">
        <v>41</v>
      </c>
      <c r="D2250" s="2" t="s">
        <v>18</v>
      </c>
      <c r="E2250" s="5">
        <v>-30494</v>
      </c>
      <c r="F2250" s="3" t="s">
        <v>174</v>
      </c>
      <c r="G2250" s="3" t="s">
        <v>175</v>
      </c>
      <c r="H2250" s="2" t="s">
        <v>21</v>
      </c>
      <c r="I2250" s="2" t="s">
        <v>5441</v>
      </c>
      <c r="J2250" s="3" t="str">
        <f>HYPERLINK("https://www.boe.es/gazeta/dias/1816/07/04/pdfs/GMD-1816-83.pdf#page=11","Abrir facsímil")</f>
        <v>Abrir facsímil</v>
      </c>
      <c r="K2250" s="3" t="s">
        <v>23</v>
      </c>
    </row>
    <row r="2251" spans="1:11" ht="42" customHeight="1">
      <c r="A2251" s="2" t="s">
        <v>5442</v>
      </c>
      <c r="B2251" s="2" t="s">
        <v>5442</v>
      </c>
      <c r="C2251" s="2" t="s">
        <v>26</v>
      </c>
      <c r="D2251" s="2" t="s">
        <v>18</v>
      </c>
      <c r="E2251" s="5">
        <v>-30625</v>
      </c>
      <c r="F2251" s="3" t="s">
        <v>631</v>
      </c>
      <c r="G2251" s="3" t="s">
        <v>42</v>
      </c>
      <c r="H2251" s="2" t="s">
        <v>21</v>
      </c>
      <c r="I2251" s="2" t="s">
        <v>5443</v>
      </c>
      <c r="J2251" s="3" t="str">
        <f>HYPERLINK("https://www.boe.es/gazeta/dias/1816/02/24/pdfs/GMD-1816-25.pdf#page=8","Abrir facsímil")</f>
        <v>Abrir facsímil</v>
      </c>
      <c r="K2251" s="3" t="s">
        <v>23</v>
      </c>
    </row>
    <row r="2252" spans="1:11" ht="42" customHeight="1">
      <c r="A2252" s="2" t="s">
        <v>5442</v>
      </c>
      <c r="B2252" s="2" t="s">
        <v>5442</v>
      </c>
      <c r="C2252" s="2" t="s">
        <v>111</v>
      </c>
      <c r="D2252" s="2" t="s">
        <v>112</v>
      </c>
      <c r="E2252" s="5">
        <v>-30557</v>
      </c>
      <c r="F2252" s="3" t="s">
        <v>508</v>
      </c>
      <c r="G2252" s="3" t="s">
        <v>103</v>
      </c>
      <c r="H2252" s="2" t="s">
        <v>21</v>
      </c>
      <c r="I2252" s="2" t="s">
        <v>5444</v>
      </c>
      <c r="J2252" s="3" t="str">
        <f>HYPERLINK("https://www.boe.es/gazeta/dias/1816/05/02/pdfs/GMD-1816-56.pdf#page=4","Abrir facsímil")</f>
        <v>Abrir facsímil</v>
      </c>
      <c r="K2252" s="3" t="s">
        <v>23</v>
      </c>
    </row>
    <row r="2253" spans="1:11" ht="42" customHeight="1">
      <c r="A2253" s="2" t="s">
        <v>5445</v>
      </c>
      <c r="B2253" s="2" t="s">
        <v>5446</v>
      </c>
      <c r="C2253" s="2" t="s">
        <v>111</v>
      </c>
      <c r="D2253" s="2" t="s">
        <v>112</v>
      </c>
      <c r="E2253" s="5">
        <v>-30655</v>
      </c>
      <c r="F2253" s="3" t="s">
        <v>170</v>
      </c>
      <c r="G2253" s="3" t="s">
        <v>72</v>
      </c>
      <c r="H2253" s="2" t="s">
        <v>21</v>
      </c>
      <c r="I2253" s="2" t="s">
        <v>5447</v>
      </c>
      <c r="J2253" s="3" t="str">
        <f>HYPERLINK("https://www.boe.es/gazeta/dias/1816/01/25/pdfs/GMD-1816-11.pdf#page=7","Abrir facsímil")</f>
        <v>Abrir facsímil</v>
      </c>
      <c r="K2253" s="3" t="s">
        <v>23</v>
      </c>
    </row>
    <row r="2254" spans="1:11" ht="42" customHeight="1">
      <c r="A2254" s="2" t="s">
        <v>5448</v>
      </c>
      <c r="B2254" s="2" t="s">
        <v>5448</v>
      </c>
      <c r="C2254" s="2" t="s">
        <v>34</v>
      </c>
      <c r="D2254" s="2" t="s">
        <v>35</v>
      </c>
      <c r="E2254" s="5">
        <v>-30317</v>
      </c>
      <c r="F2254" s="3" t="s">
        <v>1030</v>
      </c>
      <c r="G2254" s="3" t="s">
        <v>184</v>
      </c>
      <c r="H2254" s="2" t="s">
        <v>21</v>
      </c>
      <c r="I2254" s="2" t="s">
        <v>5449</v>
      </c>
      <c r="J2254" s="3" t="str">
        <f>HYPERLINK("https://www.boe.es/gazeta/dias/1816/12/28/pdfs/GMD-1816-161.pdf#page=3","Abrir facsímil")</f>
        <v>Abrir facsímil</v>
      </c>
      <c r="K2254" s="3" t="s">
        <v>23</v>
      </c>
    </row>
    <row r="2255" spans="1:11" ht="42" customHeight="1">
      <c r="A2255" s="2" t="s">
        <v>5450</v>
      </c>
      <c r="B2255" s="2" t="s">
        <v>5450</v>
      </c>
      <c r="C2255" s="2" t="s">
        <v>111</v>
      </c>
      <c r="D2255" s="2" t="s">
        <v>112</v>
      </c>
      <c r="E2255" s="5">
        <v>-30590</v>
      </c>
      <c r="F2255" s="3" t="s">
        <v>195</v>
      </c>
      <c r="G2255" s="3" t="s">
        <v>28</v>
      </c>
      <c r="H2255" s="2" t="s">
        <v>21</v>
      </c>
      <c r="I2255" s="2" t="s">
        <v>5451</v>
      </c>
      <c r="J2255" s="3" t="str">
        <f>HYPERLINK("https://www.boe.es/gazeta/dias/1816/03/30/pdfs/GMD-1816-42.pdf#page=6","Abrir facsímil")</f>
        <v>Abrir facsímil</v>
      </c>
      <c r="K2255" s="3" t="s">
        <v>23</v>
      </c>
    </row>
    <row r="2256" spans="1:11" ht="42" customHeight="1">
      <c r="A2256" s="2" t="s">
        <v>5452</v>
      </c>
      <c r="B2256" s="2" t="s">
        <v>5453</v>
      </c>
      <c r="C2256" s="2" t="s">
        <v>34</v>
      </c>
      <c r="D2256" s="2" t="s">
        <v>35</v>
      </c>
      <c r="E2256" s="5">
        <v>-30648</v>
      </c>
      <c r="F2256" s="3" t="s">
        <v>872</v>
      </c>
      <c r="G2256" s="3" t="s">
        <v>42</v>
      </c>
      <c r="H2256" s="2" t="s">
        <v>21</v>
      </c>
      <c r="I2256" s="2" t="s">
        <v>5454</v>
      </c>
      <c r="J2256" s="3" t="str">
        <f>HYPERLINK("https://www.boe.es/gazeta/dias/1816/02/01/pdfs/GMD-1816-15.pdf#page=8","Abrir facsímil")</f>
        <v>Abrir facsímil</v>
      </c>
      <c r="K2256" s="3" t="s">
        <v>23</v>
      </c>
    </row>
    <row r="2257" spans="1:11" ht="42" customHeight="1">
      <c r="A2257" s="2" t="s">
        <v>5455</v>
      </c>
      <c r="B2257" s="2" t="s">
        <v>5456</v>
      </c>
      <c r="C2257" s="2" t="s">
        <v>34</v>
      </c>
      <c r="D2257" s="2" t="s">
        <v>35</v>
      </c>
      <c r="E2257" s="5">
        <v>-30319</v>
      </c>
      <c r="F2257" s="3" t="s">
        <v>131</v>
      </c>
      <c r="G2257" s="3" t="s">
        <v>2122</v>
      </c>
      <c r="H2257" s="2" t="s">
        <v>29</v>
      </c>
      <c r="I2257" s="2" t="s">
        <v>5457</v>
      </c>
      <c r="J2257" s="3" t="str">
        <f>HYPERLINK("https://www.boe.es/gazeta/dias/1816/12/26/pdfs/GMD-1816-160.pdf#page=7","Abrir facsímil")</f>
        <v>Abrir facsímil</v>
      </c>
      <c r="K2257" s="3" t="s">
        <v>31</v>
      </c>
    </row>
    <row r="2258" spans="1:11" ht="42" customHeight="1">
      <c r="A2258" s="2" t="s">
        <v>5458</v>
      </c>
      <c r="B2258" s="2" t="s">
        <v>5459</v>
      </c>
      <c r="C2258" s="2" t="s">
        <v>111</v>
      </c>
      <c r="D2258" s="2" t="s">
        <v>112</v>
      </c>
      <c r="E2258" s="5">
        <v>-30660</v>
      </c>
      <c r="F2258" s="3" t="s">
        <v>809</v>
      </c>
      <c r="G2258" s="3" t="s">
        <v>810</v>
      </c>
      <c r="H2258" s="2" t="s">
        <v>21</v>
      </c>
      <c r="I2258" s="2" t="s">
        <v>5460</v>
      </c>
      <c r="J2258" s="3" t="str">
        <f>HYPERLINK("https://www.boe.es/gazeta/dias/1816/01/20/pdfs/GMD-1816-9.pdf#page=8","Abrir facsímil")</f>
        <v>Abrir facsímil</v>
      </c>
      <c r="K2258" s="3" t="s">
        <v>23</v>
      </c>
    </row>
    <row r="2259" spans="1:11" ht="42" customHeight="1">
      <c r="A2259" s="2" t="s">
        <v>5461</v>
      </c>
      <c r="B2259" s="2" t="s">
        <v>5462</v>
      </c>
      <c r="C2259" s="2" t="s">
        <v>81</v>
      </c>
      <c r="D2259" s="2" t="s">
        <v>18</v>
      </c>
      <c r="E2259" s="5">
        <v>-30552</v>
      </c>
      <c r="F2259" s="3" t="s">
        <v>1842</v>
      </c>
      <c r="G2259" s="3" t="s">
        <v>42</v>
      </c>
      <c r="H2259" s="2" t="s">
        <v>29</v>
      </c>
      <c r="I2259" s="2" t="s">
        <v>5463</v>
      </c>
      <c r="J2259" s="3" t="str">
        <f>HYPERLINK("https://www.boe.es/gazeta/dias/1816/05/07/pdfs/GMD-1816-58.pdf#page=8","Abrir facsímil")</f>
        <v>Abrir facsímil</v>
      </c>
      <c r="K2259" s="3" t="s">
        <v>31</v>
      </c>
    </row>
    <row r="2260" spans="1:11" ht="42" customHeight="1">
      <c r="A2260" s="2" t="s">
        <v>5464</v>
      </c>
      <c r="B2260" s="2" t="s">
        <v>5465</v>
      </c>
      <c r="C2260" s="2" t="s">
        <v>34</v>
      </c>
      <c r="D2260" s="2" t="s">
        <v>35</v>
      </c>
      <c r="E2260" s="5">
        <v>-30391</v>
      </c>
      <c r="F2260" s="3" t="s">
        <v>482</v>
      </c>
      <c r="G2260" s="3" t="s">
        <v>47</v>
      </c>
      <c r="H2260" s="2" t="s">
        <v>21</v>
      </c>
      <c r="I2260" s="2" t="s">
        <v>5466</v>
      </c>
      <c r="J2260" s="3" t="str">
        <f>HYPERLINK("https://www.boe.es/gazeta/dias/1816/10/15/pdfs/GMD-1816-129.pdf#page=5","Abrir facsímil")</f>
        <v>Abrir facsímil</v>
      </c>
      <c r="K2260" s="3" t="s">
        <v>23</v>
      </c>
    </row>
    <row r="2261" spans="1:11" ht="42" customHeight="1">
      <c r="A2261" s="2" t="s">
        <v>5467</v>
      </c>
      <c r="B2261" s="2" t="s">
        <v>5468</v>
      </c>
      <c r="C2261" s="2" t="s">
        <v>67</v>
      </c>
      <c r="D2261" s="2" t="s">
        <v>18</v>
      </c>
      <c r="E2261" s="5">
        <v>-30667</v>
      </c>
      <c r="F2261" s="3" t="s">
        <v>659</v>
      </c>
      <c r="G2261" s="3" t="s">
        <v>1733</v>
      </c>
      <c r="H2261" s="2" t="s">
        <v>21</v>
      </c>
      <c r="I2261" s="2" t="s">
        <v>5469</v>
      </c>
      <c r="J2261" s="3" t="str">
        <f>HYPERLINK("https://www.boe.es/gazeta/dias/1816/01/13/pdfs/GMD-1816-6.pdf#page=7","Abrir facsímil")</f>
        <v>Abrir facsímil</v>
      </c>
      <c r="K2261" s="3" t="s">
        <v>23</v>
      </c>
    </row>
    <row r="2262" spans="1:11" ht="42" customHeight="1">
      <c r="A2262" s="2" t="s">
        <v>5470</v>
      </c>
      <c r="B2262" s="2" t="s">
        <v>5470</v>
      </c>
      <c r="C2262" s="2" t="s">
        <v>34</v>
      </c>
      <c r="D2262" s="2" t="s">
        <v>35</v>
      </c>
      <c r="E2262" s="5">
        <v>-30513</v>
      </c>
      <c r="F2262" s="3" t="s">
        <v>582</v>
      </c>
      <c r="G2262" s="3" t="s">
        <v>47</v>
      </c>
      <c r="H2262" s="2" t="s">
        <v>21</v>
      </c>
      <c r="I2262" s="2" t="s">
        <v>5471</v>
      </c>
      <c r="J2262" s="3" t="str">
        <f>HYPERLINK("https://www.boe.es/gazeta/dias/1816/06/15/pdfs/GMD-1816-75.pdf#page=5","Abrir facsímil")</f>
        <v>Abrir facsímil</v>
      </c>
      <c r="K2262" s="3" t="s">
        <v>23</v>
      </c>
    </row>
    <row r="2263" spans="1:11" ht="42" customHeight="1">
      <c r="A2263" s="2" t="s">
        <v>5472</v>
      </c>
      <c r="B2263" s="2" t="s">
        <v>5473</v>
      </c>
      <c r="C2263" s="2" t="s">
        <v>41</v>
      </c>
      <c r="D2263" s="2" t="s">
        <v>18</v>
      </c>
      <c r="E2263" s="5">
        <v>-30671</v>
      </c>
      <c r="F2263" s="3" t="s">
        <v>2049</v>
      </c>
      <c r="G2263" s="3" t="s">
        <v>47</v>
      </c>
      <c r="H2263" s="2" t="s">
        <v>21</v>
      </c>
      <c r="I2263" s="2" t="s">
        <v>5474</v>
      </c>
      <c r="J2263" s="3" t="str">
        <f>HYPERLINK("https://www.boe.es/gazeta/dias/1816/01/09/pdfs/GMD-1816-4.pdf#page=5","Abrir facsímil")</f>
        <v>Abrir facsímil</v>
      </c>
      <c r="K2263" s="3" t="s">
        <v>23</v>
      </c>
    </row>
    <row r="2264" spans="1:11" ht="42" customHeight="1">
      <c r="A2264" s="2" t="s">
        <v>5475</v>
      </c>
      <c r="B2264" s="2" t="s">
        <v>5476</v>
      </c>
      <c r="C2264" s="2" t="s">
        <v>41</v>
      </c>
      <c r="D2264" s="2" t="s">
        <v>18</v>
      </c>
      <c r="E2264" s="5">
        <v>-30494</v>
      </c>
      <c r="F2264" s="3" t="s">
        <v>174</v>
      </c>
      <c r="G2264" s="3" t="s">
        <v>175</v>
      </c>
      <c r="H2264" s="2" t="s">
        <v>21</v>
      </c>
      <c r="I2264" s="2" t="s">
        <v>5477</v>
      </c>
      <c r="J2264" s="3" t="str">
        <f>HYPERLINK("https://www.boe.es/gazeta/dias/1816/07/04/pdfs/GMD-1816-83.pdf#page=11","Abrir facsímil")</f>
        <v>Abrir facsímil</v>
      </c>
      <c r="K2264" s="3" t="s">
        <v>23</v>
      </c>
    </row>
    <row r="2265" spans="1:11" ht="42" customHeight="1">
      <c r="A2265" s="2" t="s">
        <v>5478</v>
      </c>
      <c r="B2265" s="2" t="s">
        <v>5479</v>
      </c>
      <c r="C2265" s="2" t="s">
        <v>34</v>
      </c>
      <c r="D2265" s="2" t="s">
        <v>56</v>
      </c>
      <c r="E2265" s="5">
        <v>-30393</v>
      </c>
      <c r="F2265" s="3" t="s">
        <v>202</v>
      </c>
      <c r="G2265" s="3" t="s">
        <v>184</v>
      </c>
      <c r="H2265" s="2" t="s">
        <v>21</v>
      </c>
      <c r="I2265" s="2" t="s">
        <v>5480</v>
      </c>
      <c r="J2265" s="3" t="str">
        <f>HYPERLINK("https://www.boe.es/gazeta/dias/1816/10/13/pdfs/GMD-1816-128E.pdf#page=3","Abrir facsímil")</f>
        <v>Abrir facsímil</v>
      </c>
      <c r="K2265" s="3" t="s">
        <v>23</v>
      </c>
    </row>
    <row r="2266" spans="1:11" ht="42" customHeight="1">
      <c r="A2266" s="2" t="s">
        <v>5481</v>
      </c>
      <c r="B2266" s="2" t="s">
        <v>5482</v>
      </c>
      <c r="C2266" s="2" t="s">
        <v>34</v>
      </c>
      <c r="D2266" s="2" t="s">
        <v>35</v>
      </c>
      <c r="E2266" s="5">
        <v>-30380</v>
      </c>
      <c r="F2266" s="3" t="s">
        <v>819</v>
      </c>
      <c r="G2266" s="3" t="s">
        <v>42</v>
      </c>
      <c r="H2266" s="2" t="s">
        <v>21</v>
      </c>
      <c r="I2266" s="2" t="s">
        <v>5483</v>
      </c>
      <c r="J2266" s="3" t="str">
        <f>HYPERLINK("https://www.boe.es/gazeta/dias/1816/10/26/pdfs/GMD-1816-134.pdf#page=8","Abrir facsímil")</f>
        <v>Abrir facsímil</v>
      </c>
      <c r="K2266" s="3" t="s">
        <v>23</v>
      </c>
    </row>
    <row r="2267" spans="1:11" ht="42" customHeight="1">
      <c r="A2267" s="2" t="s">
        <v>5481</v>
      </c>
      <c r="B2267" s="2" t="s">
        <v>5482</v>
      </c>
      <c r="C2267" s="2" t="s">
        <v>34</v>
      </c>
      <c r="D2267" s="2" t="s">
        <v>35</v>
      </c>
      <c r="E2267" s="5">
        <v>-30338</v>
      </c>
      <c r="F2267" s="3" t="s">
        <v>464</v>
      </c>
      <c r="G2267" s="3" t="s">
        <v>42</v>
      </c>
      <c r="H2267" s="2" t="s">
        <v>21</v>
      </c>
      <c r="I2267" s="2" t="s">
        <v>5484</v>
      </c>
      <c r="J2267" s="3" t="str">
        <f>HYPERLINK("https://www.boe.es/gazeta/dias/1816/12/07/pdfs/GMD-1816-152.pdf#page=8","Abrir facsímil")</f>
        <v>Abrir facsímil</v>
      </c>
      <c r="K2267" s="3" t="s">
        <v>23</v>
      </c>
    </row>
    <row r="2268" spans="1:11" ht="42" customHeight="1">
      <c r="A2268" s="2" t="s">
        <v>5485</v>
      </c>
      <c r="B2268" s="2" t="s">
        <v>5486</v>
      </c>
      <c r="C2268" s="2" t="s">
        <v>111</v>
      </c>
      <c r="D2268" s="2" t="s">
        <v>112</v>
      </c>
      <c r="E2268" s="5">
        <v>-30331</v>
      </c>
      <c r="F2268" s="3" t="s">
        <v>315</v>
      </c>
      <c r="G2268" s="3" t="s">
        <v>47</v>
      </c>
      <c r="H2268" s="2" t="s">
        <v>29</v>
      </c>
      <c r="I2268" s="2" t="s">
        <v>5487</v>
      </c>
      <c r="J2268" s="3" t="str">
        <f>HYPERLINK("https://www.boe.es/gazeta/dias/1816/12/14/pdfs/GMD-1816-155.pdf#page=5","Abrir facsímil")</f>
        <v>Abrir facsímil</v>
      </c>
      <c r="K2268" s="3" t="s">
        <v>31</v>
      </c>
    </row>
    <row r="2269" spans="1:11" ht="42" customHeight="1">
      <c r="A2269" s="2" t="s">
        <v>5488</v>
      </c>
      <c r="B2269" s="2" t="s">
        <v>5489</v>
      </c>
      <c r="C2269" s="2" t="s">
        <v>387</v>
      </c>
      <c r="D2269" s="2" t="s">
        <v>18</v>
      </c>
      <c r="E2269" s="5">
        <v>-30424</v>
      </c>
      <c r="F2269" s="3" t="s">
        <v>142</v>
      </c>
      <c r="G2269" s="3" t="s">
        <v>175</v>
      </c>
      <c r="H2269" s="2" t="s">
        <v>21</v>
      </c>
      <c r="I2269" s="2" t="s">
        <v>5490</v>
      </c>
      <c r="J2269" s="3" t="str">
        <f>HYPERLINK("https://www.boe.es/gazeta/dias/1816/09/12/pdfs/GMD-1816-113.pdf#page=11","Abrir facsímil")</f>
        <v>Abrir facsímil</v>
      </c>
      <c r="K2269" s="3" t="s">
        <v>23</v>
      </c>
    </row>
    <row r="2270" spans="1:11" ht="42" customHeight="1">
      <c r="A2270" s="2" t="s">
        <v>5491</v>
      </c>
      <c r="B2270" s="2" t="s">
        <v>5492</v>
      </c>
      <c r="C2270" s="2" t="s">
        <v>111</v>
      </c>
      <c r="D2270" s="2" t="s">
        <v>112</v>
      </c>
      <c r="E2270" s="5">
        <v>-30429</v>
      </c>
      <c r="F2270" s="3" t="s">
        <v>598</v>
      </c>
      <c r="G2270" s="3" t="s">
        <v>103</v>
      </c>
      <c r="H2270" s="2" t="s">
        <v>21</v>
      </c>
      <c r="I2270" s="2" t="s">
        <v>5493</v>
      </c>
      <c r="J2270" s="3" t="str">
        <f>HYPERLINK("https://www.boe.es/gazeta/dias/1816/09/07/pdfs/GMD-1816-111.pdf#page=4","Abrir facsímil")</f>
        <v>Abrir facsímil</v>
      </c>
      <c r="K2270" s="3" t="s">
        <v>23</v>
      </c>
    </row>
    <row r="2271" spans="1:11" ht="42" customHeight="1">
      <c r="A2271" s="2" t="s">
        <v>5494</v>
      </c>
      <c r="B2271" s="2" t="s">
        <v>5495</v>
      </c>
      <c r="C2271" s="2" t="s">
        <v>26</v>
      </c>
      <c r="D2271" s="2" t="s">
        <v>18</v>
      </c>
      <c r="E2271" s="5">
        <v>-30445</v>
      </c>
      <c r="F2271" s="3" t="s">
        <v>51</v>
      </c>
      <c r="G2271" s="3" t="s">
        <v>47</v>
      </c>
      <c r="H2271" s="2" t="s">
        <v>21</v>
      </c>
      <c r="I2271" s="2" t="s">
        <v>5496</v>
      </c>
      <c r="J2271" s="3" t="str">
        <f>HYPERLINK("https://www.boe.es/gazeta/dias/1816/08/22/pdfs/GMD-1816-104.pdf#page=5","Abrir facsímil")</f>
        <v>Abrir facsímil</v>
      </c>
      <c r="K2271" s="3" t="s">
        <v>23</v>
      </c>
    </row>
    <row r="2272" spans="1:11" ht="42" customHeight="1">
      <c r="A2272" s="2" t="s">
        <v>5494</v>
      </c>
      <c r="B2272" s="2" t="s">
        <v>5495</v>
      </c>
      <c r="C2272" s="2" t="s">
        <v>26</v>
      </c>
      <c r="D2272" s="2" t="s">
        <v>18</v>
      </c>
      <c r="E2272" s="5">
        <v>-30354</v>
      </c>
      <c r="F2272" s="3" t="s">
        <v>68</v>
      </c>
      <c r="G2272" s="3" t="s">
        <v>42</v>
      </c>
      <c r="H2272" s="2" t="s">
        <v>21</v>
      </c>
      <c r="I2272" s="2" t="s">
        <v>5497</v>
      </c>
      <c r="J2272" s="3" t="str">
        <f>HYPERLINK("https://www.boe.es/gazeta/dias/1816/11/21/pdfs/GMD-1816-145.pdf#page=8","Abrir facsímil")</f>
        <v>Abrir facsímil</v>
      </c>
      <c r="K2272" s="3" t="s">
        <v>23</v>
      </c>
    </row>
    <row r="2273" spans="1:11" ht="42" customHeight="1">
      <c r="A2273" s="2" t="s">
        <v>5498</v>
      </c>
      <c r="B2273" s="2" t="s">
        <v>5499</v>
      </c>
      <c r="C2273" s="2" t="s">
        <v>34</v>
      </c>
      <c r="D2273" s="2" t="s">
        <v>56</v>
      </c>
      <c r="E2273" s="5">
        <v>-30393</v>
      </c>
      <c r="F2273" s="3" t="s">
        <v>202</v>
      </c>
      <c r="G2273" s="3" t="s">
        <v>270</v>
      </c>
      <c r="H2273" s="2" t="s">
        <v>21</v>
      </c>
      <c r="I2273" s="2" t="s">
        <v>5500</v>
      </c>
      <c r="J2273" s="3" t="str">
        <f>HYPERLINK("https://www.boe.es/gazeta/dias/1816/10/13/pdfs/GMD-1816-128E.pdf#page=2","Abrir facsímil")</f>
        <v>Abrir facsímil</v>
      </c>
      <c r="K2273" s="3" t="s">
        <v>23</v>
      </c>
    </row>
    <row r="2274" spans="1:11" ht="42" customHeight="1">
      <c r="A2274" s="2" t="s">
        <v>5501</v>
      </c>
      <c r="B2274" s="2" t="s">
        <v>5502</v>
      </c>
      <c r="C2274" s="2" t="s">
        <v>34</v>
      </c>
      <c r="D2274" s="2" t="s">
        <v>35</v>
      </c>
      <c r="E2274" s="5">
        <v>-30391</v>
      </c>
      <c r="F2274" s="3" t="s">
        <v>482</v>
      </c>
      <c r="G2274" s="3" t="s">
        <v>72</v>
      </c>
      <c r="H2274" s="2" t="s">
        <v>21</v>
      </c>
      <c r="I2274" s="2" t="s">
        <v>5503</v>
      </c>
      <c r="J2274" s="3" t="str">
        <f>HYPERLINK("https://www.boe.es/gazeta/dias/1816/10/15/pdfs/GMD-1816-129.pdf#page=7","Abrir facsímil")</f>
        <v>Abrir facsímil</v>
      </c>
      <c r="K2274" s="3" t="s">
        <v>23</v>
      </c>
    </row>
    <row r="2275" spans="1:11" ht="42" customHeight="1">
      <c r="A2275" s="2" t="s">
        <v>5504</v>
      </c>
      <c r="B2275" s="2" t="s">
        <v>5505</v>
      </c>
      <c r="C2275" s="2" t="s">
        <v>26</v>
      </c>
      <c r="D2275" s="2" t="s">
        <v>18</v>
      </c>
      <c r="E2275" s="5">
        <v>-30370</v>
      </c>
      <c r="F2275" s="3" t="s">
        <v>669</v>
      </c>
      <c r="G2275" s="3" t="s">
        <v>47</v>
      </c>
      <c r="H2275" s="2" t="s">
        <v>21</v>
      </c>
      <c r="I2275" s="2" t="s">
        <v>5506</v>
      </c>
      <c r="J2275" s="3" t="str">
        <f>HYPERLINK("https://www.boe.es/gazeta/dias/1816/11/05/pdfs/GMD-1816-138.pdf#page=5","Abrir facsímil")</f>
        <v>Abrir facsímil</v>
      </c>
      <c r="K2275" s="3" t="s">
        <v>23</v>
      </c>
    </row>
    <row r="2276" spans="1:11" ht="42" customHeight="1">
      <c r="A2276" s="2" t="s">
        <v>5507</v>
      </c>
      <c r="B2276" s="2" t="s">
        <v>5508</v>
      </c>
      <c r="C2276" s="2" t="s">
        <v>26</v>
      </c>
      <c r="D2276" s="2" t="s">
        <v>18</v>
      </c>
      <c r="E2276" s="5">
        <v>-30646</v>
      </c>
      <c r="F2276" s="3" t="s">
        <v>615</v>
      </c>
      <c r="G2276" s="3" t="s">
        <v>28</v>
      </c>
      <c r="H2276" s="2" t="s">
        <v>21</v>
      </c>
      <c r="I2276" s="2" t="s">
        <v>5509</v>
      </c>
      <c r="J2276" s="3" t="str">
        <f>HYPERLINK("https://www.boe.es/gazeta/dias/1816/02/03/pdfs/GMD-1816-16.pdf#page=6","Abrir facsímil")</f>
        <v>Abrir facsímil</v>
      </c>
      <c r="K2276" s="3" t="s">
        <v>23</v>
      </c>
    </row>
    <row r="2277" spans="1:11" ht="42" customHeight="1">
      <c r="A2277" s="2" t="s">
        <v>5510</v>
      </c>
      <c r="B2277" s="2" t="s">
        <v>5511</v>
      </c>
      <c r="C2277" s="2" t="s">
        <v>111</v>
      </c>
      <c r="D2277" s="2" t="s">
        <v>112</v>
      </c>
      <c r="E2277" s="5">
        <v>-30384</v>
      </c>
      <c r="F2277" s="3" t="s">
        <v>460</v>
      </c>
      <c r="G2277" s="3" t="s">
        <v>103</v>
      </c>
      <c r="H2277" s="2" t="s">
        <v>21</v>
      </c>
      <c r="I2277" s="2" t="s">
        <v>5512</v>
      </c>
      <c r="J2277" s="3" t="str">
        <f>HYPERLINK("https://www.boe.es/gazeta/dias/1816/10/22/pdfs/GMD-1816-132.pdf#page=4","Abrir facsímil")</f>
        <v>Abrir facsímil</v>
      </c>
      <c r="K2277" s="3" t="s">
        <v>23</v>
      </c>
    </row>
    <row r="2278" spans="1:11" ht="42" customHeight="1">
      <c r="A2278" s="2" t="s">
        <v>5513</v>
      </c>
      <c r="B2278" s="2" t="s">
        <v>5514</v>
      </c>
      <c r="C2278" s="2" t="s">
        <v>34</v>
      </c>
      <c r="D2278" s="2" t="s">
        <v>35</v>
      </c>
      <c r="E2278" s="5">
        <v>-30657</v>
      </c>
      <c r="F2278" s="3" t="s">
        <v>899</v>
      </c>
      <c r="G2278" s="3" t="s">
        <v>5515</v>
      </c>
      <c r="H2278" s="2" t="s">
        <v>21</v>
      </c>
      <c r="I2278" s="2" t="s">
        <v>5516</v>
      </c>
      <c r="J2278" s="3" t="str">
        <f>HYPERLINK("https://www.boe.es/gazeta/dias/1816/01/23/pdfs/GMD-1816-10.pdf#page=4","Abrir facsímil")</f>
        <v>Abrir facsímil</v>
      </c>
      <c r="K2278" s="3" t="s">
        <v>23</v>
      </c>
    </row>
    <row r="2279" spans="1:11" ht="42" customHeight="1">
      <c r="A2279" s="2" t="s">
        <v>5517</v>
      </c>
      <c r="B2279" s="2" t="s">
        <v>5518</v>
      </c>
      <c r="C2279" s="2" t="s">
        <v>26</v>
      </c>
      <c r="D2279" s="2" t="s">
        <v>18</v>
      </c>
      <c r="E2279" s="5">
        <v>-30485</v>
      </c>
      <c r="F2279" s="3" t="s">
        <v>156</v>
      </c>
      <c r="G2279" s="3" t="s">
        <v>2846</v>
      </c>
      <c r="H2279" s="2" t="s">
        <v>21</v>
      </c>
      <c r="I2279" s="2" t="s">
        <v>5519</v>
      </c>
      <c r="J2279" s="3" t="str">
        <f>HYPERLINK("https://www.boe.es/gazeta/dias/1816/07/13/pdfs/GMD-1816-87.pdf#page=7","Abrir facsímil")</f>
        <v>Abrir facsímil</v>
      </c>
      <c r="K2279" s="3" t="s">
        <v>23</v>
      </c>
    </row>
    <row r="2280" spans="1:11" ht="42" customHeight="1">
      <c r="A2280" s="2" t="s">
        <v>5517</v>
      </c>
      <c r="B2280" s="2" t="s">
        <v>5518</v>
      </c>
      <c r="C2280" s="2" t="s">
        <v>26</v>
      </c>
      <c r="D2280" s="2" t="s">
        <v>18</v>
      </c>
      <c r="E2280" s="5">
        <v>-30485</v>
      </c>
      <c r="F2280" s="3" t="s">
        <v>156</v>
      </c>
      <c r="G2280" s="3" t="s">
        <v>28</v>
      </c>
      <c r="H2280" s="2" t="s">
        <v>21</v>
      </c>
      <c r="I2280" s="2" t="s">
        <v>5520</v>
      </c>
      <c r="J2280" s="3" t="str">
        <f>HYPERLINK("https://www.boe.es/gazeta/dias/1816/07/13/pdfs/GMD-1816-87.pdf#page=6","Abrir facsímil")</f>
        <v>Abrir facsímil</v>
      </c>
      <c r="K2280" s="3" t="s">
        <v>23</v>
      </c>
    </row>
    <row r="2281" spans="1:11" ht="42" customHeight="1">
      <c r="A2281" s="2" t="s">
        <v>5521</v>
      </c>
      <c r="B2281" s="2" t="s">
        <v>5522</v>
      </c>
      <c r="C2281" s="2" t="s">
        <v>34</v>
      </c>
      <c r="D2281" s="2" t="s">
        <v>35</v>
      </c>
      <c r="E2281" s="5">
        <v>-30492</v>
      </c>
      <c r="F2281" s="3" t="s">
        <v>248</v>
      </c>
      <c r="G2281" s="3" t="s">
        <v>28</v>
      </c>
      <c r="H2281" s="2" t="s">
        <v>21</v>
      </c>
      <c r="I2281" s="2" t="s">
        <v>5523</v>
      </c>
      <c r="J2281" s="3" t="str">
        <f>HYPERLINK("https://www.boe.es/gazeta/dias/1816/07/06/pdfs/GMD-1816-84.pdf#page=6","Abrir facsímil")</f>
        <v>Abrir facsímil</v>
      </c>
      <c r="K2281" s="3" t="s">
        <v>23</v>
      </c>
    </row>
    <row r="2282" spans="1:11" ht="42" customHeight="1">
      <c r="A2282" s="2" t="s">
        <v>5524</v>
      </c>
      <c r="B2282" s="2" t="s">
        <v>5525</v>
      </c>
      <c r="C2282" s="2" t="s">
        <v>34</v>
      </c>
      <c r="D2282" s="2" t="s">
        <v>35</v>
      </c>
      <c r="E2282" s="5">
        <v>-30634</v>
      </c>
      <c r="F2282" s="3" t="s">
        <v>1104</v>
      </c>
      <c r="G2282" s="3" t="s">
        <v>103</v>
      </c>
      <c r="H2282" s="2" t="s">
        <v>21</v>
      </c>
      <c r="I2282" s="2" t="s">
        <v>5526</v>
      </c>
      <c r="J2282" s="3" t="str">
        <f>HYPERLINK("https://www.boe.es/gazeta/dias/1816/02/15/pdfs/GMD-1816-21.pdf#page=4","Abrir facsímil")</f>
        <v>Abrir facsímil</v>
      </c>
      <c r="K2282" s="3" t="s">
        <v>23</v>
      </c>
    </row>
    <row r="2283" spans="1:11" ht="42" customHeight="1">
      <c r="A2283" s="2" t="s">
        <v>5527</v>
      </c>
      <c r="B2283" s="2" t="s">
        <v>5528</v>
      </c>
      <c r="C2283" s="2" t="s">
        <v>26</v>
      </c>
      <c r="D2283" s="2" t="s">
        <v>18</v>
      </c>
      <c r="E2283" s="5">
        <v>-30387</v>
      </c>
      <c r="F2283" s="3" t="s">
        <v>224</v>
      </c>
      <c r="G2283" s="3" t="s">
        <v>28</v>
      </c>
      <c r="H2283" s="2" t="s">
        <v>21</v>
      </c>
      <c r="I2283" s="2" t="s">
        <v>5529</v>
      </c>
      <c r="J2283" s="3" t="str">
        <f>HYPERLINK("https://www.boe.es/gazeta/dias/1816/10/19/pdfs/GMD-1816-131.pdf#page=6","Abrir facsímil")</f>
        <v>Abrir facsímil</v>
      </c>
      <c r="K2283" s="3" t="s">
        <v>23</v>
      </c>
    </row>
    <row r="2284" spans="1:11" ht="42" customHeight="1">
      <c r="A2284" s="2" t="s">
        <v>5530</v>
      </c>
      <c r="B2284" s="2" t="s">
        <v>5531</v>
      </c>
      <c r="C2284" s="2" t="s">
        <v>17</v>
      </c>
      <c r="D2284" s="2" t="s">
        <v>18</v>
      </c>
      <c r="E2284" s="5">
        <v>-30573</v>
      </c>
      <c r="F2284" s="3" t="s">
        <v>840</v>
      </c>
      <c r="G2284" s="3" t="s">
        <v>42</v>
      </c>
      <c r="H2284" s="2" t="s">
        <v>21</v>
      </c>
      <c r="I2284" s="2" t="s">
        <v>5532</v>
      </c>
      <c r="J2284" s="3" t="str">
        <f>HYPERLINK("https://www.boe.es/gazeta/dias/1816/04/16/pdfs/GMD-1816-49.pdf#page=8","Abrir facsímil")</f>
        <v>Abrir facsímil</v>
      </c>
      <c r="K2284" s="3" t="s">
        <v>23</v>
      </c>
    </row>
    <row r="2285" spans="1:11" ht="42" customHeight="1">
      <c r="A2285" s="2" t="s">
        <v>5533</v>
      </c>
      <c r="B2285" s="2" t="s">
        <v>5534</v>
      </c>
      <c r="C2285" s="2" t="s">
        <v>81</v>
      </c>
      <c r="D2285" s="2" t="s">
        <v>18</v>
      </c>
      <c r="E2285" s="5">
        <v>-30328</v>
      </c>
      <c r="F2285" s="3" t="s">
        <v>573</v>
      </c>
      <c r="G2285" s="3" t="s">
        <v>5535</v>
      </c>
      <c r="H2285" s="2" t="s">
        <v>21</v>
      </c>
      <c r="I2285" s="2" t="s">
        <v>5536</v>
      </c>
      <c r="J2285" s="3" t="str">
        <f>HYPERLINK("https://www.boe.es/gazeta/dias/1816/12/17/pdfs/GMD-1816-156.pdf#page=7","Abrir facsímil")</f>
        <v>Abrir facsímil</v>
      </c>
      <c r="K2285" s="3" t="s">
        <v>23</v>
      </c>
    </row>
    <row r="2286" spans="1:11" ht="42" customHeight="1">
      <c r="A2286" s="2" t="s">
        <v>5537</v>
      </c>
      <c r="B2286" s="2" t="s">
        <v>5538</v>
      </c>
      <c r="C2286" s="2" t="s">
        <v>34</v>
      </c>
      <c r="D2286" s="2" t="s">
        <v>35</v>
      </c>
      <c r="E2286" s="5">
        <v>-30529</v>
      </c>
      <c r="F2286" s="3" t="s">
        <v>432</v>
      </c>
      <c r="G2286" s="3" t="s">
        <v>28</v>
      </c>
      <c r="H2286" s="2" t="s">
        <v>21</v>
      </c>
      <c r="I2286" s="2" t="s">
        <v>5539</v>
      </c>
      <c r="J2286" s="3" t="str">
        <f>HYPERLINK("https://www.boe.es/gazeta/dias/1816/05/30/pdfs/GMD-1816-68.pdf#page=6","Abrir facsímil")</f>
        <v>Abrir facsímil</v>
      </c>
      <c r="K2286" s="3" t="s">
        <v>23</v>
      </c>
    </row>
    <row r="2287" spans="1:11" ht="42" customHeight="1">
      <c r="A2287" s="2" t="s">
        <v>5540</v>
      </c>
      <c r="B2287" s="2" t="s">
        <v>5541</v>
      </c>
      <c r="C2287" s="2" t="s">
        <v>111</v>
      </c>
      <c r="D2287" s="2" t="s">
        <v>112</v>
      </c>
      <c r="E2287" s="5">
        <v>-30431</v>
      </c>
      <c r="F2287" s="3" t="s">
        <v>756</v>
      </c>
      <c r="G2287" s="3" t="s">
        <v>72</v>
      </c>
      <c r="H2287" s="2" t="s">
        <v>21</v>
      </c>
      <c r="I2287" s="2" t="s">
        <v>5542</v>
      </c>
      <c r="J2287" s="3" t="str">
        <f>HYPERLINK("https://www.boe.es/gazeta/dias/1816/09/05/pdfs/GMD-1816-110.pdf#page=7","Abrir facsímil")</f>
        <v>Abrir facsímil</v>
      </c>
      <c r="K2287" s="3" t="s">
        <v>23</v>
      </c>
    </row>
    <row r="2288" spans="1:11" ht="42" customHeight="1">
      <c r="A2288" s="2" t="s">
        <v>5543</v>
      </c>
      <c r="B2288" s="2" t="s">
        <v>5544</v>
      </c>
      <c r="C2288" s="2" t="s">
        <v>34</v>
      </c>
      <c r="D2288" s="2" t="s">
        <v>35</v>
      </c>
      <c r="E2288" s="5">
        <v>-30387</v>
      </c>
      <c r="F2288" s="3" t="s">
        <v>224</v>
      </c>
      <c r="G2288" s="3" t="s">
        <v>28</v>
      </c>
      <c r="H2288" s="2" t="s">
        <v>21</v>
      </c>
      <c r="I2288" s="2" t="s">
        <v>5545</v>
      </c>
      <c r="J2288" s="3" t="str">
        <f>HYPERLINK("https://www.boe.es/gazeta/dias/1816/10/19/pdfs/GMD-1816-131.pdf#page=6","Abrir facsímil")</f>
        <v>Abrir facsímil</v>
      </c>
      <c r="K2288" s="3" t="s">
        <v>23</v>
      </c>
    </row>
    <row r="2289" spans="1:11" ht="42" customHeight="1">
      <c r="A2289" s="2" t="s">
        <v>5546</v>
      </c>
      <c r="B2289" s="2" t="s">
        <v>5547</v>
      </c>
      <c r="C2289" s="2" t="s">
        <v>26</v>
      </c>
      <c r="D2289" s="2" t="s">
        <v>18</v>
      </c>
      <c r="E2289" s="5">
        <v>-30387</v>
      </c>
      <c r="F2289" s="3" t="s">
        <v>224</v>
      </c>
      <c r="G2289" s="3" t="s">
        <v>28</v>
      </c>
      <c r="H2289" s="2" t="s">
        <v>21</v>
      </c>
      <c r="I2289" s="2" t="s">
        <v>5548</v>
      </c>
      <c r="J2289" s="3" t="str">
        <f>HYPERLINK("https://www.boe.es/gazeta/dias/1816/10/19/pdfs/GMD-1816-131.pdf#page=6","Abrir facsímil")</f>
        <v>Abrir facsímil</v>
      </c>
      <c r="K2289" s="3" t="s">
        <v>23</v>
      </c>
    </row>
    <row r="2290" spans="1:11" ht="42" customHeight="1">
      <c r="A2290" s="2" t="s">
        <v>5549</v>
      </c>
      <c r="B2290" s="2" t="s">
        <v>5550</v>
      </c>
      <c r="C2290" s="2" t="s">
        <v>111</v>
      </c>
      <c r="D2290" s="2" t="s">
        <v>112</v>
      </c>
      <c r="E2290" s="5">
        <v>-30473</v>
      </c>
      <c r="F2290" s="3" t="s">
        <v>336</v>
      </c>
      <c r="G2290" s="3" t="s">
        <v>47</v>
      </c>
      <c r="H2290" s="2" t="s">
        <v>21</v>
      </c>
      <c r="I2290" s="2" t="s">
        <v>5551</v>
      </c>
      <c r="J2290" s="3" t="str">
        <f>HYPERLINK("https://www.boe.es/gazeta/dias/1816/07/25/pdfs/GMD-1816-92.pdf#page=5","Abrir facsímil")</f>
        <v>Abrir facsímil</v>
      </c>
      <c r="K2290" s="3" t="s">
        <v>23</v>
      </c>
    </row>
    <row r="2291" spans="1:11" ht="42" customHeight="1">
      <c r="A2291" s="2" t="s">
        <v>5549</v>
      </c>
      <c r="B2291" s="2" t="s">
        <v>5550</v>
      </c>
      <c r="C2291" s="2" t="s">
        <v>34</v>
      </c>
      <c r="D2291" s="2" t="s">
        <v>35</v>
      </c>
      <c r="E2291" s="5">
        <v>-30417</v>
      </c>
      <c r="F2291" s="3" t="s">
        <v>62</v>
      </c>
      <c r="G2291" s="3" t="s">
        <v>63</v>
      </c>
      <c r="H2291" s="2" t="s">
        <v>21</v>
      </c>
      <c r="I2291" s="2" t="s">
        <v>5552</v>
      </c>
      <c r="J2291" s="3" t="str">
        <f>HYPERLINK("https://www.boe.es/gazeta/dias/1816/09/19/pdfs/GMD-1816-116.pdf#page=8","Abrir facsímil")</f>
        <v>Abrir facsímil</v>
      </c>
      <c r="K2291" s="3" t="s">
        <v>23</v>
      </c>
    </row>
    <row r="2292" spans="1:11" ht="42" customHeight="1">
      <c r="A2292" s="2" t="s">
        <v>5553</v>
      </c>
      <c r="B2292" s="2" t="s">
        <v>5554</v>
      </c>
      <c r="C2292" s="2" t="s">
        <v>41</v>
      </c>
      <c r="D2292" s="2" t="s">
        <v>18</v>
      </c>
      <c r="E2292" s="5">
        <v>-30387</v>
      </c>
      <c r="F2292" s="3" t="s">
        <v>224</v>
      </c>
      <c r="G2292" s="3" t="s">
        <v>28</v>
      </c>
      <c r="H2292" s="2" t="s">
        <v>21</v>
      </c>
      <c r="I2292" s="2" t="s">
        <v>5555</v>
      </c>
      <c r="J2292" s="3" t="str">
        <f>HYPERLINK("https://www.boe.es/gazeta/dias/1816/10/19/pdfs/GMD-1816-131.pdf#page=6","Abrir facsímil")</f>
        <v>Abrir facsímil</v>
      </c>
      <c r="K2292" s="3" t="s">
        <v>23</v>
      </c>
    </row>
    <row r="2293" spans="1:11" ht="42" customHeight="1">
      <c r="A2293" s="2" t="s">
        <v>5556</v>
      </c>
      <c r="B2293" s="2" t="s">
        <v>5557</v>
      </c>
      <c r="C2293" s="2" t="s">
        <v>26</v>
      </c>
      <c r="D2293" s="2" t="s">
        <v>18</v>
      </c>
      <c r="E2293" s="5">
        <v>-30580</v>
      </c>
      <c r="F2293" s="3" t="s">
        <v>107</v>
      </c>
      <c r="G2293" s="3" t="s">
        <v>72</v>
      </c>
      <c r="H2293" s="2" t="s">
        <v>21</v>
      </c>
      <c r="I2293" s="2" t="s">
        <v>5558</v>
      </c>
      <c r="J2293" s="3" t="str">
        <f>HYPERLINK("https://www.boe.es/gazeta/dias/1816/04/09/pdfs/GMD-1816-46.pdf#page=7","Abrir facsímil")</f>
        <v>Abrir facsímil</v>
      </c>
      <c r="K2293" s="3" t="s">
        <v>23</v>
      </c>
    </row>
    <row r="2294" spans="1:11" ht="42" customHeight="1">
      <c r="A2294" s="2" t="s">
        <v>5559</v>
      </c>
      <c r="B2294" s="2" t="s">
        <v>5560</v>
      </c>
      <c r="C2294" s="2" t="s">
        <v>26</v>
      </c>
      <c r="D2294" s="2" t="s">
        <v>18</v>
      </c>
      <c r="E2294" s="5">
        <v>-30401</v>
      </c>
      <c r="F2294" s="3" t="s">
        <v>652</v>
      </c>
      <c r="G2294" s="3" t="s">
        <v>47</v>
      </c>
      <c r="H2294" s="2" t="s">
        <v>21</v>
      </c>
      <c r="I2294" s="2" t="s">
        <v>5561</v>
      </c>
      <c r="J2294" s="3" t="str">
        <f>HYPERLINK("https://www.boe.es/gazeta/dias/1816/10/05/pdfs/GMD-1816-123.pdf#page=5","Abrir facsímil")</f>
        <v>Abrir facsímil</v>
      </c>
      <c r="K2294" s="3" t="s">
        <v>23</v>
      </c>
    </row>
    <row r="2295" spans="1:11" ht="42" customHeight="1">
      <c r="A2295" s="2" t="s">
        <v>5562</v>
      </c>
      <c r="B2295" s="2" t="s">
        <v>5563</v>
      </c>
      <c r="C2295" s="2" t="s">
        <v>81</v>
      </c>
      <c r="D2295" s="2" t="s">
        <v>18</v>
      </c>
      <c r="E2295" s="5">
        <v>-30629</v>
      </c>
      <c r="F2295" s="3" t="s">
        <v>904</v>
      </c>
      <c r="G2295" s="3" t="s">
        <v>72</v>
      </c>
      <c r="H2295" s="2" t="s">
        <v>21</v>
      </c>
      <c r="I2295" s="2" t="s">
        <v>5564</v>
      </c>
      <c r="J2295" s="3" t="str">
        <f>HYPERLINK("https://www.boe.es/gazeta/dias/1816/02/20/pdfs/GMD-1816-23.pdf#page=7","Abrir facsímil")</f>
        <v>Abrir facsímil</v>
      </c>
      <c r="K2295" s="3" t="s">
        <v>23</v>
      </c>
    </row>
    <row r="2296" spans="1:11" ht="42" customHeight="1">
      <c r="A2296" s="2" t="s">
        <v>5565</v>
      </c>
      <c r="B2296" s="2" t="s">
        <v>5566</v>
      </c>
      <c r="C2296" s="2" t="s">
        <v>26</v>
      </c>
      <c r="D2296" s="2" t="s">
        <v>18</v>
      </c>
      <c r="E2296" s="5">
        <v>-30655</v>
      </c>
      <c r="F2296" s="3" t="s">
        <v>170</v>
      </c>
      <c r="G2296" s="3" t="s">
        <v>72</v>
      </c>
      <c r="H2296" s="2" t="s">
        <v>29</v>
      </c>
      <c r="I2296" s="2" t="s">
        <v>5567</v>
      </c>
      <c r="J2296" s="3" t="str">
        <f>HYPERLINK("https://www.boe.es/gazeta/dias/1816/01/25/pdfs/GMD-1816-11.pdf#page=7","Abrir facsímil")</f>
        <v>Abrir facsímil</v>
      </c>
      <c r="K2296" s="3" t="s">
        <v>31</v>
      </c>
    </row>
    <row r="2297" spans="1:11" ht="42" customHeight="1">
      <c r="A2297" s="2" t="s">
        <v>5568</v>
      </c>
      <c r="B2297" s="2" t="s">
        <v>5569</v>
      </c>
      <c r="C2297" s="2" t="s">
        <v>67</v>
      </c>
      <c r="D2297" s="2" t="s">
        <v>18</v>
      </c>
      <c r="E2297" s="5">
        <v>-30622</v>
      </c>
      <c r="F2297" s="3" t="s">
        <v>27</v>
      </c>
      <c r="G2297" s="3" t="s">
        <v>28</v>
      </c>
      <c r="H2297" s="2" t="s">
        <v>21</v>
      </c>
      <c r="I2297" s="2" t="s">
        <v>5570</v>
      </c>
      <c r="J2297" s="3" t="str">
        <f>HYPERLINK("https://www.boe.es/gazeta/dias/1816/02/27/pdfs/GMD-1816-26.pdf#page=6","Abrir facsímil")</f>
        <v>Abrir facsímil</v>
      </c>
      <c r="K2297" s="3" t="s">
        <v>23</v>
      </c>
    </row>
    <row r="2298" spans="1:11" ht="42" customHeight="1">
      <c r="A2298" s="2" t="s">
        <v>5571</v>
      </c>
      <c r="B2298" s="2" t="s">
        <v>5572</v>
      </c>
      <c r="C2298" s="2" t="s">
        <v>111</v>
      </c>
      <c r="D2298" s="2" t="s">
        <v>112</v>
      </c>
      <c r="E2298" s="5">
        <v>-30464</v>
      </c>
      <c r="F2298" s="3" t="s">
        <v>215</v>
      </c>
      <c r="G2298" s="3" t="s">
        <v>216</v>
      </c>
      <c r="H2298" s="2" t="s">
        <v>21</v>
      </c>
      <c r="I2298" s="2" t="s">
        <v>5573</v>
      </c>
      <c r="J2298" s="3" t="str">
        <f>HYPERLINK("https://www.boe.es/gazeta/dias/1816/08/03/pdfs/GMD-1816-96.pdf#page=4","Abrir facsímil")</f>
        <v>Abrir facsímil</v>
      </c>
      <c r="K2298" s="3" t="s">
        <v>23</v>
      </c>
    </row>
    <row r="2299" spans="1:11" ht="42" customHeight="1">
      <c r="A2299" s="2" t="s">
        <v>5574</v>
      </c>
      <c r="B2299" s="2" t="s">
        <v>5575</v>
      </c>
      <c r="C2299" s="2" t="s">
        <v>67</v>
      </c>
      <c r="D2299" s="2" t="s">
        <v>18</v>
      </c>
      <c r="E2299" s="5">
        <v>-30363</v>
      </c>
      <c r="F2299" s="3" t="s">
        <v>570</v>
      </c>
      <c r="G2299" s="3" t="s">
        <v>942</v>
      </c>
      <c r="H2299" s="2" t="s">
        <v>21</v>
      </c>
      <c r="I2299" s="2" t="s">
        <v>5576</v>
      </c>
      <c r="J2299" s="3" t="str">
        <f>HYPERLINK("https://www.boe.es/gazeta/dias/1816/11/12/pdfs/GMD-1816-141.pdf#page=6","Abrir facsímil")</f>
        <v>Abrir facsímil</v>
      </c>
      <c r="K2299" s="3" t="s">
        <v>23</v>
      </c>
    </row>
    <row r="2300" spans="1:11" ht="42" customHeight="1">
      <c r="A2300" s="2" t="s">
        <v>5577</v>
      </c>
      <c r="B2300" s="2" t="s">
        <v>5578</v>
      </c>
      <c r="C2300" s="2" t="s">
        <v>34</v>
      </c>
      <c r="D2300" s="2" t="s">
        <v>35</v>
      </c>
      <c r="E2300" s="5">
        <v>-30489</v>
      </c>
      <c r="F2300" s="3" t="s">
        <v>1120</v>
      </c>
      <c r="G2300" s="3" t="s">
        <v>42</v>
      </c>
      <c r="H2300" s="2" t="s">
        <v>21</v>
      </c>
      <c r="I2300" s="2" t="s">
        <v>5579</v>
      </c>
      <c r="J2300" s="3" t="str">
        <f>HYPERLINK("https://www.boe.es/gazeta/dias/1816/07/09/pdfs/GMD-1816-85.pdf#page=8","Abrir facsímil")</f>
        <v>Abrir facsímil</v>
      </c>
      <c r="K2300" s="3" t="s">
        <v>23</v>
      </c>
    </row>
    <row r="2301" spans="1:11" ht="42" customHeight="1">
      <c r="A2301" s="2" t="s">
        <v>5580</v>
      </c>
      <c r="B2301" s="2" t="s">
        <v>5581</v>
      </c>
      <c r="C2301" s="2" t="s">
        <v>34</v>
      </c>
      <c r="D2301" s="2" t="s">
        <v>35</v>
      </c>
      <c r="E2301" s="5">
        <v>-30585</v>
      </c>
      <c r="F2301" s="3" t="s">
        <v>633</v>
      </c>
      <c r="G2301" s="3" t="s">
        <v>42</v>
      </c>
      <c r="H2301" s="2" t="s">
        <v>21</v>
      </c>
      <c r="I2301" s="2" t="s">
        <v>5582</v>
      </c>
      <c r="J2301" s="3" t="str">
        <f>HYPERLINK("https://www.boe.es/gazeta/dias/1816/04/04/pdfs/GMD-1816-44.pdf#page=8","Abrir facsímil")</f>
        <v>Abrir facsímil</v>
      </c>
      <c r="K2301" s="3" t="s">
        <v>23</v>
      </c>
    </row>
    <row r="2302" spans="1:11" ht="42" customHeight="1">
      <c r="A2302" s="2" t="s">
        <v>5583</v>
      </c>
      <c r="B2302" s="2" t="s">
        <v>5584</v>
      </c>
      <c r="C2302" s="2" t="s">
        <v>17</v>
      </c>
      <c r="D2302" s="2" t="s">
        <v>18</v>
      </c>
      <c r="E2302" s="5">
        <v>-30457</v>
      </c>
      <c r="F2302" s="3" t="s">
        <v>539</v>
      </c>
      <c r="G2302" s="3" t="s">
        <v>42</v>
      </c>
      <c r="H2302" s="2" t="s">
        <v>21</v>
      </c>
      <c r="I2302" s="2" t="s">
        <v>5585</v>
      </c>
      <c r="J2302" s="3" t="str">
        <f>HYPERLINK("https://www.boe.es/gazeta/dias/1816/08/10/pdfs/GMD-1816-99.pdf#page=8","Abrir facsímil")</f>
        <v>Abrir facsímil</v>
      </c>
      <c r="K2302" s="3" t="s">
        <v>23</v>
      </c>
    </row>
    <row r="2303" spans="1:11" ht="42" customHeight="1">
      <c r="A2303" s="2" t="s">
        <v>5586</v>
      </c>
      <c r="B2303" s="2" t="s">
        <v>5587</v>
      </c>
      <c r="C2303" s="2" t="s">
        <v>111</v>
      </c>
      <c r="D2303" s="2" t="s">
        <v>112</v>
      </c>
      <c r="E2303" s="5">
        <v>-30573</v>
      </c>
      <c r="F2303" s="3" t="s">
        <v>840</v>
      </c>
      <c r="G2303" s="3" t="s">
        <v>184</v>
      </c>
      <c r="H2303" s="2" t="s">
        <v>21</v>
      </c>
      <c r="I2303" s="2" t="s">
        <v>5588</v>
      </c>
      <c r="J2303" s="3" t="str">
        <f>HYPERLINK("https://www.boe.es/gazeta/dias/1816/04/16/pdfs/GMD-1816-49.pdf#page=3","Abrir facsímil")</f>
        <v>Abrir facsímil</v>
      </c>
      <c r="K2303" s="3" t="s">
        <v>23</v>
      </c>
    </row>
    <row r="2304" spans="1:11" ht="42" customHeight="1">
      <c r="A2304" s="2" t="s">
        <v>5589</v>
      </c>
      <c r="B2304" s="2" t="s">
        <v>5589</v>
      </c>
      <c r="C2304" s="2" t="s">
        <v>34</v>
      </c>
      <c r="D2304" s="2" t="s">
        <v>35</v>
      </c>
      <c r="E2304" s="5">
        <v>-30660</v>
      </c>
      <c r="F2304" s="3" t="s">
        <v>809</v>
      </c>
      <c r="G2304" s="3" t="s">
        <v>184</v>
      </c>
      <c r="H2304" s="2" t="s">
        <v>21</v>
      </c>
      <c r="I2304" s="2" t="s">
        <v>5590</v>
      </c>
      <c r="J2304" s="3" t="str">
        <f>HYPERLINK("https://www.boe.es/gazeta/dias/1816/01/20/pdfs/GMD-1816-9.pdf#page=3","Abrir facsímil")</f>
        <v>Abrir facsímil</v>
      </c>
      <c r="K2304" s="3" t="s">
        <v>23</v>
      </c>
    </row>
    <row r="2305" spans="1:11" ht="42" customHeight="1">
      <c r="A2305" s="2" t="s">
        <v>5589</v>
      </c>
      <c r="B2305" s="2" t="s">
        <v>5589</v>
      </c>
      <c r="C2305" s="2" t="s">
        <v>26</v>
      </c>
      <c r="D2305" s="2" t="s">
        <v>18</v>
      </c>
      <c r="E2305" s="5">
        <v>-30471</v>
      </c>
      <c r="F2305" s="3" t="s">
        <v>639</v>
      </c>
      <c r="G2305" s="3" t="s">
        <v>184</v>
      </c>
      <c r="H2305" s="2" t="s">
        <v>21</v>
      </c>
      <c r="I2305" s="2" t="s">
        <v>5591</v>
      </c>
      <c r="J2305" s="3" t="str">
        <f>HYPERLINK("https://www.boe.es/gazeta/dias/1816/07/27/pdfs/GMD-1816-93.pdf#page=3","Abrir facsímil")</f>
        <v>Abrir facsímil</v>
      </c>
      <c r="K2305" s="3" t="s">
        <v>23</v>
      </c>
    </row>
    <row r="2306" spans="1:11" ht="42" customHeight="1">
      <c r="A2306" s="2" t="s">
        <v>5589</v>
      </c>
      <c r="B2306" s="2" t="s">
        <v>5589</v>
      </c>
      <c r="C2306" s="2" t="s">
        <v>111</v>
      </c>
      <c r="D2306" s="2" t="s">
        <v>112</v>
      </c>
      <c r="E2306" s="5">
        <v>-30321</v>
      </c>
      <c r="F2306" s="3" t="s">
        <v>1086</v>
      </c>
      <c r="G2306" s="3" t="s">
        <v>58</v>
      </c>
      <c r="H2306" s="2" t="s">
        <v>21</v>
      </c>
      <c r="I2306" s="2" t="s">
        <v>5592</v>
      </c>
      <c r="J2306" s="3" t="str">
        <f>HYPERLINK("https://www.boe.es/gazeta/dias/1816/12/24/pdfs/GMD-1816-159.pdf#page=1","Abrir facsímil")</f>
        <v>Abrir facsímil</v>
      </c>
      <c r="K2306" s="3" t="s">
        <v>23</v>
      </c>
    </row>
    <row r="2307" spans="1:11" ht="42" customHeight="1">
      <c r="A2307" s="2" t="s">
        <v>5593</v>
      </c>
      <c r="B2307" s="2" t="s">
        <v>5594</v>
      </c>
      <c r="C2307" s="2" t="s">
        <v>111</v>
      </c>
      <c r="D2307" s="2" t="s">
        <v>112</v>
      </c>
      <c r="E2307" s="5">
        <v>-30389</v>
      </c>
      <c r="F2307" s="3" t="s">
        <v>522</v>
      </c>
      <c r="G2307" s="3" t="s">
        <v>42</v>
      </c>
      <c r="H2307" s="2" t="s">
        <v>29</v>
      </c>
      <c r="I2307" s="2" t="s">
        <v>5595</v>
      </c>
      <c r="J2307" s="3" t="str">
        <f>HYPERLINK("https://www.boe.es/gazeta/dias/1816/10/17/pdfs/GMD-1816-130.pdf#page=8","Abrir facsímil")</f>
        <v>Abrir facsímil</v>
      </c>
      <c r="K2307" s="3" t="s">
        <v>31</v>
      </c>
    </row>
    <row r="2308" spans="1:11" ht="42" customHeight="1">
      <c r="A2308" s="2" t="s">
        <v>5596</v>
      </c>
      <c r="B2308" s="2" t="s">
        <v>5597</v>
      </c>
      <c r="C2308" s="2" t="s">
        <v>111</v>
      </c>
      <c r="D2308" s="2" t="s">
        <v>112</v>
      </c>
      <c r="E2308" s="5">
        <v>-30489</v>
      </c>
      <c r="F2308" s="3" t="s">
        <v>1120</v>
      </c>
      <c r="G2308" s="3" t="s">
        <v>28</v>
      </c>
      <c r="H2308" s="2" t="s">
        <v>21</v>
      </c>
      <c r="I2308" s="2" t="s">
        <v>5598</v>
      </c>
      <c r="J2308" s="3" t="str">
        <f>HYPERLINK("https://www.boe.es/gazeta/dias/1816/07/09/pdfs/GMD-1816-85.pdf#page=6","Abrir facsímil")</f>
        <v>Abrir facsímil</v>
      </c>
      <c r="K2308" s="3" t="s">
        <v>23</v>
      </c>
    </row>
    <row r="2309" spans="1:11" ht="42" customHeight="1">
      <c r="A2309" s="2" t="s">
        <v>5599</v>
      </c>
      <c r="B2309" s="2" t="s">
        <v>5599</v>
      </c>
      <c r="C2309" s="2" t="s">
        <v>111</v>
      </c>
      <c r="D2309" s="2" t="s">
        <v>112</v>
      </c>
      <c r="E2309" s="5">
        <v>-30496</v>
      </c>
      <c r="F2309" s="3" t="s">
        <v>290</v>
      </c>
      <c r="G2309" s="3" t="s">
        <v>184</v>
      </c>
      <c r="H2309" s="2" t="s">
        <v>21</v>
      </c>
      <c r="I2309" s="2" t="s">
        <v>5600</v>
      </c>
      <c r="J2309" s="3" t="str">
        <f>HYPERLINK("https://www.boe.es/gazeta/dias/1816/07/02/pdfs/GMD-1816-82.pdf#page=3","Abrir facsímil")</f>
        <v>Abrir facsímil</v>
      </c>
      <c r="K2309" s="3" t="s">
        <v>23</v>
      </c>
    </row>
    <row r="2310" spans="1:11" ht="42" customHeight="1">
      <c r="A2310" s="2" t="s">
        <v>5601</v>
      </c>
      <c r="B2310" s="2" t="s">
        <v>5602</v>
      </c>
      <c r="C2310" s="2" t="s">
        <v>34</v>
      </c>
      <c r="D2310" s="2" t="s">
        <v>35</v>
      </c>
      <c r="E2310" s="5">
        <v>-30499</v>
      </c>
      <c r="F2310" s="3" t="s">
        <v>971</v>
      </c>
      <c r="G2310" s="3" t="s">
        <v>52</v>
      </c>
      <c r="H2310" s="2" t="s">
        <v>21</v>
      </c>
      <c r="I2310" s="2" t="s">
        <v>5603</v>
      </c>
      <c r="J2310" s="3" t="str">
        <f>HYPERLINK("https://www.boe.es/gazeta/dias/1816/06/29/pdfs/GMD-1816-81.pdf#page=12","Abrir facsímil")</f>
        <v>Abrir facsímil</v>
      </c>
      <c r="K2310" s="3" t="s">
        <v>23</v>
      </c>
    </row>
    <row r="2311" spans="1:11" ht="42" customHeight="1">
      <c r="A2311" s="2" t="s">
        <v>5604</v>
      </c>
      <c r="B2311" s="2" t="s">
        <v>5605</v>
      </c>
      <c r="C2311" s="2" t="s">
        <v>34</v>
      </c>
      <c r="D2311" s="2" t="s">
        <v>35</v>
      </c>
      <c r="E2311" s="5">
        <v>-30492</v>
      </c>
      <c r="F2311" s="3" t="s">
        <v>248</v>
      </c>
      <c r="G2311" s="3" t="s">
        <v>175</v>
      </c>
      <c r="H2311" s="2" t="s">
        <v>21</v>
      </c>
      <c r="I2311" s="2" t="s">
        <v>5606</v>
      </c>
      <c r="J2311" s="3" t="str">
        <f>HYPERLINK("https://www.boe.es/gazeta/dias/1816/07/06/pdfs/GMD-1816-84.pdf#page=11","Abrir facsímil")</f>
        <v>Abrir facsímil</v>
      </c>
      <c r="K2311" s="3" t="s">
        <v>23</v>
      </c>
    </row>
    <row r="2312" spans="1:11" ht="42" customHeight="1">
      <c r="A2312" s="2" t="s">
        <v>5607</v>
      </c>
      <c r="B2312" s="2" t="s">
        <v>5608</v>
      </c>
      <c r="C2312" s="2" t="s">
        <v>111</v>
      </c>
      <c r="D2312" s="2" t="s">
        <v>112</v>
      </c>
      <c r="E2312" s="5">
        <v>-30394</v>
      </c>
      <c r="F2312" s="3" t="s">
        <v>589</v>
      </c>
      <c r="G2312" s="3" t="s">
        <v>1306</v>
      </c>
      <c r="H2312" s="2" t="s">
        <v>21</v>
      </c>
      <c r="I2312" s="2" t="s">
        <v>5609</v>
      </c>
      <c r="J2312" s="3" t="str">
        <f>HYPERLINK("https://www.boe.es/gazeta/dias/1816/10/12/pdfs/GMD-1816-127.pdf#page=4","Abrir facsímil")</f>
        <v>Abrir facsímil</v>
      </c>
      <c r="K2312" s="3" t="s">
        <v>23</v>
      </c>
    </row>
    <row r="2313" spans="1:11" ht="42" customHeight="1">
      <c r="A2313" s="2" t="s">
        <v>5610</v>
      </c>
      <c r="B2313" s="2" t="s">
        <v>5611</v>
      </c>
      <c r="C2313" s="2" t="s">
        <v>34</v>
      </c>
      <c r="D2313" s="2" t="s">
        <v>35</v>
      </c>
      <c r="E2313" s="5">
        <v>-30636</v>
      </c>
      <c r="F2313" s="3" t="s">
        <v>82</v>
      </c>
      <c r="G2313" s="3" t="s">
        <v>103</v>
      </c>
      <c r="H2313" s="2" t="s">
        <v>21</v>
      </c>
      <c r="I2313" s="2" t="s">
        <v>5612</v>
      </c>
      <c r="J2313" s="3" t="str">
        <f>HYPERLINK("https://www.boe.es/gazeta/dias/1816/02/13/pdfs/GMD-1816-20.pdf#page=4","Abrir facsímil")</f>
        <v>Abrir facsímil</v>
      </c>
      <c r="K2313" s="3" t="s">
        <v>23</v>
      </c>
    </row>
    <row r="2314" spans="1:11" ht="42" customHeight="1">
      <c r="A2314" s="2" t="s">
        <v>5613</v>
      </c>
      <c r="B2314" s="2" t="s">
        <v>5614</v>
      </c>
      <c r="C2314" s="2" t="s">
        <v>81</v>
      </c>
      <c r="D2314" s="2" t="s">
        <v>18</v>
      </c>
      <c r="E2314" s="5">
        <v>-30599</v>
      </c>
      <c r="F2314" s="3" t="s">
        <v>552</v>
      </c>
      <c r="G2314" s="3" t="s">
        <v>103</v>
      </c>
      <c r="H2314" s="2" t="s">
        <v>21</v>
      </c>
      <c r="I2314" s="2" t="s">
        <v>5615</v>
      </c>
      <c r="J2314" s="3" t="str">
        <f>HYPERLINK("https://www.boe.es/gazeta/dias/1816/03/21/pdfs/GMD-1816-38.pdf#page=4","Abrir facsímil")</f>
        <v>Abrir facsímil</v>
      </c>
      <c r="K2314" s="3" t="s">
        <v>23</v>
      </c>
    </row>
    <row r="2315" spans="1:11" ht="42" customHeight="1">
      <c r="A2315" s="2" t="s">
        <v>5616</v>
      </c>
      <c r="B2315" s="2" t="s">
        <v>5616</v>
      </c>
      <c r="C2315" s="2" t="s">
        <v>34</v>
      </c>
      <c r="D2315" s="2" t="s">
        <v>35</v>
      </c>
      <c r="E2315" s="5">
        <v>-30401</v>
      </c>
      <c r="F2315" s="3" t="s">
        <v>652</v>
      </c>
      <c r="G2315" s="3" t="s">
        <v>58</v>
      </c>
      <c r="H2315" s="2" t="s">
        <v>21</v>
      </c>
      <c r="I2315" s="2" t="s">
        <v>5617</v>
      </c>
      <c r="J2315" s="3" t="str">
        <f>HYPERLINK("https://www.boe.es/gazeta/dias/1816/10/05/pdfs/GMD-1816-123.pdf#page=1","Abrir facsímil")</f>
        <v>Abrir facsímil</v>
      </c>
      <c r="K2315" s="3" t="s">
        <v>23</v>
      </c>
    </row>
    <row r="2316" spans="1:11" ht="42" customHeight="1">
      <c r="A2316" s="2" t="s">
        <v>5618</v>
      </c>
      <c r="B2316" s="2" t="s">
        <v>5618</v>
      </c>
      <c r="C2316" s="2" t="s">
        <v>387</v>
      </c>
      <c r="D2316" s="2" t="s">
        <v>18</v>
      </c>
      <c r="E2316" s="5">
        <v>-30373</v>
      </c>
      <c r="F2316" s="3" t="s">
        <v>1280</v>
      </c>
      <c r="G2316" s="3" t="s">
        <v>47</v>
      </c>
      <c r="H2316" s="2" t="s">
        <v>21</v>
      </c>
      <c r="I2316" s="2" t="s">
        <v>5619</v>
      </c>
      <c r="J2316" s="3" t="str">
        <f>HYPERLINK("https://www.boe.es/gazeta/dias/1816/11/02/pdfs/GMD-1816-137.pdf#page=5","Abrir facsímil")</f>
        <v>Abrir facsímil</v>
      </c>
      <c r="K2316" s="3" t="s">
        <v>23</v>
      </c>
    </row>
    <row r="2317" spans="1:11" ht="42" customHeight="1">
      <c r="A2317" s="2" t="s">
        <v>5620</v>
      </c>
      <c r="B2317" s="2" t="s">
        <v>5621</v>
      </c>
      <c r="C2317" s="2" t="s">
        <v>34</v>
      </c>
      <c r="D2317" s="2" t="s">
        <v>35</v>
      </c>
      <c r="E2317" s="5">
        <v>-30496</v>
      </c>
      <c r="F2317" s="3" t="s">
        <v>290</v>
      </c>
      <c r="G2317" s="3" t="s">
        <v>291</v>
      </c>
      <c r="H2317" s="2" t="s">
        <v>21</v>
      </c>
      <c r="I2317" s="2" t="s">
        <v>5622</v>
      </c>
      <c r="J2317" s="3" t="str">
        <f>HYPERLINK("https://www.boe.es/gazeta/dias/1816/07/02/pdfs/GMD-1816-82.pdf#page=7","Abrir facsímil")</f>
        <v>Abrir facsímil</v>
      </c>
      <c r="K2317" s="3" t="s">
        <v>23</v>
      </c>
    </row>
    <row r="2318" spans="1:11" ht="42" customHeight="1">
      <c r="A2318" s="2" t="s">
        <v>5623</v>
      </c>
      <c r="B2318" s="2" t="s">
        <v>5624</v>
      </c>
      <c r="C2318" s="2" t="s">
        <v>34</v>
      </c>
      <c r="D2318" s="2" t="s">
        <v>35</v>
      </c>
      <c r="E2318" s="5">
        <v>-30531</v>
      </c>
      <c r="F2318" s="3" t="s">
        <v>535</v>
      </c>
      <c r="G2318" s="3" t="s">
        <v>28</v>
      </c>
      <c r="H2318" s="2" t="s">
        <v>21</v>
      </c>
      <c r="I2318" s="2" t="s">
        <v>5625</v>
      </c>
      <c r="J2318" s="3" t="str">
        <f>HYPERLINK("https://www.boe.es/gazeta/dias/1816/05/28/pdfs/GMD-1816-67.pdf#page=6","Abrir facsímil")</f>
        <v>Abrir facsímil</v>
      </c>
      <c r="K2318" s="3" t="s">
        <v>23</v>
      </c>
    </row>
    <row r="2319" spans="1:11" ht="42" customHeight="1">
      <c r="A2319" s="2" t="s">
        <v>5626</v>
      </c>
      <c r="B2319" s="2" t="s">
        <v>5627</v>
      </c>
      <c r="C2319" s="2" t="s">
        <v>34</v>
      </c>
      <c r="D2319" s="2" t="s">
        <v>35</v>
      </c>
      <c r="E2319" s="5">
        <v>-30405</v>
      </c>
      <c r="F2319" s="3" t="s">
        <v>587</v>
      </c>
      <c r="G2319" s="3" t="s">
        <v>47</v>
      </c>
      <c r="H2319" s="2" t="s">
        <v>21</v>
      </c>
      <c r="I2319" s="2" t="s">
        <v>5628</v>
      </c>
      <c r="J2319" s="3" t="str">
        <f>HYPERLINK("https://www.boe.es/gazeta/dias/1816/10/01/pdfs/GMD-1816-121.pdf#page=5","Abrir facsímil")</f>
        <v>Abrir facsímil</v>
      </c>
      <c r="K2319" s="3" t="s">
        <v>23</v>
      </c>
    </row>
    <row r="2320" spans="1:11" ht="42" customHeight="1">
      <c r="A2320" s="2" t="s">
        <v>5629</v>
      </c>
      <c r="B2320" s="2" t="s">
        <v>5629</v>
      </c>
      <c r="C2320" s="2" t="s">
        <v>34</v>
      </c>
      <c r="D2320" s="2" t="s">
        <v>35</v>
      </c>
      <c r="E2320" s="5">
        <v>-30678</v>
      </c>
      <c r="F2320" s="3" t="s">
        <v>76</v>
      </c>
      <c r="G2320" s="3" t="s">
        <v>47</v>
      </c>
      <c r="H2320" s="2" t="s">
        <v>21</v>
      </c>
      <c r="I2320" s="2" t="s">
        <v>5630</v>
      </c>
      <c r="J2320" s="3" t="str">
        <f>HYPERLINK("https://www.boe.es/gazeta/dias/1816/01/02/pdfs/GMD-1816-1.pdf#page=5","Abrir facsímil")</f>
        <v>Abrir facsímil</v>
      </c>
      <c r="K2320" s="3" t="s">
        <v>23</v>
      </c>
    </row>
    <row r="2321" spans="1:11" ht="42" customHeight="1">
      <c r="A2321" s="2" t="s">
        <v>5631</v>
      </c>
      <c r="B2321" s="2" t="s">
        <v>5632</v>
      </c>
      <c r="C2321" s="2" t="s">
        <v>111</v>
      </c>
      <c r="D2321" s="2" t="s">
        <v>112</v>
      </c>
      <c r="E2321" s="5">
        <v>-30496</v>
      </c>
      <c r="F2321" s="3" t="s">
        <v>290</v>
      </c>
      <c r="G2321" s="3" t="s">
        <v>291</v>
      </c>
      <c r="H2321" s="2" t="s">
        <v>21</v>
      </c>
      <c r="I2321" s="2" t="s">
        <v>5633</v>
      </c>
      <c r="J2321" s="3" t="str">
        <f>HYPERLINK("https://www.boe.es/gazeta/dias/1816/07/02/pdfs/GMD-1816-82.pdf#page=7","Abrir facsímil")</f>
        <v>Abrir facsímil</v>
      </c>
      <c r="K2321" s="3" t="s">
        <v>23</v>
      </c>
    </row>
    <row r="2322" spans="1:11" ht="42" customHeight="1">
      <c r="A2322" s="2" t="s">
        <v>5634</v>
      </c>
      <c r="B2322" s="2" t="s">
        <v>5634</v>
      </c>
      <c r="C2322" s="2" t="s">
        <v>34</v>
      </c>
      <c r="D2322" s="2" t="s">
        <v>35</v>
      </c>
      <c r="E2322" s="5">
        <v>-30359</v>
      </c>
      <c r="F2322" s="3" t="s">
        <v>812</v>
      </c>
      <c r="G2322" s="3" t="s">
        <v>184</v>
      </c>
      <c r="H2322" s="2" t="s">
        <v>21</v>
      </c>
      <c r="I2322" s="2" t="s">
        <v>5635</v>
      </c>
      <c r="J2322" s="3" t="str">
        <f>HYPERLINK("https://www.boe.es/gazeta/dias/1816/11/16/pdfs/GMD-1816-143.pdf#page=3","Abrir facsímil")</f>
        <v>Abrir facsímil</v>
      </c>
      <c r="K2322" s="3" t="s">
        <v>23</v>
      </c>
    </row>
    <row r="2323" spans="1:11" ht="42" customHeight="1">
      <c r="A2323" s="2" t="s">
        <v>5636</v>
      </c>
      <c r="B2323" s="2" t="s">
        <v>5637</v>
      </c>
      <c r="C2323" s="2" t="s">
        <v>26</v>
      </c>
      <c r="D2323" s="2" t="s">
        <v>18</v>
      </c>
      <c r="E2323" s="5">
        <v>-30454</v>
      </c>
      <c r="F2323" s="3" t="s">
        <v>188</v>
      </c>
      <c r="G2323" s="3" t="s">
        <v>52</v>
      </c>
      <c r="H2323" s="2" t="s">
        <v>21</v>
      </c>
      <c r="I2323" s="2" t="s">
        <v>5638</v>
      </c>
      <c r="J2323" s="3" t="str">
        <f>HYPERLINK("https://www.boe.es/gazeta/dias/1816/08/13/pdfs/GMD-1816-100.pdf#page=12","Abrir facsímil")</f>
        <v>Abrir facsímil</v>
      </c>
      <c r="K2323" s="3" t="s">
        <v>23</v>
      </c>
    </row>
    <row r="2324" spans="1:11" ht="42" customHeight="1">
      <c r="A2324" s="2" t="s">
        <v>5639</v>
      </c>
      <c r="B2324" s="2" t="s">
        <v>5640</v>
      </c>
      <c r="C2324" s="2" t="s">
        <v>26</v>
      </c>
      <c r="D2324" s="2" t="s">
        <v>56</v>
      </c>
      <c r="E2324" s="5">
        <v>-30393</v>
      </c>
      <c r="F2324" s="3" t="s">
        <v>202</v>
      </c>
      <c r="G2324" s="3" t="s">
        <v>834</v>
      </c>
      <c r="H2324" s="2" t="s">
        <v>21</v>
      </c>
      <c r="I2324" s="2" t="s">
        <v>5641</v>
      </c>
      <c r="J2324" s="3" t="str">
        <f>HYPERLINK("https://www.boe.es/gazeta/dias/1816/10/13/pdfs/GMD-1816-128E.pdf#page=6","Abrir facsímil")</f>
        <v>Abrir facsímil</v>
      </c>
      <c r="K2324" s="3" t="s">
        <v>23</v>
      </c>
    </row>
    <row r="2325" spans="1:11" ht="42" customHeight="1">
      <c r="A2325" s="2" t="s">
        <v>5642</v>
      </c>
      <c r="B2325" s="2" t="s">
        <v>5642</v>
      </c>
      <c r="C2325" s="2" t="s">
        <v>34</v>
      </c>
      <c r="D2325" s="2" t="s">
        <v>35</v>
      </c>
      <c r="E2325" s="5">
        <v>-30643</v>
      </c>
      <c r="F2325" s="3" t="s">
        <v>620</v>
      </c>
      <c r="G2325" s="3" t="s">
        <v>103</v>
      </c>
      <c r="H2325" s="2" t="s">
        <v>21</v>
      </c>
      <c r="I2325" s="2" t="s">
        <v>5643</v>
      </c>
      <c r="J2325" s="3" t="str">
        <f>HYPERLINK("https://www.boe.es/gazeta/dias/1816/02/06/pdfs/GMD-1816-17.pdf#page=4","Abrir facsímil")</f>
        <v>Abrir facsímil</v>
      </c>
      <c r="K2325" s="3" t="s">
        <v>23</v>
      </c>
    </row>
    <row r="2326" spans="1:11" ht="42" customHeight="1">
      <c r="A2326" s="2" t="s">
        <v>5644</v>
      </c>
      <c r="B2326" s="2" t="s">
        <v>5645</v>
      </c>
      <c r="C2326" s="2" t="s">
        <v>67</v>
      </c>
      <c r="D2326" s="2" t="s">
        <v>18</v>
      </c>
      <c r="E2326" s="5">
        <v>-30454</v>
      </c>
      <c r="F2326" s="3" t="s">
        <v>188</v>
      </c>
      <c r="G2326" s="3" t="s">
        <v>52</v>
      </c>
      <c r="H2326" s="2" t="s">
        <v>29</v>
      </c>
      <c r="I2326" s="2" t="s">
        <v>5646</v>
      </c>
      <c r="J2326" s="3" t="str">
        <f>HYPERLINK("https://www.boe.es/gazeta/dias/1816/08/13/pdfs/GMD-1816-100.pdf#page=12","Abrir facsímil")</f>
        <v>Abrir facsímil</v>
      </c>
      <c r="K2326" s="3" t="s">
        <v>31</v>
      </c>
    </row>
    <row r="2327" spans="1:11" ht="42" customHeight="1">
      <c r="A2327" s="2" t="s">
        <v>5647</v>
      </c>
      <c r="B2327" s="2" t="s">
        <v>5648</v>
      </c>
      <c r="C2327" s="2" t="s">
        <v>26</v>
      </c>
      <c r="D2327" s="2" t="s">
        <v>18</v>
      </c>
      <c r="E2327" s="5">
        <v>-30529</v>
      </c>
      <c r="F2327" s="3" t="s">
        <v>432</v>
      </c>
      <c r="G2327" s="3" t="s">
        <v>42</v>
      </c>
      <c r="H2327" s="2" t="s">
        <v>29</v>
      </c>
      <c r="I2327" s="2" t="s">
        <v>5649</v>
      </c>
      <c r="J2327" s="3" t="str">
        <f>HYPERLINK("https://www.boe.es/gazeta/dias/1816/05/30/pdfs/GMD-1816-68.pdf#page=8","Abrir facsímil")</f>
        <v>Abrir facsímil</v>
      </c>
      <c r="K2327" s="3" t="s">
        <v>31</v>
      </c>
    </row>
    <row r="2328" spans="1:11" ht="42" customHeight="1">
      <c r="A2328" s="2" t="s">
        <v>5650</v>
      </c>
      <c r="B2328" s="2" t="s">
        <v>5651</v>
      </c>
      <c r="C2328" s="2" t="s">
        <v>34</v>
      </c>
      <c r="D2328" s="2" t="s">
        <v>35</v>
      </c>
      <c r="E2328" s="5">
        <v>-30356</v>
      </c>
      <c r="F2328" s="3" t="s">
        <v>824</v>
      </c>
      <c r="G2328" s="3" t="s">
        <v>28</v>
      </c>
      <c r="H2328" s="2" t="s">
        <v>29</v>
      </c>
      <c r="I2328" s="2" t="s">
        <v>5652</v>
      </c>
      <c r="J2328" s="3" t="str">
        <f>HYPERLINK("https://www.boe.es/gazeta/dias/1816/11/19/pdfs/GMD-1816-144.pdf#page=6","Abrir facsímil")</f>
        <v>Abrir facsímil</v>
      </c>
      <c r="K2328" s="3" t="s">
        <v>31</v>
      </c>
    </row>
    <row r="2329" spans="1:11" ht="42" customHeight="1">
      <c r="A2329" s="2" t="s">
        <v>5653</v>
      </c>
      <c r="B2329" s="2" t="s">
        <v>5654</v>
      </c>
      <c r="C2329" s="2" t="s">
        <v>26</v>
      </c>
      <c r="D2329" s="2" t="s">
        <v>18</v>
      </c>
      <c r="E2329" s="5">
        <v>-30457</v>
      </c>
      <c r="F2329" s="3" t="s">
        <v>539</v>
      </c>
      <c r="G2329" s="3" t="s">
        <v>47</v>
      </c>
      <c r="H2329" s="2" t="s">
        <v>29</v>
      </c>
      <c r="I2329" s="2" t="s">
        <v>5655</v>
      </c>
      <c r="J2329" s="3" t="str">
        <f>HYPERLINK("https://www.boe.es/gazeta/dias/1816/08/10/pdfs/GMD-1816-99.pdf#page=5","Abrir facsímil")</f>
        <v>Abrir facsímil</v>
      </c>
      <c r="K2329" s="3" t="s">
        <v>31</v>
      </c>
    </row>
    <row r="2330" spans="1:11" ht="42" customHeight="1">
      <c r="A2330" s="2" t="s">
        <v>5656</v>
      </c>
      <c r="B2330" s="2" t="s">
        <v>5657</v>
      </c>
      <c r="C2330" s="2" t="s">
        <v>26</v>
      </c>
      <c r="D2330" s="2" t="s">
        <v>18</v>
      </c>
      <c r="E2330" s="5">
        <v>-30494</v>
      </c>
      <c r="F2330" s="3" t="s">
        <v>174</v>
      </c>
      <c r="G2330" s="3" t="s">
        <v>103</v>
      </c>
      <c r="H2330" s="2" t="s">
        <v>29</v>
      </c>
      <c r="I2330" s="2" t="s">
        <v>5658</v>
      </c>
      <c r="J2330" s="3" t="str">
        <f>HYPERLINK("https://www.boe.es/gazeta/dias/1816/07/04/pdfs/GMD-1816-83.pdf#page=4","Abrir facsímil")</f>
        <v>Abrir facsímil</v>
      </c>
      <c r="K2330" s="3" t="s">
        <v>31</v>
      </c>
    </row>
    <row r="2331" spans="1:11" ht="42" customHeight="1">
      <c r="A2331" s="2" t="s">
        <v>5659</v>
      </c>
      <c r="B2331" s="2" t="s">
        <v>5659</v>
      </c>
      <c r="C2331" s="2" t="s">
        <v>26</v>
      </c>
      <c r="D2331" s="2" t="s">
        <v>18</v>
      </c>
      <c r="E2331" s="5">
        <v>-30485</v>
      </c>
      <c r="F2331" s="3" t="s">
        <v>156</v>
      </c>
      <c r="G2331" s="3" t="s">
        <v>184</v>
      </c>
      <c r="H2331" s="2" t="s">
        <v>21</v>
      </c>
      <c r="I2331" s="2" t="s">
        <v>5660</v>
      </c>
      <c r="J2331" s="3" t="str">
        <f>HYPERLINK("https://www.boe.es/gazeta/dias/1816/07/13/pdfs/GMD-1816-87.pdf#page=3","Abrir facsímil")</f>
        <v>Abrir facsímil</v>
      </c>
      <c r="K2331" s="3" t="s">
        <v>23</v>
      </c>
    </row>
    <row r="2332" spans="1:11" ht="42" customHeight="1">
      <c r="A2332" s="2" t="s">
        <v>5661</v>
      </c>
      <c r="B2332" s="2" t="s">
        <v>5662</v>
      </c>
      <c r="C2332" s="2" t="s">
        <v>111</v>
      </c>
      <c r="D2332" s="2" t="s">
        <v>112</v>
      </c>
      <c r="E2332" s="5">
        <v>-30359</v>
      </c>
      <c r="F2332" s="3" t="s">
        <v>812</v>
      </c>
      <c r="G2332" s="3" t="s">
        <v>813</v>
      </c>
      <c r="H2332" s="2" t="s">
        <v>21</v>
      </c>
      <c r="I2332" s="2" t="s">
        <v>5663</v>
      </c>
      <c r="J2332" s="3" t="str">
        <f>HYPERLINK("https://www.boe.es/gazeta/dias/1816/11/16/pdfs/GMD-1816-143.pdf#page=8","Abrir facsímil")</f>
        <v>Abrir facsímil</v>
      </c>
      <c r="K2332" s="3" t="s">
        <v>23</v>
      </c>
    </row>
    <row r="2333" spans="1:11" ht="42" customHeight="1">
      <c r="A2333" s="2" t="s">
        <v>5664</v>
      </c>
      <c r="B2333" s="2" t="s">
        <v>5665</v>
      </c>
      <c r="C2333" s="2" t="s">
        <v>111</v>
      </c>
      <c r="D2333" s="2" t="s">
        <v>112</v>
      </c>
      <c r="E2333" s="5">
        <v>-30466</v>
      </c>
      <c r="F2333" s="3" t="s">
        <v>2138</v>
      </c>
      <c r="G2333" s="3" t="s">
        <v>72</v>
      </c>
      <c r="H2333" s="2" t="s">
        <v>21</v>
      </c>
      <c r="I2333" s="2" t="s">
        <v>5666</v>
      </c>
      <c r="J2333" s="3" t="str">
        <f>HYPERLINK("https://www.boe.es/gazeta/dias/1816/08/01/pdfs/GMD-1816-95.pdf#page=7","Abrir facsímil")</f>
        <v>Abrir facsímil</v>
      </c>
      <c r="K2333" s="3" t="s">
        <v>23</v>
      </c>
    </row>
    <row r="2334" spans="1:11" ht="42" customHeight="1">
      <c r="A2334" s="2" t="s">
        <v>5667</v>
      </c>
      <c r="B2334" s="2" t="s">
        <v>5668</v>
      </c>
      <c r="C2334" s="2" t="s">
        <v>34</v>
      </c>
      <c r="D2334" s="2" t="s">
        <v>35</v>
      </c>
      <c r="E2334" s="5">
        <v>-30660</v>
      </c>
      <c r="F2334" s="3" t="s">
        <v>809</v>
      </c>
      <c r="G2334" s="3" t="s">
        <v>47</v>
      </c>
      <c r="H2334" s="2" t="s">
        <v>21</v>
      </c>
      <c r="I2334" s="2" t="s">
        <v>5669</v>
      </c>
      <c r="J2334" s="3" t="str">
        <f>HYPERLINK("https://www.boe.es/gazeta/dias/1816/01/20/pdfs/GMD-1816-9.pdf#page=5","Abrir facsímil")</f>
        <v>Abrir facsímil</v>
      </c>
      <c r="K2334" s="3" t="s">
        <v>23</v>
      </c>
    </row>
    <row r="2335" spans="1:11" ht="42" customHeight="1">
      <c r="A2335" s="2" t="s">
        <v>5670</v>
      </c>
      <c r="B2335" s="2" t="s">
        <v>5671</v>
      </c>
      <c r="C2335" s="2" t="s">
        <v>26</v>
      </c>
      <c r="D2335" s="2" t="s">
        <v>18</v>
      </c>
      <c r="E2335" s="5">
        <v>-30580</v>
      </c>
      <c r="F2335" s="3" t="s">
        <v>107</v>
      </c>
      <c r="G2335" s="3" t="s">
        <v>72</v>
      </c>
      <c r="H2335" s="2" t="s">
        <v>21</v>
      </c>
      <c r="I2335" s="2" t="s">
        <v>5672</v>
      </c>
      <c r="J2335" s="3" t="str">
        <f>HYPERLINK("https://www.boe.es/gazeta/dias/1816/04/09/pdfs/GMD-1816-46.pdf#page=7","Abrir facsímil")</f>
        <v>Abrir facsímil</v>
      </c>
      <c r="K2335" s="3" t="s">
        <v>23</v>
      </c>
    </row>
    <row r="2336" spans="1:11" ht="42" customHeight="1">
      <c r="A2336" s="2" t="s">
        <v>5673</v>
      </c>
      <c r="B2336" s="2" t="s">
        <v>5674</v>
      </c>
      <c r="C2336" s="2" t="s">
        <v>26</v>
      </c>
      <c r="D2336" s="2" t="s">
        <v>56</v>
      </c>
      <c r="E2336" s="5">
        <v>-30393</v>
      </c>
      <c r="F2336" s="3" t="s">
        <v>202</v>
      </c>
      <c r="G2336" s="3" t="s">
        <v>42</v>
      </c>
      <c r="H2336" s="2" t="s">
        <v>21</v>
      </c>
      <c r="I2336" s="2" t="s">
        <v>5675</v>
      </c>
      <c r="J2336" s="3" t="str">
        <f>HYPERLINK("https://www.boe.es/gazeta/dias/1816/10/13/pdfs/GMD-1816-128E.pdf#page=8","Abrir facsímil")</f>
        <v>Abrir facsímil</v>
      </c>
      <c r="K2336" s="3" t="s">
        <v>23</v>
      </c>
    </row>
    <row r="2337" spans="1:11" ht="42" customHeight="1">
      <c r="A2337" s="2" t="s">
        <v>5676</v>
      </c>
      <c r="B2337" s="2" t="s">
        <v>5677</v>
      </c>
      <c r="C2337" s="2" t="s">
        <v>387</v>
      </c>
      <c r="D2337" s="2" t="s">
        <v>18</v>
      </c>
      <c r="E2337" s="5">
        <v>-30412</v>
      </c>
      <c r="F2337" s="3" t="s">
        <v>388</v>
      </c>
      <c r="G2337" s="3" t="s">
        <v>389</v>
      </c>
      <c r="H2337" s="2" t="s">
        <v>21</v>
      </c>
      <c r="I2337" s="2" t="s">
        <v>5678</v>
      </c>
      <c r="J2337" s="3" t="str">
        <f>HYPERLINK("https://www.boe.es/gazeta/dias/1816/09/24/pdfs/GMD-1816-118.pdf#page=4","Abrir facsímil")</f>
        <v>Abrir facsímil</v>
      </c>
      <c r="K2337" s="3" t="s">
        <v>23</v>
      </c>
    </row>
    <row r="2338" spans="1:11" ht="42" customHeight="1">
      <c r="A2338" s="2" t="s">
        <v>5679</v>
      </c>
      <c r="B2338" s="2" t="s">
        <v>5680</v>
      </c>
      <c r="C2338" s="2" t="s">
        <v>67</v>
      </c>
      <c r="D2338" s="2" t="s">
        <v>56</v>
      </c>
      <c r="E2338" s="5">
        <v>-30393</v>
      </c>
      <c r="F2338" s="3" t="s">
        <v>202</v>
      </c>
      <c r="G2338" s="3" t="s">
        <v>270</v>
      </c>
      <c r="H2338" s="2" t="s">
        <v>21</v>
      </c>
      <c r="I2338" s="2" t="s">
        <v>5681</v>
      </c>
      <c r="J2338" s="3" t="str">
        <f>HYPERLINK("https://www.boe.es/gazeta/dias/1816/10/13/pdfs/GMD-1816-128E.pdf#page=2","Abrir facsímil")</f>
        <v>Abrir facsímil</v>
      </c>
      <c r="K2338" s="3" t="s">
        <v>23</v>
      </c>
    </row>
    <row r="2339" spans="1:11" ht="42" customHeight="1">
      <c r="A2339" s="2" t="s">
        <v>5682</v>
      </c>
      <c r="B2339" s="2" t="s">
        <v>5683</v>
      </c>
      <c r="C2339" s="2" t="s">
        <v>34</v>
      </c>
      <c r="D2339" s="2" t="s">
        <v>35</v>
      </c>
      <c r="E2339" s="5">
        <v>-30447</v>
      </c>
      <c r="F2339" s="3" t="s">
        <v>151</v>
      </c>
      <c r="G2339" s="3" t="s">
        <v>72</v>
      </c>
      <c r="H2339" s="2" t="s">
        <v>29</v>
      </c>
      <c r="I2339" s="2" t="s">
        <v>5684</v>
      </c>
      <c r="J2339" s="3" t="str">
        <f>HYPERLINK("https://www.boe.es/gazeta/dias/1816/08/20/pdfs/GMD-1816-103.pdf#page=7","Abrir facsímil")</f>
        <v>Abrir facsímil</v>
      </c>
      <c r="K2339" s="3" t="s">
        <v>31</v>
      </c>
    </row>
    <row r="2340" spans="1:11" ht="42" customHeight="1">
      <c r="A2340" s="2" t="s">
        <v>5685</v>
      </c>
      <c r="B2340" s="2" t="s">
        <v>5686</v>
      </c>
      <c r="C2340" s="2" t="s">
        <v>17</v>
      </c>
      <c r="D2340" s="2" t="s">
        <v>18</v>
      </c>
      <c r="E2340" s="5">
        <v>-30473</v>
      </c>
      <c r="F2340" s="3" t="s">
        <v>336</v>
      </c>
      <c r="G2340" s="3" t="s">
        <v>1615</v>
      </c>
      <c r="H2340" s="2" t="s">
        <v>29</v>
      </c>
      <c r="I2340" s="2" t="s">
        <v>5687</v>
      </c>
      <c r="J2340" s="3" t="str">
        <f>HYPERLINK("https://www.boe.es/gazeta/dias/1816/07/25/pdfs/GMD-1816-92.pdf#page=6","Abrir facsímil")</f>
        <v>Abrir facsímil</v>
      </c>
      <c r="K2340" s="3" t="s">
        <v>31</v>
      </c>
    </row>
    <row r="2341" spans="1:11" ht="42" customHeight="1">
      <c r="A2341" s="2" t="s">
        <v>5688</v>
      </c>
      <c r="B2341" s="2" t="s">
        <v>5688</v>
      </c>
      <c r="C2341" s="2" t="s">
        <v>34</v>
      </c>
      <c r="D2341" s="2" t="s">
        <v>35</v>
      </c>
      <c r="E2341" s="5">
        <v>-30503</v>
      </c>
      <c r="F2341" s="3" t="s">
        <v>1600</v>
      </c>
      <c r="G2341" s="3" t="s">
        <v>184</v>
      </c>
      <c r="H2341" s="2" t="s">
        <v>21</v>
      </c>
      <c r="I2341" s="2" t="s">
        <v>5689</v>
      </c>
      <c r="J2341" s="3" t="str">
        <f>HYPERLINK("https://www.boe.es/gazeta/dias/1816/06/25/pdfs/GMD-1816-79.pdf#page=3","Abrir facsímil")</f>
        <v>Abrir facsímil</v>
      </c>
      <c r="K2341" s="3" t="s">
        <v>23</v>
      </c>
    </row>
    <row r="2342" spans="1:11" ht="42" customHeight="1">
      <c r="A2342" s="2" t="s">
        <v>5690</v>
      </c>
      <c r="B2342" s="2" t="s">
        <v>5690</v>
      </c>
      <c r="C2342" s="2" t="s">
        <v>111</v>
      </c>
      <c r="D2342" s="2" t="s">
        <v>112</v>
      </c>
      <c r="E2342" s="5">
        <v>-30321</v>
      </c>
      <c r="F2342" s="3" t="s">
        <v>1086</v>
      </c>
      <c r="G2342" s="3" t="s">
        <v>184</v>
      </c>
      <c r="H2342" s="2" t="s">
        <v>21</v>
      </c>
      <c r="I2342" s="2" t="s">
        <v>5691</v>
      </c>
      <c r="J2342" s="3" t="str">
        <f>HYPERLINK("https://www.boe.es/gazeta/dias/1816/12/24/pdfs/GMD-1816-159.pdf#page=3","Abrir facsímil")</f>
        <v>Abrir facsímil</v>
      </c>
      <c r="K2342" s="3" t="s">
        <v>23</v>
      </c>
    </row>
    <row r="2343" spans="1:11" ht="42" customHeight="1">
      <c r="A2343" s="2" t="s">
        <v>5692</v>
      </c>
      <c r="B2343" s="2" t="s">
        <v>5693</v>
      </c>
      <c r="C2343" s="2" t="s">
        <v>67</v>
      </c>
      <c r="D2343" s="2" t="s">
        <v>18</v>
      </c>
      <c r="E2343" s="5">
        <v>-30443</v>
      </c>
      <c r="F2343" s="3" t="s">
        <v>259</v>
      </c>
      <c r="G2343" s="3" t="s">
        <v>260</v>
      </c>
      <c r="H2343" s="2" t="s">
        <v>21</v>
      </c>
      <c r="I2343" s="2" t="s">
        <v>5694</v>
      </c>
      <c r="J2343" s="3" t="str">
        <f>HYPERLINK("https://www.boe.es/gazeta/dias/1816/08/24/pdfs/GMD-1816-105.pdf#page=8","Abrir facsímil")</f>
        <v>Abrir facsímil</v>
      </c>
      <c r="K2343" s="3" t="s">
        <v>23</v>
      </c>
    </row>
    <row r="2344" spans="1:11" ht="42" customHeight="1">
      <c r="A2344" s="2" t="s">
        <v>5695</v>
      </c>
      <c r="B2344" s="2" t="s">
        <v>5696</v>
      </c>
      <c r="C2344" s="2" t="s">
        <v>111</v>
      </c>
      <c r="D2344" s="2" t="s">
        <v>112</v>
      </c>
      <c r="E2344" s="5">
        <v>-30601</v>
      </c>
      <c r="F2344" s="3" t="s">
        <v>308</v>
      </c>
      <c r="G2344" s="3" t="s">
        <v>72</v>
      </c>
      <c r="H2344" s="2" t="s">
        <v>21</v>
      </c>
      <c r="I2344" s="2" t="s">
        <v>5697</v>
      </c>
      <c r="J2344" s="3" t="str">
        <f>HYPERLINK("https://www.boe.es/gazeta/dias/1816/03/19/pdfs/GMD-1816-37.pdf#page=7","Abrir facsímil")</f>
        <v>Abrir facsímil</v>
      </c>
      <c r="K2344" s="3" t="s">
        <v>23</v>
      </c>
    </row>
    <row r="2345" spans="1:11" ht="42" customHeight="1">
      <c r="A2345" s="2" t="s">
        <v>5698</v>
      </c>
      <c r="B2345" s="2" t="s">
        <v>5698</v>
      </c>
      <c r="C2345" s="2" t="s">
        <v>26</v>
      </c>
      <c r="D2345" s="2" t="s">
        <v>18</v>
      </c>
      <c r="E2345" s="5">
        <v>-30592</v>
      </c>
      <c r="F2345" s="3" t="s">
        <v>236</v>
      </c>
      <c r="G2345" s="3" t="s">
        <v>92</v>
      </c>
      <c r="H2345" s="2" t="s">
        <v>21</v>
      </c>
      <c r="I2345" s="2" t="s">
        <v>5699</v>
      </c>
      <c r="J2345" s="3" t="str">
        <f>HYPERLINK("https://www.boe.es/gazeta/dias/1816/03/28/pdfs/GMD-1816-41.pdf#page=9","Abrir facsímil")</f>
        <v>Abrir facsímil</v>
      </c>
      <c r="K2345" s="3" t="s">
        <v>23</v>
      </c>
    </row>
    <row r="2346" spans="1:11" ht="42" customHeight="1">
      <c r="A2346" s="2" t="s">
        <v>5698</v>
      </c>
      <c r="B2346" s="2" t="s">
        <v>5698</v>
      </c>
      <c r="C2346" s="2" t="s">
        <v>34</v>
      </c>
      <c r="D2346" s="2" t="s">
        <v>35</v>
      </c>
      <c r="E2346" s="5">
        <v>-30447</v>
      </c>
      <c r="F2346" s="3" t="s">
        <v>151</v>
      </c>
      <c r="G2346" s="3" t="s">
        <v>72</v>
      </c>
      <c r="H2346" s="2" t="s">
        <v>21</v>
      </c>
      <c r="I2346" s="2" t="s">
        <v>5700</v>
      </c>
      <c r="J2346" s="3" t="str">
        <f>HYPERLINK("https://www.boe.es/gazeta/dias/1816/08/20/pdfs/GMD-1816-103.pdf#page=7","Abrir facsímil")</f>
        <v>Abrir facsímil</v>
      </c>
      <c r="K2346" s="3" t="s">
        <v>23</v>
      </c>
    </row>
    <row r="2347" spans="1:11" ht="42" customHeight="1">
      <c r="A2347" s="2" t="s">
        <v>5701</v>
      </c>
      <c r="B2347" s="2" t="s">
        <v>5701</v>
      </c>
      <c r="C2347" s="2" t="s">
        <v>26</v>
      </c>
      <c r="D2347" s="2" t="s">
        <v>18</v>
      </c>
      <c r="E2347" s="5">
        <v>-30564</v>
      </c>
      <c r="F2347" s="3" t="s">
        <v>963</v>
      </c>
      <c r="G2347" s="3" t="s">
        <v>964</v>
      </c>
      <c r="H2347" s="2" t="s">
        <v>21</v>
      </c>
      <c r="I2347" s="2" t="s">
        <v>5702</v>
      </c>
      <c r="J2347" s="3" t="str">
        <f>HYPERLINK("https://www.boe.es/gazeta/dias/1816/04/25/pdfs/GMD-1816-53.pdf#page=6","Abrir facsímil")</f>
        <v>Abrir facsímil</v>
      </c>
      <c r="K2347" s="3" t="s">
        <v>23</v>
      </c>
    </row>
    <row r="2348" spans="1:11" ht="42" customHeight="1">
      <c r="A2348" s="2" t="s">
        <v>5703</v>
      </c>
      <c r="B2348" s="2" t="s">
        <v>5703</v>
      </c>
      <c r="C2348" s="2" t="s">
        <v>41</v>
      </c>
      <c r="D2348" s="2" t="s">
        <v>18</v>
      </c>
      <c r="E2348" s="5">
        <v>-30622</v>
      </c>
      <c r="F2348" s="3" t="s">
        <v>27</v>
      </c>
      <c r="G2348" s="3" t="s">
        <v>47</v>
      </c>
      <c r="H2348" s="2" t="s">
        <v>21</v>
      </c>
      <c r="I2348" s="2" t="s">
        <v>5704</v>
      </c>
      <c r="J2348" s="3" t="str">
        <f>HYPERLINK("https://www.boe.es/gazeta/dias/1816/02/27/pdfs/GMD-1816-26.pdf#page=5","Abrir facsímil")</f>
        <v>Abrir facsímil</v>
      </c>
      <c r="K2348" s="3" t="s">
        <v>23</v>
      </c>
    </row>
    <row r="2349" spans="1:11" ht="42" customHeight="1">
      <c r="A2349" s="2" t="s">
        <v>5705</v>
      </c>
      <c r="B2349" s="2" t="s">
        <v>5706</v>
      </c>
      <c r="C2349" s="2" t="s">
        <v>34</v>
      </c>
      <c r="D2349" s="2" t="s">
        <v>35</v>
      </c>
      <c r="E2349" s="5">
        <v>-30326</v>
      </c>
      <c r="F2349" s="3" t="s">
        <v>377</v>
      </c>
      <c r="G2349" s="3" t="s">
        <v>28</v>
      </c>
      <c r="H2349" s="2" t="s">
        <v>21</v>
      </c>
      <c r="I2349" s="2" t="s">
        <v>5707</v>
      </c>
      <c r="J2349" s="3" t="str">
        <f>HYPERLINK("https://www.boe.es/gazeta/dias/1816/12/19/pdfs/GMD-1816-157.pdf#page=6","Abrir facsímil")</f>
        <v>Abrir facsímil</v>
      </c>
      <c r="K2349" s="3" t="s">
        <v>23</v>
      </c>
    </row>
    <row r="2350" spans="1:11" ht="42" customHeight="1">
      <c r="A2350" s="2" t="s">
        <v>5708</v>
      </c>
      <c r="B2350" s="2" t="s">
        <v>5709</v>
      </c>
      <c r="C2350" s="2" t="s">
        <v>26</v>
      </c>
      <c r="D2350" s="2" t="s">
        <v>18</v>
      </c>
      <c r="E2350" s="5">
        <v>-30508</v>
      </c>
      <c r="F2350" s="3" t="s">
        <v>36</v>
      </c>
      <c r="G2350" s="3" t="s">
        <v>42</v>
      </c>
      <c r="H2350" s="2" t="s">
        <v>29</v>
      </c>
      <c r="I2350" s="2" t="s">
        <v>5710</v>
      </c>
      <c r="J2350" s="3" t="str">
        <f>HYPERLINK("https://www.boe.es/gazeta/dias/1816/06/20/pdfs/GMD-1816-77.pdf#page=8","Abrir facsímil")</f>
        <v>Abrir facsímil</v>
      </c>
      <c r="K2350" s="3" t="s">
        <v>31</v>
      </c>
    </row>
    <row r="2351" spans="1:11" ht="42" customHeight="1">
      <c r="A2351" s="2" t="s">
        <v>5711</v>
      </c>
      <c r="B2351" s="2" t="s">
        <v>5712</v>
      </c>
      <c r="C2351" s="2" t="s">
        <v>111</v>
      </c>
      <c r="D2351" s="2" t="s">
        <v>112</v>
      </c>
      <c r="E2351" s="5">
        <v>-30550</v>
      </c>
      <c r="F2351" s="3" t="s">
        <v>435</v>
      </c>
      <c r="G2351" s="3" t="s">
        <v>47</v>
      </c>
      <c r="H2351" s="2" t="s">
        <v>21</v>
      </c>
      <c r="I2351" s="2" t="s">
        <v>5713</v>
      </c>
      <c r="J2351" s="3" t="str">
        <f>HYPERLINK("https://www.boe.es/gazeta/dias/1816/05/09/pdfs/GMD-1816-59.pdf#page=5","Abrir facsímil")</f>
        <v>Abrir facsímil</v>
      </c>
      <c r="K2351" s="3" t="s">
        <v>23</v>
      </c>
    </row>
    <row r="2352" spans="1:11" ht="42" customHeight="1">
      <c r="A2352" s="2" t="s">
        <v>5714</v>
      </c>
      <c r="B2352" s="2" t="s">
        <v>5715</v>
      </c>
      <c r="C2352" s="2" t="s">
        <v>26</v>
      </c>
      <c r="D2352" s="2" t="s">
        <v>18</v>
      </c>
      <c r="E2352" s="5">
        <v>-30457</v>
      </c>
      <c r="F2352" s="3" t="s">
        <v>539</v>
      </c>
      <c r="G2352" s="3" t="s">
        <v>103</v>
      </c>
      <c r="H2352" s="2" t="s">
        <v>21</v>
      </c>
      <c r="I2352" s="2" t="s">
        <v>5716</v>
      </c>
      <c r="J2352" s="3" t="str">
        <f>HYPERLINK("https://www.boe.es/gazeta/dias/1816/08/10/pdfs/GMD-1816-99.pdf#page=4","Abrir facsímil")</f>
        <v>Abrir facsímil</v>
      </c>
      <c r="K2352" s="3" t="s">
        <v>23</v>
      </c>
    </row>
    <row r="2353" spans="1:11" ht="42" customHeight="1">
      <c r="A2353" s="2" t="s">
        <v>5717</v>
      </c>
      <c r="B2353" s="2" t="s">
        <v>5717</v>
      </c>
      <c r="C2353" s="2" t="s">
        <v>34</v>
      </c>
      <c r="D2353" s="2" t="s">
        <v>35</v>
      </c>
      <c r="E2353" s="5">
        <v>-30415</v>
      </c>
      <c r="F2353" s="3" t="s">
        <v>585</v>
      </c>
      <c r="G2353" s="3" t="s">
        <v>1156</v>
      </c>
      <c r="H2353" s="2" t="s">
        <v>21</v>
      </c>
      <c r="I2353" s="2" t="s">
        <v>5718</v>
      </c>
      <c r="J2353" s="3" t="str">
        <f>HYPERLINK("https://www.boe.es/gazeta/dias/1816/09/21/pdfs/GMD-1816-117.pdf#page=7","Abrir facsímil")</f>
        <v>Abrir facsímil</v>
      </c>
      <c r="K2353" s="3" t="s">
        <v>23</v>
      </c>
    </row>
    <row r="2354" spans="1:11" ht="42" customHeight="1">
      <c r="A2354" s="2" t="s">
        <v>5719</v>
      </c>
      <c r="B2354" s="2" t="s">
        <v>5720</v>
      </c>
      <c r="C2354" s="2" t="s">
        <v>34</v>
      </c>
      <c r="D2354" s="2" t="s">
        <v>35</v>
      </c>
      <c r="E2354" s="5">
        <v>-30466</v>
      </c>
      <c r="F2354" s="3" t="s">
        <v>2138</v>
      </c>
      <c r="G2354" s="3" t="s">
        <v>42</v>
      </c>
      <c r="H2354" s="2" t="s">
        <v>21</v>
      </c>
      <c r="I2354" s="2" t="s">
        <v>5721</v>
      </c>
      <c r="J2354" s="3" t="str">
        <f>HYPERLINK("https://www.boe.es/gazeta/dias/1816/08/01/pdfs/GMD-1816-95.pdf#page=8","Abrir facsímil")</f>
        <v>Abrir facsímil</v>
      </c>
      <c r="K2354" s="3" t="s">
        <v>23</v>
      </c>
    </row>
    <row r="2355" spans="1:11" ht="42" customHeight="1">
      <c r="A2355" s="2" t="s">
        <v>5722</v>
      </c>
      <c r="B2355" s="2" t="s">
        <v>5723</v>
      </c>
      <c r="C2355" s="2" t="s">
        <v>26</v>
      </c>
      <c r="D2355" s="2" t="s">
        <v>18</v>
      </c>
      <c r="E2355" s="5">
        <v>-30391</v>
      </c>
      <c r="F2355" s="3" t="s">
        <v>482</v>
      </c>
      <c r="G2355" s="3" t="s">
        <v>72</v>
      </c>
      <c r="H2355" s="2" t="s">
        <v>21</v>
      </c>
      <c r="I2355" s="2" t="s">
        <v>5724</v>
      </c>
      <c r="J2355" s="3" t="str">
        <f>HYPERLINK("https://www.boe.es/gazeta/dias/1816/10/15/pdfs/GMD-1816-129.pdf#page=7","Abrir facsímil")</f>
        <v>Abrir facsímil</v>
      </c>
      <c r="K2355" s="3" t="s">
        <v>23</v>
      </c>
    </row>
    <row r="2356" spans="1:11" ht="42" customHeight="1">
      <c r="A2356" s="2" t="s">
        <v>5725</v>
      </c>
      <c r="B2356" s="2" t="s">
        <v>5726</v>
      </c>
      <c r="C2356" s="2" t="s">
        <v>41</v>
      </c>
      <c r="D2356" s="2" t="s">
        <v>18</v>
      </c>
      <c r="E2356" s="5">
        <v>-30648</v>
      </c>
      <c r="F2356" s="3" t="s">
        <v>872</v>
      </c>
      <c r="G2356" s="3" t="s">
        <v>42</v>
      </c>
      <c r="H2356" s="2" t="s">
        <v>21</v>
      </c>
      <c r="I2356" s="2" t="s">
        <v>5727</v>
      </c>
      <c r="J2356" s="3" t="str">
        <f>HYPERLINK("https://www.boe.es/gazeta/dias/1816/02/01/pdfs/GMD-1816-15.pdf#page=8","Abrir facsímil")</f>
        <v>Abrir facsímil</v>
      </c>
      <c r="K2356" s="3" t="s">
        <v>23</v>
      </c>
    </row>
    <row r="2357" spans="1:11" ht="42" customHeight="1">
      <c r="A2357" s="2" t="s">
        <v>5725</v>
      </c>
      <c r="B2357" s="2" t="s">
        <v>5726</v>
      </c>
      <c r="C2357" s="2" t="s">
        <v>34</v>
      </c>
      <c r="D2357" s="2" t="s">
        <v>35</v>
      </c>
      <c r="E2357" s="5">
        <v>-30510</v>
      </c>
      <c r="F2357" s="3" t="s">
        <v>450</v>
      </c>
      <c r="G2357" s="3" t="s">
        <v>451</v>
      </c>
      <c r="H2357" s="2" t="s">
        <v>21</v>
      </c>
      <c r="I2357" s="2" t="s">
        <v>5728</v>
      </c>
      <c r="J2357" s="3" t="str">
        <f>HYPERLINK("https://www.boe.es/gazeta/dias/1816/06/18/pdfs/GMD-1816-76.pdf#page=8","Abrir facsímil")</f>
        <v>Abrir facsímil</v>
      </c>
      <c r="K2357" s="3" t="s">
        <v>23</v>
      </c>
    </row>
    <row r="2358" spans="1:11" ht="42" customHeight="1">
      <c r="A2358" s="2" t="s">
        <v>5729</v>
      </c>
      <c r="B2358" s="2" t="s">
        <v>5730</v>
      </c>
      <c r="C2358" s="2" t="s">
        <v>34</v>
      </c>
      <c r="D2358" s="2" t="s">
        <v>35</v>
      </c>
      <c r="E2358" s="5">
        <v>-30459</v>
      </c>
      <c r="F2358" s="3" t="s">
        <v>1957</v>
      </c>
      <c r="G2358" s="3" t="s">
        <v>42</v>
      </c>
      <c r="H2358" s="2" t="s">
        <v>21</v>
      </c>
      <c r="I2358" s="2" t="s">
        <v>5731</v>
      </c>
      <c r="J2358" s="3" t="str">
        <f>HYPERLINK("https://www.boe.es/gazeta/dias/1816/08/08/pdfs/GMD-1816-98.pdf#page=8","Abrir facsímil")</f>
        <v>Abrir facsímil</v>
      </c>
      <c r="K2358" s="3" t="s">
        <v>23</v>
      </c>
    </row>
    <row r="2359" spans="1:11" ht="42" customHeight="1">
      <c r="A2359" s="2" t="s">
        <v>5732</v>
      </c>
      <c r="B2359" s="2" t="s">
        <v>5733</v>
      </c>
      <c r="C2359" s="2" t="s">
        <v>34</v>
      </c>
      <c r="D2359" s="2" t="s">
        <v>35</v>
      </c>
      <c r="E2359" s="5">
        <v>-30445</v>
      </c>
      <c r="F2359" s="3" t="s">
        <v>51</v>
      </c>
      <c r="G2359" s="3" t="s">
        <v>180</v>
      </c>
      <c r="H2359" s="2" t="s">
        <v>21</v>
      </c>
      <c r="I2359" s="2" t="s">
        <v>5734</v>
      </c>
      <c r="J2359" s="3" t="str">
        <f>HYPERLINK("https://www.boe.es/gazeta/dias/1816/08/22/pdfs/GMD-1816-104.pdf#page=10","Abrir facsímil")</f>
        <v>Abrir facsímil</v>
      </c>
      <c r="K2359" s="3" t="s">
        <v>23</v>
      </c>
    </row>
    <row r="2360" spans="1:11" ht="42" customHeight="1">
      <c r="A2360" s="2" t="s">
        <v>5735</v>
      </c>
      <c r="B2360" s="2" t="s">
        <v>5736</v>
      </c>
      <c r="C2360" s="2" t="s">
        <v>111</v>
      </c>
      <c r="D2360" s="2" t="s">
        <v>112</v>
      </c>
      <c r="E2360" s="5">
        <v>-30636</v>
      </c>
      <c r="F2360" s="3" t="s">
        <v>82</v>
      </c>
      <c r="G2360" s="3" t="s">
        <v>72</v>
      </c>
      <c r="H2360" s="2" t="s">
        <v>29</v>
      </c>
      <c r="I2360" s="2" t="s">
        <v>5737</v>
      </c>
      <c r="J2360" s="3" t="str">
        <f>HYPERLINK("https://www.boe.es/gazeta/dias/1816/02/13/pdfs/GMD-1816-20.pdf#page=7","Abrir facsímil")</f>
        <v>Abrir facsímil</v>
      </c>
      <c r="K2360" s="3" t="s">
        <v>31</v>
      </c>
    </row>
    <row r="2361" spans="1:11" ht="42" customHeight="1">
      <c r="A2361" s="2" t="s">
        <v>5738</v>
      </c>
      <c r="B2361" s="2" t="s">
        <v>5738</v>
      </c>
      <c r="C2361" s="2" t="s">
        <v>67</v>
      </c>
      <c r="D2361" s="2" t="s">
        <v>18</v>
      </c>
      <c r="E2361" s="5">
        <v>-30580</v>
      </c>
      <c r="F2361" s="3" t="s">
        <v>107</v>
      </c>
      <c r="G2361" s="3" t="s">
        <v>47</v>
      </c>
      <c r="H2361" s="2" t="s">
        <v>21</v>
      </c>
      <c r="I2361" s="2" t="s">
        <v>5739</v>
      </c>
      <c r="J2361" s="3" t="str">
        <f>HYPERLINK("https://www.boe.es/gazeta/dias/1816/04/09/pdfs/GMD-1816-46.pdf#page=5","Abrir facsímil")</f>
        <v>Abrir facsímil</v>
      </c>
      <c r="K2361" s="3" t="s">
        <v>23</v>
      </c>
    </row>
    <row r="2362" spans="1:11" ht="42" customHeight="1">
      <c r="A2362" s="2" t="s">
        <v>5738</v>
      </c>
      <c r="B2362" s="2" t="s">
        <v>5738</v>
      </c>
      <c r="C2362" s="2" t="s">
        <v>26</v>
      </c>
      <c r="D2362" s="2" t="s">
        <v>18</v>
      </c>
      <c r="E2362" s="5">
        <v>-30524</v>
      </c>
      <c r="F2362" s="3" t="s">
        <v>98</v>
      </c>
      <c r="G2362" s="3" t="s">
        <v>47</v>
      </c>
      <c r="H2362" s="2" t="s">
        <v>21</v>
      </c>
      <c r="I2362" s="2" t="s">
        <v>5740</v>
      </c>
      <c r="J2362" s="3" t="str">
        <f>HYPERLINK("https://www.boe.es/gazeta/dias/1816/06/04/pdfs/GMD-1816-70.pdf#page=5","Abrir facsímil")</f>
        <v>Abrir facsímil</v>
      </c>
      <c r="K2362" s="3" t="s">
        <v>23</v>
      </c>
    </row>
    <row r="2363" spans="1:11" ht="42" customHeight="1">
      <c r="A2363" s="2" t="s">
        <v>5738</v>
      </c>
      <c r="B2363" s="2" t="s">
        <v>5738</v>
      </c>
      <c r="C2363" s="2" t="s">
        <v>26</v>
      </c>
      <c r="D2363" s="2" t="s">
        <v>18</v>
      </c>
      <c r="E2363" s="5">
        <v>-30508</v>
      </c>
      <c r="F2363" s="3" t="s">
        <v>36</v>
      </c>
      <c r="G2363" s="3" t="s">
        <v>47</v>
      </c>
      <c r="H2363" s="2" t="s">
        <v>21</v>
      </c>
      <c r="I2363" s="2" t="s">
        <v>5741</v>
      </c>
      <c r="J2363" s="3" t="str">
        <f>HYPERLINK("https://www.boe.es/gazeta/dias/1816/06/20/pdfs/GMD-1816-77.pdf#page=5","Abrir facsímil")</f>
        <v>Abrir facsímil</v>
      </c>
      <c r="K2363" s="3" t="s">
        <v>23</v>
      </c>
    </row>
    <row r="2364" spans="1:11" ht="42" customHeight="1">
      <c r="A2364" s="2" t="s">
        <v>5738</v>
      </c>
      <c r="B2364" s="2" t="s">
        <v>5738</v>
      </c>
      <c r="C2364" s="2" t="s">
        <v>41</v>
      </c>
      <c r="D2364" s="2" t="s">
        <v>18</v>
      </c>
      <c r="E2364" s="5">
        <v>-30440</v>
      </c>
      <c r="F2364" s="3" t="s">
        <v>564</v>
      </c>
      <c r="G2364" s="3" t="s">
        <v>47</v>
      </c>
      <c r="H2364" s="2" t="s">
        <v>21</v>
      </c>
      <c r="I2364" s="2" t="s">
        <v>5742</v>
      </c>
      <c r="J2364" s="3" t="str">
        <f>HYPERLINK("https://www.boe.es/gazeta/dias/1816/08/27/pdfs/GMD-1816-106.pdf#page=5","Abrir facsímil")</f>
        <v>Abrir facsímil</v>
      </c>
      <c r="K2364" s="3" t="s">
        <v>23</v>
      </c>
    </row>
    <row r="2365" spans="1:11" ht="42" customHeight="1">
      <c r="A2365" s="2" t="s">
        <v>5738</v>
      </c>
      <c r="B2365" s="2" t="s">
        <v>5738</v>
      </c>
      <c r="C2365" s="2" t="s">
        <v>26</v>
      </c>
      <c r="D2365" s="2" t="s">
        <v>18</v>
      </c>
      <c r="E2365" s="5">
        <v>-30429</v>
      </c>
      <c r="F2365" s="3" t="s">
        <v>598</v>
      </c>
      <c r="G2365" s="3" t="s">
        <v>4352</v>
      </c>
      <c r="H2365" s="2" t="s">
        <v>21</v>
      </c>
      <c r="I2365" s="2" t="s">
        <v>5743</v>
      </c>
      <c r="J2365" s="3" t="str">
        <f>HYPERLINK("https://www.boe.es/gazeta/dias/1816/09/07/pdfs/GMD-1816-111.pdf#page=6","Abrir facsímil")</f>
        <v>Abrir facsímil</v>
      </c>
      <c r="K2365" s="3" t="s">
        <v>23</v>
      </c>
    </row>
    <row r="2366" spans="1:11" ht="42" customHeight="1">
      <c r="A2366" s="2" t="s">
        <v>5738</v>
      </c>
      <c r="B2366" s="2" t="s">
        <v>5738</v>
      </c>
      <c r="C2366" s="2" t="s">
        <v>26</v>
      </c>
      <c r="D2366" s="2" t="s">
        <v>18</v>
      </c>
      <c r="E2366" s="5">
        <v>-30412</v>
      </c>
      <c r="F2366" s="3" t="s">
        <v>388</v>
      </c>
      <c r="G2366" s="3" t="s">
        <v>2542</v>
      </c>
      <c r="H2366" s="2" t="s">
        <v>21</v>
      </c>
      <c r="I2366" s="2" t="s">
        <v>5744</v>
      </c>
      <c r="J2366" s="3" t="str">
        <f>HYPERLINK("https://www.boe.es/gazeta/dias/1816/09/24/pdfs/GMD-1816-118.pdf#page=5","Abrir facsímil")</f>
        <v>Abrir facsímil</v>
      </c>
      <c r="K2366" s="3" t="s">
        <v>23</v>
      </c>
    </row>
    <row r="2367" spans="1:11" ht="42" customHeight="1">
      <c r="A2367" s="2" t="s">
        <v>5738</v>
      </c>
      <c r="B2367" s="2" t="s">
        <v>5738</v>
      </c>
      <c r="C2367" s="2" t="s">
        <v>111</v>
      </c>
      <c r="D2367" s="2" t="s">
        <v>112</v>
      </c>
      <c r="E2367" s="5">
        <v>-30398</v>
      </c>
      <c r="F2367" s="3" t="s">
        <v>447</v>
      </c>
      <c r="G2367" s="3" t="s">
        <v>47</v>
      </c>
      <c r="H2367" s="2" t="s">
        <v>21</v>
      </c>
      <c r="I2367" s="2" t="s">
        <v>5745</v>
      </c>
      <c r="J2367" s="3" t="str">
        <f>HYPERLINK("https://www.boe.es/gazeta/dias/1816/10/08/pdfs/GMD-1816-125.pdf#page=5","Abrir facsímil")</f>
        <v>Abrir facsímil</v>
      </c>
      <c r="K2367" s="3" t="s">
        <v>23</v>
      </c>
    </row>
    <row r="2368" spans="1:11" ht="42" customHeight="1">
      <c r="A2368" s="2" t="s">
        <v>5738</v>
      </c>
      <c r="B2368" s="2" t="s">
        <v>5738</v>
      </c>
      <c r="C2368" s="2" t="s">
        <v>26</v>
      </c>
      <c r="D2368" s="2" t="s">
        <v>18</v>
      </c>
      <c r="E2368" s="5">
        <v>-30391</v>
      </c>
      <c r="F2368" s="3" t="s">
        <v>482</v>
      </c>
      <c r="G2368" s="3" t="s">
        <v>47</v>
      </c>
      <c r="H2368" s="2" t="s">
        <v>21</v>
      </c>
      <c r="I2368" s="2" t="s">
        <v>5746</v>
      </c>
      <c r="J2368" s="3" t="str">
        <f>HYPERLINK("https://www.boe.es/gazeta/dias/1816/10/15/pdfs/GMD-1816-129.pdf#page=5","Abrir facsímil")</f>
        <v>Abrir facsímil</v>
      </c>
      <c r="K2368" s="3" t="s">
        <v>23</v>
      </c>
    </row>
    <row r="2369" spans="1:11" ht="42" customHeight="1">
      <c r="A2369" s="2" t="s">
        <v>5738</v>
      </c>
      <c r="B2369" s="2" t="s">
        <v>5738</v>
      </c>
      <c r="C2369" s="2" t="s">
        <v>26</v>
      </c>
      <c r="D2369" s="2" t="s">
        <v>18</v>
      </c>
      <c r="E2369" s="5">
        <v>-30389</v>
      </c>
      <c r="F2369" s="3" t="s">
        <v>522</v>
      </c>
      <c r="G2369" s="3" t="s">
        <v>1273</v>
      </c>
      <c r="H2369" s="2" t="s">
        <v>21</v>
      </c>
      <c r="I2369" s="2" t="s">
        <v>5747</v>
      </c>
      <c r="J2369" s="3" t="str">
        <f>HYPERLINK("https://www.boe.es/gazeta/dias/1816/10/17/pdfs/GMD-1816-130.pdf#page=4","Abrir facsímil")</f>
        <v>Abrir facsímil</v>
      </c>
      <c r="K2369" s="3" t="s">
        <v>23</v>
      </c>
    </row>
    <row r="2370" spans="1:11" ht="42" customHeight="1">
      <c r="A2370" s="2" t="s">
        <v>5738</v>
      </c>
      <c r="B2370" s="2" t="s">
        <v>5738</v>
      </c>
      <c r="C2370" s="2" t="s">
        <v>111</v>
      </c>
      <c r="D2370" s="2" t="s">
        <v>112</v>
      </c>
      <c r="E2370" s="5">
        <v>-30384</v>
      </c>
      <c r="F2370" s="3" t="s">
        <v>460</v>
      </c>
      <c r="G2370" s="3" t="s">
        <v>28</v>
      </c>
      <c r="H2370" s="2" t="s">
        <v>21</v>
      </c>
      <c r="I2370" s="2" t="s">
        <v>5748</v>
      </c>
      <c r="J2370" s="3" t="str">
        <f>HYPERLINK("https://www.boe.es/gazeta/dias/1816/10/22/pdfs/GMD-1816-132.pdf#page=6","Abrir facsímil")</f>
        <v>Abrir facsímil</v>
      </c>
      <c r="K2370" s="3" t="s">
        <v>23</v>
      </c>
    </row>
    <row r="2371" spans="1:11" ht="42" customHeight="1">
      <c r="A2371" s="2" t="s">
        <v>5738</v>
      </c>
      <c r="B2371" s="2" t="s">
        <v>5738</v>
      </c>
      <c r="C2371" s="2" t="s">
        <v>111</v>
      </c>
      <c r="D2371" s="2" t="s">
        <v>112</v>
      </c>
      <c r="E2371" s="5">
        <v>-30380</v>
      </c>
      <c r="F2371" s="3" t="s">
        <v>819</v>
      </c>
      <c r="G2371" s="3" t="s">
        <v>28</v>
      </c>
      <c r="H2371" s="2" t="s">
        <v>21</v>
      </c>
      <c r="I2371" s="2" t="s">
        <v>5749</v>
      </c>
      <c r="J2371" s="3" t="str">
        <f>HYPERLINK("https://www.boe.es/gazeta/dias/1816/10/26/pdfs/GMD-1816-134.pdf#page=6","Abrir facsímil")</f>
        <v>Abrir facsímil</v>
      </c>
      <c r="K2371" s="3" t="s">
        <v>23</v>
      </c>
    </row>
    <row r="2372" spans="1:11" ht="42" customHeight="1">
      <c r="A2372" s="2" t="s">
        <v>5738</v>
      </c>
      <c r="B2372" s="2" t="s">
        <v>5738</v>
      </c>
      <c r="C2372" s="2" t="s">
        <v>34</v>
      </c>
      <c r="D2372" s="2" t="s">
        <v>35</v>
      </c>
      <c r="E2372" s="5">
        <v>-30375</v>
      </c>
      <c r="F2372" s="3" t="s">
        <v>404</v>
      </c>
      <c r="G2372" s="3" t="s">
        <v>405</v>
      </c>
      <c r="H2372" s="2" t="s">
        <v>21</v>
      </c>
      <c r="I2372" s="2" t="s">
        <v>5750</v>
      </c>
      <c r="J2372" s="3" t="str">
        <f>HYPERLINK("https://www.boe.es/gazeta/dias/1816/10/31/pdfs/GMD-1816-136.pdf#page=6","Abrir facsímil")</f>
        <v>Abrir facsímil</v>
      </c>
      <c r="K2372" s="3" t="s">
        <v>23</v>
      </c>
    </row>
    <row r="2373" spans="1:11" ht="42" customHeight="1">
      <c r="A2373" s="2" t="s">
        <v>5738</v>
      </c>
      <c r="B2373" s="2" t="s">
        <v>5738</v>
      </c>
      <c r="C2373" s="2" t="s">
        <v>26</v>
      </c>
      <c r="D2373" s="2" t="s">
        <v>18</v>
      </c>
      <c r="E2373" s="5">
        <v>-30359</v>
      </c>
      <c r="F2373" s="3" t="s">
        <v>812</v>
      </c>
      <c r="G2373" s="3" t="s">
        <v>47</v>
      </c>
      <c r="H2373" s="2" t="s">
        <v>21</v>
      </c>
      <c r="I2373" s="2" t="s">
        <v>5751</v>
      </c>
      <c r="J2373" s="3" t="str">
        <f>HYPERLINK("https://www.boe.es/gazeta/dias/1816/11/16/pdfs/GMD-1816-143.pdf#page=5","Abrir facsímil")</f>
        <v>Abrir facsímil</v>
      </c>
      <c r="K2373" s="3" t="s">
        <v>23</v>
      </c>
    </row>
    <row r="2374" spans="1:11" ht="42" customHeight="1">
      <c r="A2374" s="2" t="s">
        <v>5738</v>
      </c>
      <c r="B2374" s="2" t="s">
        <v>5738</v>
      </c>
      <c r="C2374" s="2" t="s">
        <v>34</v>
      </c>
      <c r="D2374" s="2" t="s">
        <v>35</v>
      </c>
      <c r="E2374" s="5">
        <v>-30342</v>
      </c>
      <c r="F2374" s="3" t="s">
        <v>116</v>
      </c>
      <c r="G2374" s="3" t="s">
        <v>28</v>
      </c>
      <c r="H2374" s="2" t="s">
        <v>21</v>
      </c>
      <c r="I2374" s="2" t="s">
        <v>5752</v>
      </c>
      <c r="J2374" s="3" t="str">
        <f>HYPERLINK("https://www.boe.es/gazeta/dias/1816/12/03/pdfs/GMD-1816-150.pdf#page=6","Abrir facsímil")</f>
        <v>Abrir facsímil</v>
      </c>
      <c r="K2374" s="3" t="s">
        <v>23</v>
      </c>
    </row>
    <row r="2375" spans="1:11" ht="42" customHeight="1">
      <c r="A2375" s="2" t="s">
        <v>5738</v>
      </c>
      <c r="B2375" s="2" t="s">
        <v>5738</v>
      </c>
      <c r="C2375" s="2" t="s">
        <v>34</v>
      </c>
      <c r="D2375" s="2" t="s">
        <v>35</v>
      </c>
      <c r="E2375" s="5">
        <v>-30333</v>
      </c>
      <c r="F2375" s="3" t="s">
        <v>1005</v>
      </c>
      <c r="G2375" s="3" t="s">
        <v>1006</v>
      </c>
      <c r="H2375" s="2" t="s">
        <v>21</v>
      </c>
      <c r="I2375" s="2" t="s">
        <v>5753</v>
      </c>
      <c r="J2375" s="3" t="str">
        <f>HYPERLINK("https://www.boe.es/gazeta/dias/1816/12/12/pdfs/GMD-1816-154.pdf#page=5","Abrir facsímil")</f>
        <v>Abrir facsímil</v>
      </c>
      <c r="K2375" s="3" t="s">
        <v>23</v>
      </c>
    </row>
    <row r="2376" spans="1:11" ht="42" customHeight="1">
      <c r="A2376" s="2" t="s">
        <v>5738</v>
      </c>
      <c r="B2376" s="2" t="s">
        <v>5738</v>
      </c>
      <c r="C2376" s="2" t="s">
        <v>34</v>
      </c>
      <c r="D2376" s="2" t="s">
        <v>35</v>
      </c>
      <c r="E2376" s="5">
        <v>-30333</v>
      </c>
      <c r="F2376" s="3" t="s">
        <v>1005</v>
      </c>
      <c r="G2376" s="3" t="s">
        <v>28</v>
      </c>
      <c r="H2376" s="2" t="s">
        <v>21</v>
      </c>
      <c r="I2376" s="2" t="s">
        <v>5754</v>
      </c>
      <c r="J2376" s="3" t="str">
        <f>HYPERLINK("https://www.boe.es/gazeta/dias/1816/12/12/pdfs/GMD-1816-154.pdf#page=6","Abrir facsímil")</f>
        <v>Abrir facsímil</v>
      </c>
      <c r="K2376" s="3" t="s">
        <v>23</v>
      </c>
    </row>
    <row r="2377" spans="1:11" ht="42" customHeight="1">
      <c r="A2377" s="2" t="s">
        <v>5755</v>
      </c>
      <c r="B2377" s="2" t="s">
        <v>5755</v>
      </c>
      <c r="C2377" s="2" t="s">
        <v>26</v>
      </c>
      <c r="D2377" s="2" t="s">
        <v>18</v>
      </c>
      <c r="E2377" s="5">
        <v>-30494</v>
      </c>
      <c r="F2377" s="3" t="s">
        <v>174</v>
      </c>
      <c r="G2377" s="3" t="s">
        <v>72</v>
      </c>
      <c r="H2377" s="2" t="s">
        <v>21</v>
      </c>
      <c r="I2377" s="2" t="s">
        <v>5756</v>
      </c>
      <c r="J2377" s="3" t="str">
        <f>HYPERLINK("https://www.boe.es/gazeta/dias/1816/07/04/pdfs/GMD-1816-83.pdf#page=7","Abrir facsímil")</f>
        <v>Abrir facsímil</v>
      </c>
      <c r="K2377" s="3" t="s">
        <v>23</v>
      </c>
    </row>
    <row r="2378" spans="1:11" ht="42" customHeight="1">
      <c r="A2378" s="2" t="s">
        <v>5757</v>
      </c>
      <c r="B2378" s="2" t="s">
        <v>5757</v>
      </c>
      <c r="C2378" s="2" t="s">
        <v>41</v>
      </c>
      <c r="D2378" s="2" t="s">
        <v>18</v>
      </c>
      <c r="E2378" s="5">
        <v>-30471</v>
      </c>
      <c r="F2378" s="3" t="s">
        <v>639</v>
      </c>
      <c r="G2378" s="3" t="s">
        <v>28</v>
      </c>
      <c r="H2378" s="2" t="s">
        <v>21</v>
      </c>
      <c r="I2378" s="2" t="s">
        <v>5758</v>
      </c>
      <c r="J2378" s="3" t="str">
        <f>HYPERLINK("https://www.boe.es/gazeta/dias/1816/07/27/pdfs/GMD-1816-93.pdf#page=6","Abrir facsímil")</f>
        <v>Abrir facsímil</v>
      </c>
      <c r="K2378" s="3" t="s">
        <v>23</v>
      </c>
    </row>
    <row r="2379" spans="1:11" ht="42" customHeight="1">
      <c r="A2379" s="2" t="s">
        <v>5757</v>
      </c>
      <c r="B2379" s="2" t="s">
        <v>5757</v>
      </c>
      <c r="C2379" s="2" t="s">
        <v>26</v>
      </c>
      <c r="D2379" s="2" t="s">
        <v>18</v>
      </c>
      <c r="E2379" s="5">
        <v>-30384</v>
      </c>
      <c r="F2379" s="3" t="s">
        <v>460</v>
      </c>
      <c r="G2379" s="3" t="s">
        <v>28</v>
      </c>
      <c r="H2379" s="2" t="s">
        <v>21</v>
      </c>
      <c r="I2379" s="2" t="s">
        <v>5759</v>
      </c>
      <c r="J2379" s="3" t="str">
        <f>HYPERLINK("https://www.boe.es/gazeta/dias/1816/10/22/pdfs/GMD-1816-132.pdf#page=6","Abrir facsímil")</f>
        <v>Abrir facsímil</v>
      </c>
      <c r="K2379" s="3" t="s">
        <v>23</v>
      </c>
    </row>
    <row r="2380" spans="1:11" ht="42" customHeight="1">
      <c r="A2380" s="2" t="s">
        <v>5760</v>
      </c>
      <c r="B2380" s="2" t="s">
        <v>5760</v>
      </c>
      <c r="C2380" s="2" t="s">
        <v>111</v>
      </c>
      <c r="D2380" s="2" t="s">
        <v>112</v>
      </c>
      <c r="E2380" s="5">
        <v>-30529</v>
      </c>
      <c r="F2380" s="3" t="s">
        <v>432</v>
      </c>
      <c r="G2380" s="3" t="s">
        <v>72</v>
      </c>
      <c r="H2380" s="2" t="s">
        <v>21</v>
      </c>
      <c r="I2380" s="2" t="s">
        <v>5761</v>
      </c>
      <c r="J2380" s="3" t="str">
        <f>HYPERLINK("https://www.boe.es/gazeta/dias/1816/05/30/pdfs/GMD-1816-68.pdf#page=7","Abrir facsímil")</f>
        <v>Abrir facsímil</v>
      </c>
      <c r="K2380" s="3" t="s">
        <v>23</v>
      </c>
    </row>
    <row r="2381" spans="1:11" ht="42" customHeight="1">
      <c r="A2381" s="2" t="s">
        <v>5760</v>
      </c>
      <c r="B2381" s="2" t="s">
        <v>5760</v>
      </c>
      <c r="C2381" s="2" t="s">
        <v>41</v>
      </c>
      <c r="D2381" s="2" t="s">
        <v>18</v>
      </c>
      <c r="E2381" s="5">
        <v>-30485</v>
      </c>
      <c r="F2381" s="3" t="s">
        <v>156</v>
      </c>
      <c r="G2381" s="3" t="s">
        <v>157</v>
      </c>
      <c r="H2381" s="2" t="s">
        <v>21</v>
      </c>
      <c r="I2381" s="2" t="s">
        <v>5762</v>
      </c>
      <c r="J2381" s="3" t="str">
        <f>HYPERLINK("https://www.boe.es/gazeta/dias/1816/07/13/pdfs/GMD-1816-87.pdf#page=5","Abrir facsímil")</f>
        <v>Abrir facsímil</v>
      </c>
      <c r="K2381" s="3" t="s">
        <v>23</v>
      </c>
    </row>
    <row r="2382" spans="1:11" ht="42" customHeight="1">
      <c r="A2382" s="2" t="s">
        <v>5760</v>
      </c>
      <c r="B2382" s="2" t="s">
        <v>5760</v>
      </c>
      <c r="C2382" s="2" t="s">
        <v>26</v>
      </c>
      <c r="D2382" s="2" t="s">
        <v>18</v>
      </c>
      <c r="E2382" s="5">
        <v>-30452</v>
      </c>
      <c r="F2382" s="3" t="s">
        <v>3546</v>
      </c>
      <c r="G2382" s="3" t="s">
        <v>3547</v>
      </c>
      <c r="H2382" s="2" t="s">
        <v>21</v>
      </c>
      <c r="I2382" s="2" t="s">
        <v>5763</v>
      </c>
      <c r="J2382" s="3" t="str">
        <f>HYPERLINK("https://www.boe.es/gazeta/dias/1816/08/15/pdfs/GMD-1816-101.pdf#page=5","Abrir facsímil")</f>
        <v>Abrir facsímil</v>
      </c>
      <c r="K2382" s="3" t="s">
        <v>23</v>
      </c>
    </row>
    <row r="2383" spans="1:11" ht="42" customHeight="1">
      <c r="A2383" s="2" t="s">
        <v>5764</v>
      </c>
      <c r="B2383" s="2" t="s">
        <v>5764</v>
      </c>
      <c r="C2383" s="2" t="s">
        <v>111</v>
      </c>
      <c r="D2383" s="2" t="s">
        <v>112</v>
      </c>
      <c r="E2383" s="5">
        <v>-30370</v>
      </c>
      <c r="F2383" s="3" t="s">
        <v>669</v>
      </c>
      <c r="G2383" s="3" t="s">
        <v>103</v>
      </c>
      <c r="H2383" s="2" t="s">
        <v>21</v>
      </c>
      <c r="I2383" s="2" t="s">
        <v>5765</v>
      </c>
      <c r="J2383" s="3" t="str">
        <f>HYPERLINK("https://www.boe.es/gazeta/dias/1816/11/05/pdfs/GMD-1816-138.pdf#page=4","Abrir facsímil")</f>
        <v>Abrir facsímil</v>
      </c>
      <c r="K2383" s="3" t="s">
        <v>23</v>
      </c>
    </row>
    <row r="2384" spans="1:11" ht="42" customHeight="1">
      <c r="A2384" s="2" t="s">
        <v>5766</v>
      </c>
      <c r="B2384" s="2" t="s">
        <v>5766</v>
      </c>
      <c r="C2384" s="2" t="s">
        <v>67</v>
      </c>
      <c r="D2384" s="2" t="s">
        <v>18</v>
      </c>
      <c r="E2384" s="5">
        <v>-30627</v>
      </c>
      <c r="F2384" s="3" t="s">
        <v>136</v>
      </c>
      <c r="G2384" s="3" t="s">
        <v>47</v>
      </c>
      <c r="H2384" s="2" t="s">
        <v>21</v>
      </c>
      <c r="I2384" s="2" t="s">
        <v>5767</v>
      </c>
      <c r="J2384" s="3" t="str">
        <f>HYPERLINK("https://www.boe.es/gazeta/dias/1816/02/22/pdfs/GMD-1816-24.pdf#page=5","Abrir facsímil")</f>
        <v>Abrir facsímil</v>
      </c>
      <c r="K2384" s="3" t="s">
        <v>23</v>
      </c>
    </row>
    <row r="2385" spans="1:11" ht="42" customHeight="1">
      <c r="A2385" s="2" t="s">
        <v>5766</v>
      </c>
      <c r="B2385" s="2" t="s">
        <v>5766</v>
      </c>
      <c r="C2385" s="2" t="s">
        <v>111</v>
      </c>
      <c r="D2385" s="2" t="s">
        <v>112</v>
      </c>
      <c r="E2385" s="5">
        <v>-30566</v>
      </c>
      <c r="F2385" s="3" t="s">
        <v>113</v>
      </c>
      <c r="G2385" s="3" t="s">
        <v>28</v>
      </c>
      <c r="H2385" s="2" t="s">
        <v>21</v>
      </c>
      <c r="I2385" s="2" t="s">
        <v>5768</v>
      </c>
      <c r="J2385" s="3" t="str">
        <f>HYPERLINK("https://www.boe.es/gazeta/dias/1816/04/23/pdfs/GMD-1816-52.pdf#page=6","Abrir facsímil")</f>
        <v>Abrir facsímil</v>
      </c>
      <c r="K2385" s="3" t="s">
        <v>23</v>
      </c>
    </row>
    <row r="2386" spans="1:11" ht="42" customHeight="1">
      <c r="A2386" s="2" t="s">
        <v>5766</v>
      </c>
      <c r="B2386" s="2" t="s">
        <v>5766</v>
      </c>
      <c r="C2386" s="2" t="s">
        <v>111</v>
      </c>
      <c r="D2386" s="2" t="s">
        <v>112</v>
      </c>
      <c r="E2386" s="5">
        <v>-30499</v>
      </c>
      <c r="F2386" s="3" t="s">
        <v>971</v>
      </c>
      <c r="G2386" s="3" t="s">
        <v>2505</v>
      </c>
      <c r="H2386" s="2" t="s">
        <v>21</v>
      </c>
      <c r="I2386" s="2" t="s">
        <v>5769</v>
      </c>
      <c r="J2386" s="3" t="str">
        <f>HYPERLINK("https://www.boe.es/gazeta/dias/1816/06/29/pdfs/GMD-1816-81.pdf#page=4","Abrir facsímil")</f>
        <v>Abrir facsímil</v>
      </c>
      <c r="K2386" s="3" t="s">
        <v>23</v>
      </c>
    </row>
    <row r="2387" spans="1:11" ht="42" customHeight="1">
      <c r="A2387" s="2" t="s">
        <v>5766</v>
      </c>
      <c r="B2387" s="2" t="s">
        <v>5766</v>
      </c>
      <c r="C2387" s="2" t="s">
        <v>81</v>
      </c>
      <c r="D2387" s="2" t="s">
        <v>18</v>
      </c>
      <c r="E2387" s="5">
        <v>-30475</v>
      </c>
      <c r="F2387" s="3" t="s">
        <v>319</v>
      </c>
      <c r="G2387" s="3" t="s">
        <v>103</v>
      </c>
      <c r="H2387" s="2" t="s">
        <v>21</v>
      </c>
      <c r="I2387" s="2" t="s">
        <v>5770</v>
      </c>
      <c r="J2387" s="3" t="str">
        <f>HYPERLINK("https://www.boe.es/gazeta/dias/1816/07/23/pdfs/GMD-1816-91.pdf#page=4","Abrir facsímil")</f>
        <v>Abrir facsímil</v>
      </c>
      <c r="K2387" s="3" t="s">
        <v>23</v>
      </c>
    </row>
    <row r="2388" spans="1:11" ht="42" customHeight="1">
      <c r="A2388" s="2" t="s">
        <v>5766</v>
      </c>
      <c r="B2388" s="2" t="s">
        <v>5766</v>
      </c>
      <c r="C2388" s="2" t="s">
        <v>111</v>
      </c>
      <c r="D2388" s="2" t="s">
        <v>112</v>
      </c>
      <c r="E2388" s="5">
        <v>-30433</v>
      </c>
      <c r="F2388" s="3" t="s">
        <v>954</v>
      </c>
      <c r="G2388" s="3" t="s">
        <v>28</v>
      </c>
      <c r="H2388" s="2" t="s">
        <v>21</v>
      </c>
      <c r="I2388" s="2" t="s">
        <v>5771</v>
      </c>
      <c r="J2388" s="3" t="str">
        <f>HYPERLINK("https://www.boe.es/gazeta/dias/1816/09/03/pdfs/GMD-1816-109.pdf#page=6","Abrir facsímil")</f>
        <v>Abrir facsímil</v>
      </c>
      <c r="K2388" s="3" t="s">
        <v>23</v>
      </c>
    </row>
    <row r="2389" spans="1:11" ht="42" customHeight="1">
      <c r="A2389" s="2" t="s">
        <v>5766</v>
      </c>
      <c r="B2389" s="2" t="s">
        <v>5766</v>
      </c>
      <c r="C2389" s="2" t="s">
        <v>26</v>
      </c>
      <c r="D2389" s="2" t="s">
        <v>18</v>
      </c>
      <c r="E2389" s="5">
        <v>-30410</v>
      </c>
      <c r="F2389" s="3" t="s">
        <v>1259</v>
      </c>
      <c r="G2389" s="3" t="s">
        <v>1260</v>
      </c>
      <c r="H2389" s="2" t="s">
        <v>21</v>
      </c>
      <c r="I2389" s="2" t="s">
        <v>5772</v>
      </c>
      <c r="J2389" s="3" t="str">
        <f>HYPERLINK("https://www.boe.es/gazeta/dias/1816/09/26/pdfs/GMD-1816-119.pdf#page=7","Abrir facsímil")</f>
        <v>Abrir facsímil</v>
      </c>
      <c r="K2389" s="3" t="s">
        <v>23</v>
      </c>
    </row>
    <row r="2390" spans="1:11" ht="42" customHeight="1">
      <c r="A2390" s="2" t="s">
        <v>5766</v>
      </c>
      <c r="B2390" s="2" t="s">
        <v>5766</v>
      </c>
      <c r="C2390" s="2" t="s">
        <v>41</v>
      </c>
      <c r="D2390" s="2" t="s">
        <v>18</v>
      </c>
      <c r="E2390" s="5">
        <v>-30405</v>
      </c>
      <c r="F2390" s="3" t="s">
        <v>587</v>
      </c>
      <c r="G2390" s="3" t="s">
        <v>47</v>
      </c>
      <c r="H2390" s="2" t="s">
        <v>21</v>
      </c>
      <c r="I2390" s="2" t="s">
        <v>5773</v>
      </c>
      <c r="J2390" s="3" t="str">
        <f>HYPERLINK("https://www.boe.es/gazeta/dias/1816/10/01/pdfs/GMD-1816-121.pdf#page=5","Abrir facsímil")</f>
        <v>Abrir facsímil</v>
      </c>
      <c r="K2390" s="3" t="s">
        <v>23</v>
      </c>
    </row>
    <row r="2391" spans="1:11" ht="42" customHeight="1">
      <c r="A2391" s="2" t="s">
        <v>5766</v>
      </c>
      <c r="B2391" s="2" t="s">
        <v>5766</v>
      </c>
      <c r="C2391" s="2" t="s">
        <v>34</v>
      </c>
      <c r="D2391" s="2" t="s">
        <v>35</v>
      </c>
      <c r="E2391" s="5">
        <v>-30324</v>
      </c>
      <c r="F2391" s="3" t="s">
        <v>46</v>
      </c>
      <c r="G2391" s="3" t="s">
        <v>47</v>
      </c>
      <c r="H2391" s="2" t="s">
        <v>21</v>
      </c>
      <c r="I2391" s="2" t="s">
        <v>5774</v>
      </c>
      <c r="J2391" s="3" t="str">
        <f>HYPERLINK("https://www.boe.es/gazeta/dias/1816/12/21/pdfs/GMD-1816-158.pdf#page=5","Abrir facsímil")</f>
        <v>Abrir facsímil</v>
      </c>
      <c r="K2391" s="3" t="s">
        <v>23</v>
      </c>
    </row>
    <row r="2392" spans="1:11" ht="42" customHeight="1">
      <c r="A2392" s="2" t="s">
        <v>5775</v>
      </c>
      <c r="B2392" s="2" t="s">
        <v>5776</v>
      </c>
      <c r="C2392" s="2" t="s">
        <v>17</v>
      </c>
      <c r="D2392" s="2" t="s">
        <v>18</v>
      </c>
      <c r="E2392" s="5">
        <v>-30674</v>
      </c>
      <c r="F2392" s="3" t="s">
        <v>19</v>
      </c>
      <c r="G2392" s="3" t="s">
        <v>72</v>
      </c>
      <c r="H2392" s="2" t="s">
        <v>21</v>
      </c>
      <c r="I2392" s="2" t="s">
        <v>5777</v>
      </c>
      <c r="J2392" s="3" t="str">
        <f>HYPERLINK("https://www.boe.es/gazeta/dias/1816/01/06/pdfs/GMD-1816-3.pdf#page=7","Abrir facsímil")</f>
        <v>Abrir facsímil</v>
      </c>
      <c r="K2392" s="3" t="s">
        <v>23</v>
      </c>
    </row>
    <row r="2393" spans="1:11" ht="42" customHeight="1">
      <c r="A2393" s="2" t="s">
        <v>5775</v>
      </c>
      <c r="B2393" s="2" t="s">
        <v>5776</v>
      </c>
      <c r="C2393" s="2" t="s">
        <v>111</v>
      </c>
      <c r="D2393" s="2" t="s">
        <v>112</v>
      </c>
      <c r="E2393" s="5">
        <v>-30578</v>
      </c>
      <c r="F2393" s="3" t="s">
        <v>91</v>
      </c>
      <c r="G2393" s="3" t="s">
        <v>286</v>
      </c>
      <c r="H2393" s="2" t="s">
        <v>21</v>
      </c>
      <c r="I2393" s="2" t="s">
        <v>5778</v>
      </c>
      <c r="J2393" s="3" t="str">
        <f>HYPERLINK("https://www.boe.es/gazeta/dias/1816/04/11/pdfs/GMD-1816-47.pdf#page=11","Abrir facsímil")</f>
        <v>Abrir facsímil</v>
      </c>
      <c r="K2393" s="3" t="s">
        <v>23</v>
      </c>
    </row>
    <row r="2394" spans="1:11" ht="42" customHeight="1">
      <c r="A2394" s="2" t="s">
        <v>5775</v>
      </c>
      <c r="B2394" s="2" t="s">
        <v>5776</v>
      </c>
      <c r="C2394" s="2" t="s">
        <v>34</v>
      </c>
      <c r="D2394" s="2" t="s">
        <v>35</v>
      </c>
      <c r="E2394" s="5">
        <v>-30361</v>
      </c>
      <c r="F2394" s="3" t="s">
        <v>1741</v>
      </c>
      <c r="G2394" s="3" t="s">
        <v>47</v>
      </c>
      <c r="H2394" s="2" t="s">
        <v>21</v>
      </c>
      <c r="I2394" s="2" t="s">
        <v>5779</v>
      </c>
      <c r="J2394" s="3" t="str">
        <f>HYPERLINK("https://www.boe.es/gazeta/dias/1816/11/14/pdfs/GMD-1816-142.pdf#page=5","Abrir facsímil")</f>
        <v>Abrir facsímil</v>
      </c>
      <c r="K2394" s="3" t="s">
        <v>23</v>
      </c>
    </row>
    <row r="2395" spans="1:11" ht="42" customHeight="1">
      <c r="A2395" s="2" t="s">
        <v>5780</v>
      </c>
      <c r="B2395" s="2" t="s">
        <v>5780</v>
      </c>
      <c r="C2395" s="2" t="s">
        <v>26</v>
      </c>
      <c r="D2395" s="2" t="s">
        <v>18</v>
      </c>
      <c r="E2395" s="5">
        <v>-30664</v>
      </c>
      <c r="F2395" s="3" t="s">
        <v>1999</v>
      </c>
      <c r="G2395" s="3" t="s">
        <v>42</v>
      </c>
      <c r="H2395" s="2" t="s">
        <v>21</v>
      </c>
      <c r="I2395" s="2" t="s">
        <v>5781</v>
      </c>
      <c r="J2395" s="3" t="str">
        <f>HYPERLINK("https://www.boe.es/gazeta/dias/1816/01/16/pdfs/GMD-1816-7.pdf#page=8","Abrir facsímil")</f>
        <v>Abrir facsímil</v>
      </c>
      <c r="K2395" s="3" t="s">
        <v>23</v>
      </c>
    </row>
    <row r="2396" spans="1:11" ht="42" customHeight="1">
      <c r="A2396" s="2" t="s">
        <v>5780</v>
      </c>
      <c r="B2396" s="2" t="s">
        <v>5780</v>
      </c>
      <c r="C2396" s="2" t="s">
        <v>17</v>
      </c>
      <c r="D2396" s="2" t="s">
        <v>18</v>
      </c>
      <c r="E2396" s="5">
        <v>-30662</v>
      </c>
      <c r="F2396" s="3" t="s">
        <v>485</v>
      </c>
      <c r="G2396" s="3" t="s">
        <v>47</v>
      </c>
      <c r="H2396" s="2" t="s">
        <v>21</v>
      </c>
      <c r="I2396" s="2" t="s">
        <v>5782</v>
      </c>
      <c r="J2396" s="3" t="str">
        <f>HYPERLINK("https://www.boe.es/gazeta/dias/1816/01/18/pdfs/GMD-1816-8.pdf#page=5","Abrir facsímil")</f>
        <v>Abrir facsímil</v>
      </c>
      <c r="K2396" s="3" t="s">
        <v>23</v>
      </c>
    </row>
    <row r="2397" spans="1:11" ht="42" customHeight="1">
      <c r="A2397" s="2" t="s">
        <v>5780</v>
      </c>
      <c r="B2397" s="2" t="s">
        <v>5780</v>
      </c>
      <c r="C2397" s="2" t="s">
        <v>111</v>
      </c>
      <c r="D2397" s="2" t="s">
        <v>112</v>
      </c>
      <c r="E2397" s="5">
        <v>-30662</v>
      </c>
      <c r="F2397" s="3" t="s">
        <v>485</v>
      </c>
      <c r="G2397" s="3" t="s">
        <v>28</v>
      </c>
      <c r="H2397" s="2" t="s">
        <v>21</v>
      </c>
      <c r="I2397" s="2" t="s">
        <v>5783</v>
      </c>
      <c r="J2397" s="3" t="str">
        <f>HYPERLINK("https://www.boe.es/gazeta/dias/1816/01/18/pdfs/GMD-1816-8.pdf#page=6","Abrir facsímil")</f>
        <v>Abrir facsímil</v>
      </c>
      <c r="K2397" s="3" t="s">
        <v>23</v>
      </c>
    </row>
    <row r="2398" spans="1:11" ht="42" customHeight="1">
      <c r="A2398" s="2" t="s">
        <v>5780</v>
      </c>
      <c r="B2398" s="2" t="s">
        <v>5780</v>
      </c>
      <c r="C2398" s="2" t="s">
        <v>26</v>
      </c>
      <c r="D2398" s="2" t="s">
        <v>18</v>
      </c>
      <c r="E2398" s="5">
        <v>-30641</v>
      </c>
      <c r="F2398" s="3" t="s">
        <v>192</v>
      </c>
      <c r="G2398" s="3" t="s">
        <v>3034</v>
      </c>
      <c r="H2398" s="2" t="s">
        <v>21</v>
      </c>
      <c r="I2398" s="2" t="s">
        <v>5784</v>
      </c>
      <c r="J2398" s="3" t="str">
        <f>HYPERLINK("https://www.boe.es/gazeta/dias/1816/02/08/pdfs/GMD-1816-18.pdf#page=6","Abrir facsímil")</f>
        <v>Abrir facsímil</v>
      </c>
      <c r="K2398" s="3" t="s">
        <v>23</v>
      </c>
    </row>
    <row r="2399" spans="1:11" ht="42" customHeight="1">
      <c r="A2399" s="2" t="s">
        <v>5780</v>
      </c>
      <c r="B2399" s="2" t="s">
        <v>5780</v>
      </c>
      <c r="C2399" s="2" t="s">
        <v>111</v>
      </c>
      <c r="D2399" s="2" t="s">
        <v>112</v>
      </c>
      <c r="E2399" s="5">
        <v>-30634</v>
      </c>
      <c r="F2399" s="3" t="s">
        <v>1104</v>
      </c>
      <c r="G2399" s="3" t="s">
        <v>28</v>
      </c>
      <c r="H2399" s="2" t="s">
        <v>21</v>
      </c>
      <c r="I2399" s="2" t="s">
        <v>5785</v>
      </c>
      <c r="J2399" s="3" t="str">
        <f>HYPERLINK("https://www.boe.es/gazeta/dias/1816/02/15/pdfs/GMD-1816-21.pdf#page=6","Abrir facsímil")</f>
        <v>Abrir facsímil</v>
      </c>
      <c r="K2399" s="3" t="s">
        <v>23</v>
      </c>
    </row>
    <row r="2400" spans="1:11" ht="42" customHeight="1">
      <c r="A2400" s="2" t="s">
        <v>5780</v>
      </c>
      <c r="B2400" s="2" t="s">
        <v>5780</v>
      </c>
      <c r="C2400" s="2" t="s">
        <v>111</v>
      </c>
      <c r="D2400" s="2" t="s">
        <v>112</v>
      </c>
      <c r="E2400" s="5">
        <v>-30622</v>
      </c>
      <c r="F2400" s="3" t="s">
        <v>27</v>
      </c>
      <c r="G2400" s="3" t="s">
        <v>47</v>
      </c>
      <c r="H2400" s="2" t="s">
        <v>21</v>
      </c>
      <c r="I2400" s="2" t="s">
        <v>5786</v>
      </c>
      <c r="J2400" s="3" t="str">
        <f>HYPERLINK("https://www.boe.es/gazeta/dias/1816/02/27/pdfs/GMD-1816-26.pdf#page=5","Abrir facsímil")</f>
        <v>Abrir facsímil</v>
      </c>
      <c r="K2400" s="3" t="s">
        <v>23</v>
      </c>
    </row>
    <row r="2401" spans="1:11" ht="42" customHeight="1">
      <c r="A2401" s="2" t="s">
        <v>5780</v>
      </c>
      <c r="B2401" s="2" t="s">
        <v>5780</v>
      </c>
      <c r="C2401" s="2" t="s">
        <v>111</v>
      </c>
      <c r="D2401" s="2" t="s">
        <v>56</v>
      </c>
      <c r="E2401" s="5">
        <v>-30622</v>
      </c>
      <c r="F2401" s="3" t="s">
        <v>907</v>
      </c>
      <c r="G2401" s="3" t="s">
        <v>58</v>
      </c>
      <c r="H2401" s="2" t="s">
        <v>21</v>
      </c>
      <c r="I2401" s="2" t="s">
        <v>5787</v>
      </c>
      <c r="J2401" s="3" t="str">
        <f>HYPERLINK("https://www.boe.es/gazeta/dias/1816/02/27/pdfs/GMD-1816-27E.pdf#page=1","Abrir facsímil")</f>
        <v>Abrir facsímil</v>
      </c>
      <c r="K2401" s="3" t="s">
        <v>23</v>
      </c>
    </row>
    <row r="2402" spans="1:11" ht="42" customHeight="1">
      <c r="A2402" s="2" t="s">
        <v>5780</v>
      </c>
      <c r="B2402" s="2" t="s">
        <v>5780</v>
      </c>
      <c r="C2402" s="2" t="s">
        <v>26</v>
      </c>
      <c r="D2402" s="2" t="s">
        <v>56</v>
      </c>
      <c r="E2402" s="5">
        <v>-30622</v>
      </c>
      <c r="F2402" s="3" t="s">
        <v>907</v>
      </c>
      <c r="G2402" s="3" t="s">
        <v>103</v>
      </c>
      <c r="H2402" s="2" t="s">
        <v>21</v>
      </c>
      <c r="I2402" s="2" t="s">
        <v>5788</v>
      </c>
      <c r="J2402" s="3" t="str">
        <f>HYPERLINK("https://www.boe.es/gazeta/dias/1816/02/27/pdfs/GMD-1816-27E.pdf#page=4","Abrir facsímil")</f>
        <v>Abrir facsímil</v>
      </c>
      <c r="K2402" s="3" t="s">
        <v>23</v>
      </c>
    </row>
    <row r="2403" spans="1:11" ht="42" customHeight="1">
      <c r="A2403" s="2" t="s">
        <v>5780</v>
      </c>
      <c r="B2403" s="2" t="s">
        <v>5780</v>
      </c>
      <c r="C2403" s="2" t="s">
        <v>34</v>
      </c>
      <c r="D2403" s="2" t="s">
        <v>35</v>
      </c>
      <c r="E2403" s="5">
        <v>-30615</v>
      </c>
      <c r="F2403" s="3" t="s">
        <v>1848</v>
      </c>
      <c r="G2403" s="3" t="s">
        <v>72</v>
      </c>
      <c r="H2403" s="2" t="s">
        <v>21</v>
      </c>
      <c r="I2403" s="2" t="s">
        <v>5789</v>
      </c>
      <c r="J2403" s="3" t="str">
        <f>HYPERLINK("https://www.boe.es/gazeta/dias/1816/03/05/pdfs/GMD-1816-30.pdf#page=7","Abrir facsímil")</f>
        <v>Abrir facsímil</v>
      </c>
      <c r="K2403" s="3" t="s">
        <v>23</v>
      </c>
    </row>
    <row r="2404" spans="1:11" ht="42" customHeight="1">
      <c r="A2404" s="2" t="s">
        <v>5780</v>
      </c>
      <c r="B2404" s="2" t="s">
        <v>5780</v>
      </c>
      <c r="C2404" s="2" t="s">
        <v>34</v>
      </c>
      <c r="D2404" s="2" t="s">
        <v>35</v>
      </c>
      <c r="E2404" s="5">
        <v>-30608</v>
      </c>
      <c r="F2404" s="3" t="s">
        <v>550</v>
      </c>
      <c r="G2404" s="3" t="s">
        <v>72</v>
      </c>
      <c r="H2404" s="2" t="s">
        <v>21</v>
      </c>
      <c r="I2404" s="2" t="s">
        <v>5790</v>
      </c>
      <c r="J2404" s="3" t="str">
        <f>HYPERLINK("https://www.boe.es/gazeta/dias/1816/03/12/pdfs/GMD-1816-33.pdf#page=7","Abrir facsímil")</f>
        <v>Abrir facsímil</v>
      </c>
      <c r="K2404" s="3" t="s">
        <v>23</v>
      </c>
    </row>
    <row r="2405" spans="1:11" ht="42" customHeight="1">
      <c r="A2405" s="2" t="s">
        <v>5780</v>
      </c>
      <c r="B2405" s="2" t="s">
        <v>5780</v>
      </c>
      <c r="C2405" s="2" t="s">
        <v>111</v>
      </c>
      <c r="D2405" s="2" t="s">
        <v>112</v>
      </c>
      <c r="E2405" s="5">
        <v>-30590</v>
      </c>
      <c r="F2405" s="3" t="s">
        <v>195</v>
      </c>
      <c r="G2405" s="3" t="s">
        <v>103</v>
      </c>
      <c r="H2405" s="2" t="s">
        <v>21</v>
      </c>
      <c r="I2405" s="2" t="s">
        <v>5791</v>
      </c>
      <c r="J2405" s="3" t="str">
        <f>HYPERLINK("https://www.boe.es/gazeta/dias/1816/03/30/pdfs/GMD-1816-42.pdf#page=4","Abrir facsímil")</f>
        <v>Abrir facsímil</v>
      </c>
      <c r="K2405" s="3" t="s">
        <v>23</v>
      </c>
    </row>
    <row r="2406" spans="1:11" ht="42" customHeight="1">
      <c r="A2406" s="2" t="s">
        <v>5780</v>
      </c>
      <c r="B2406" s="2" t="s">
        <v>5780</v>
      </c>
      <c r="C2406" s="2" t="s">
        <v>26</v>
      </c>
      <c r="D2406" s="2" t="s">
        <v>18</v>
      </c>
      <c r="E2406" s="5">
        <v>-30583</v>
      </c>
      <c r="F2406" s="3" t="s">
        <v>241</v>
      </c>
      <c r="G2406" s="3" t="s">
        <v>1236</v>
      </c>
      <c r="H2406" s="2" t="s">
        <v>21</v>
      </c>
      <c r="I2406" s="2" t="s">
        <v>5792</v>
      </c>
      <c r="J2406" s="3" t="str">
        <f>HYPERLINK("https://www.boe.es/gazeta/dias/1816/04/06/pdfs/GMD-1816-45.pdf#page=6","Abrir facsímil")</f>
        <v>Abrir facsímil</v>
      </c>
      <c r="K2406" s="3" t="s">
        <v>23</v>
      </c>
    </row>
    <row r="2407" spans="1:11" ht="42" customHeight="1">
      <c r="A2407" s="2" t="s">
        <v>5780</v>
      </c>
      <c r="B2407" s="2" t="s">
        <v>5780</v>
      </c>
      <c r="C2407" s="2" t="s">
        <v>387</v>
      </c>
      <c r="D2407" s="2" t="s">
        <v>18</v>
      </c>
      <c r="E2407" s="5">
        <v>-30583</v>
      </c>
      <c r="F2407" s="3" t="s">
        <v>241</v>
      </c>
      <c r="G2407" s="3" t="s">
        <v>184</v>
      </c>
      <c r="H2407" s="2" t="s">
        <v>21</v>
      </c>
      <c r="I2407" s="2" t="s">
        <v>5793</v>
      </c>
      <c r="J2407" s="3" t="str">
        <f>HYPERLINK("https://www.boe.es/gazeta/dias/1816/04/06/pdfs/GMD-1816-45.pdf#page=3","Abrir facsímil")</f>
        <v>Abrir facsímil</v>
      </c>
      <c r="K2407" s="3" t="s">
        <v>23</v>
      </c>
    </row>
    <row r="2408" spans="1:11" ht="42" customHeight="1">
      <c r="A2408" s="2" t="s">
        <v>5780</v>
      </c>
      <c r="B2408" s="2" t="s">
        <v>5780</v>
      </c>
      <c r="C2408" s="2" t="s">
        <v>111</v>
      </c>
      <c r="D2408" s="2" t="s">
        <v>112</v>
      </c>
      <c r="E2408" s="5">
        <v>-30583</v>
      </c>
      <c r="F2408" s="3" t="s">
        <v>241</v>
      </c>
      <c r="G2408" s="3" t="s">
        <v>103</v>
      </c>
      <c r="H2408" s="2" t="s">
        <v>21</v>
      </c>
      <c r="I2408" s="2" t="s">
        <v>5794</v>
      </c>
      <c r="J2408" s="3" t="str">
        <f>HYPERLINK("https://www.boe.es/gazeta/dias/1816/04/06/pdfs/GMD-1816-45.pdf#page=4","Abrir facsímil")</f>
        <v>Abrir facsímil</v>
      </c>
      <c r="K2408" s="3" t="s">
        <v>23</v>
      </c>
    </row>
    <row r="2409" spans="1:11" ht="42" customHeight="1">
      <c r="A2409" s="2" t="s">
        <v>5780</v>
      </c>
      <c r="B2409" s="2" t="s">
        <v>5780</v>
      </c>
      <c r="C2409" s="2" t="s">
        <v>34</v>
      </c>
      <c r="D2409" s="2" t="s">
        <v>35</v>
      </c>
      <c r="E2409" s="5">
        <v>-30580</v>
      </c>
      <c r="F2409" s="3" t="s">
        <v>107</v>
      </c>
      <c r="G2409" s="3" t="s">
        <v>103</v>
      </c>
      <c r="H2409" s="2" t="s">
        <v>21</v>
      </c>
      <c r="I2409" s="2" t="s">
        <v>5795</v>
      </c>
      <c r="J2409" s="3" t="str">
        <f>HYPERLINK("https://www.boe.es/gazeta/dias/1816/04/09/pdfs/GMD-1816-46.pdf#page=4","Abrir facsímil")</f>
        <v>Abrir facsímil</v>
      </c>
      <c r="K2409" s="3" t="s">
        <v>23</v>
      </c>
    </row>
    <row r="2410" spans="1:11" ht="42" customHeight="1">
      <c r="A2410" s="2" t="s">
        <v>5780</v>
      </c>
      <c r="B2410" s="2" t="s">
        <v>5780</v>
      </c>
      <c r="C2410" s="2" t="s">
        <v>111</v>
      </c>
      <c r="D2410" s="2" t="s">
        <v>112</v>
      </c>
      <c r="E2410" s="5">
        <v>-30576</v>
      </c>
      <c r="F2410" s="3" t="s">
        <v>353</v>
      </c>
      <c r="G2410" s="3" t="s">
        <v>28</v>
      </c>
      <c r="H2410" s="2" t="s">
        <v>21</v>
      </c>
      <c r="I2410" s="2" t="s">
        <v>5796</v>
      </c>
      <c r="J2410" s="3" t="str">
        <f>HYPERLINK("https://www.boe.es/gazeta/dias/1816/04/13/pdfs/GMD-1816-48.pdf#page=6","Abrir facsímil")</f>
        <v>Abrir facsímil</v>
      </c>
      <c r="K2410" s="3" t="s">
        <v>23</v>
      </c>
    </row>
    <row r="2411" spans="1:11" ht="42" customHeight="1">
      <c r="A2411" s="2" t="s">
        <v>5780</v>
      </c>
      <c r="B2411" s="2" t="s">
        <v>5780</v>
      </c>
      <c r="C2411" s="2" t="s">
        <v>26</v>
      </c>
      <c r="D2411" s="2" t="s">
        <v>18</v>
      </c>
      <c r="E2411" s="5">
        <v>-30573</v>
      </c>
      <c r="F2411" s="3" t="s">
        <v>840</v>
      </c>
      <c r="G2411" s="3" t="s">
        <v>72</v>
      </c>
      <c r="H2411" s="2" t="s">
        <v>21</v>
      </c>
      <c r="I2411" s="2" t="s">
        <v>5797</v>
      </c>
      <c r="J2411" s="3" t="str">
        <f>HYPERLINK("https://www.boe.es/gazeta/dias/1816/04/16/pdfs/GMD-1816-49.pdf#page=7","Abrir facsímil")</f>
        <v>Abrir facsímil</v>
      </c>
      <c r="K2411" s="3" t="s">
        <v>23</v>
      </c>
    </row>
    <row r="2412" spans="1:11" ht="42" customHeight="1">
      <c r="A2412" s="2" t="s">
        <v>5780</v>
      </c>
      <c r="B2412" s="2" t="s">
        <v>5780</v>
      </c>
      <c r="C2412" s="2" t="s">
        <v>34</v>
      </c>
      <c r="D2412" s="2" t="s">
        <v>35</v>
      </c>
      <c r="E2412" s="5">
        <v>-30566</v>
      </c>
      <c r="F2412" s="3" t="s">
        <v>113</v>
      </c>
      <c r="G2412" s="3" t="s">
        <v>28</v>
      </c>
      <c r="H2412" s="2" t="s">
        <v>21</v>
      </c>
      <c r="I2412" s="2" t="s">
        <v>5798</v>
      </c>
      <c r="J2412" s="3" t="str">
        <f>HYPERLINK("https://www.boe.es/gazeta/dias/1816/04/23/pdfs/GMD-1816-52.pdf#page=6","Abrir facsímil")</f>
        <v>Abrir facsímil</v>
      </c>
      <c r="K2412" s="3" t="s">
        <v>23</v>
      </c>
    </row>
    <row r="2413" spans="1:11" ht="42" customHeight="1">
      <c r="A2413" s="2" t="s">
        <v>5780</v>
      </c>
      <c r="B2413" s="2" t="s">
        <v>5780</v>
      </c>
      <c r="C2413" s="2" t="s">
        <v>111</v>
      </c>
      <c r="D2413" s="2" t="s">
        <v>112</v>
      </c>
      <c r="E2413" s="5">
        <v>-30562</v>
      </c>
      <c r="F2413" s="3" t="s">
        <v>1664</v>
      </c>
      <c r="G2413" s="3" t="s">
        <v>3755</v>
      </c>
      <c r="H2413" s="2" t="s">
        <v>21</v>
      </c>
      <c r="I2413" s="2" t="s">
        <v>5799</v>
      </c>
      <c r="J2413" s="3" t="str">
        <f>HYPERLINK("https://www.boe.es/gazeta/dias/1816/04/27/pdfs/GMD-1816-54.pdf#page=4","Abrir facsímil")</f>
        <v>Abrir facsímil</v>
      </c>
      <c r="K2413" s="3" t="s">
        <v>23</v>
      </c>
    </row>
    <row r="2414" spans="1:11" ht="42" customHeight="1">
      <c r="A2414" s="2" t="s">
        <v>5780</v>
      </c>
      <c r="B2414" s="2" t="s">
        <v>5780</v>
      </c>
      <c r="C2414" s="2" t="s">
        <v>111</v>
      </c>
      <c r="D2414" s="2" t="s">
        <v>112</v>
      </c>
      <c r="E2414" s="5">
        <v>-30548</v>
      </c>
      <c r="F2414" s="3" t="s">
        <v>472</v>
      </c>
      <c r="G2414" s="3" t="s">
        <v>28</v>
      </c>
      <c r="H2414" s="2" t="s">
        <v>21</v>
      </c>
      <c r="I2414" s="2" t="s">
        <v>5800</v>
      </c>
      <c r="J2414" s="3" t="str">
        <f>HYPERLINK("https://www.boe.es/gazeta/dias/1816/05/11/pdfs/GMD-1816-60.pdf#page=6","Abrir facsímil")</f>
        <v>Abrir facsímil</v>
      </c>
      <c r="K2414" s="3" t="s">
        <v>23</v>
      </c>
    </row>
    <row r="2415" spans="1:11" ht="42" customHeight="1">
      <c r="A2415" s="2" t="s">
        <v>5780</v>
      </c>
      <c r="B2415" s="2" t="s">
        <v>5780</v>
      </c>
      <c r="C2415" s="2" t="s">
        <v>26</v>
      </c>
      <c r="D2415" s="2" t="s">
        <v>18</v>
      </c>
      <c r="E2415" s="5">
        <v>-30545</v>
      </c>
      <c r="F2415" s="3" t="s">
        <v>127</v>
      </c>
      <c r="G2415" s="3" t="s">
        <v>5801</v>
      </c>
      <c r="H2415" s="2" t="s">
        <v>21</v>
      </c>
      <c r="I2415" s="2" t="s">
        <v>5802</v>
      </c>
      <c r="J2415" s="3" t="str">
        <f>HYPERLINK("https://www.boe.es/gazeta/dias/1816/05/14/pdfs/GMD-1816-61.pdf#page=5","Abrir facsímil")</f>
        <v>Abrir facsímil</v>
      </c>
      <c r="K2415" s="3" t="s">
        <v>23</v>
      </c>
    </row>
    <row r="2416" spans="1:11" ht="42" customHeight="1">
      <c r="A2416" s="2" t="s">
        <v>5780</v>
      </c>
      <c r="B2416" s="2" t="s">
        <v>5780</v>
      </c>
      <c r="C2416" s="2" t="s">
        <v>26</v>
      </c>
      <c r="D2416" s="2" t="s">
        <v>18</v>
      </c>
      <c r="E2416" s="5">
        <v>-30543</v>
      </c>
      <c r="F2416" s="3" t="s">
        <v>94</v>
      </c>
      <c r="G2416" s="3" t="s">
        <v>103</v>
      </c>
      <c r="H2416" s="2" t="s">
        <v>21</v>
      </c>
      <c r="I2416" s="2" t="s">
        <v>5803</v>
      </c>
      <c r="J2416" s="3" t="str">
        <f>HYPERLINK("https://www.boe.es/gazeta/dias/1816/05/16/pdfs/GMD-1816-62.pdf#page=4","Abrir facsímil")</f>
        <v>Abrir facsímil</v>
      </c>
      <c r="K2416" s="3" t="s">
        <v>23</v>
      </c>
    </row>
    <row r="2417" spans="1:11" ht="42" customHeight="1">
      <c r="A2417" s="2" t="s">
        <v>5780</v>
      </c>
      <c r="B2417" s="2" t="s">
        <v>5780</v>
      </c>
      <c r="C2417" s="2" t="s">
        <v>34</v>
      </c>
      <c r="D2417" s="2" t="s">
        <v>35</v>
      </c>
      <c r="E2417" s="5">
        <v>-30541</v>
      </c>
      <c r="F2417" s="3" t="s">
        <v>96</v>
      </c>
      <c r="G2417" s="3" t="s">
        <v>47</v>
      </c>
      <c r="H2417" s="2" t="s">
        <v>21</v>
      </c>
      <c r="I2417" s="2" t="s">
        <v>5804</v>
      </c>
      <c r="J2417" s="3" t="str">
        <f>HYPERLINK("https://www.boe.es/gazeta/dias/1816/05/18/pdfs/GMD-1816-63.pdf#page=5","Abrir facsímil")</f>
        <v>Abrir facsímil</v>
      </c>
      <c r="K2417" s="3" t="s">
        <v>23</v>
      </c>
    </row>
    <row r="2418" spans="1:11" ht="42" customHeight="1">
      <c r="A2418" s="2" t="s">
        <v>5780</v>
      </c>
      <c r="B2418" s="2" t="s">
        <v>5780</v>
      </c>
      <c r="C2418" s="2" t="s">
        <v>111</v>
      </c>
      <c r="D2418" s="2" t="s">
        <v>112</v>
      </c>
      <c r="E2418" s="5">
        <v>-30524</v>
      </c>
      <c r="F2418" s="3" t="s">
        <v>98</v>
      </c>
      <c r="G2418" s="3" t="s">
        <v>103</v>
      </c>
      <c r="H2418" s="2" t="s">
        <v>21</v>
      </c>
      <c r="I2418" s="2" t="s">
        <v>5805</v>
      </c>
      <c r="J2418" s="3" t="str">
        <f>HYPERLINK("https://www.boe.es/gazeta/dias/1816/06/04/pdfs/GMD-1816-70.pdf#page=4","Abrir facsímil")</f>
        <v>Abrir facsímil</v>
      </c>
      <c r="K2418" s="3" t="s">
        <v>23</v>
      </c>
    </row>
    <row r="2419" spans="1:11" ht="42" customHeight="1">
      <c r="A2419" s="2" t="s">
        <v>5780</v>
      </c>
      <c r="B2419" s="2" t="s">
        <v>5780</v>
      </c>
      <c r="C2419" s="2" t="s">
        <v>26</v>
      </c>
      <c r="D2419" s="2" t="s">
        <v>18</v>
      </c>
      <c r="E2419" s="5">
        <v>-30524</v>
      </c>
      <c r="F2419" s="3" t="s">
        <v>98</v>
      </c>
      <c r="G2419" s="3" t="s">
        <v>47</v>
      </c>
      <c r="H2419" s="2" t="s">
        <v>21</v>
      </c>
      <c r="I2419" s="2" t="s">
        <v>5806</v>
      </c>
      <c r="J2419" s="3" t="str">
        <f>HYPERLINK("https://www.boe.es/gazeta/dias/1816/06/04/pdfs/GMD-1816-70.pdf#page=5","Abrir facsímil")</f>
        <v>Abrir facsímil</v>
      </c>
      <c r="K2419" s="3" t="s">
        <v>23</v>
      </c>
    </row>
    <row r="2420" spans="1:11" ht="42" customHeight="1">
      <c r="A2420" s="2" t="s">
        <v>5780</v>
      </c>
      <c r="B2420" s="2" t="s">
        <v>5780</v>
      </c>
      <c r="C2420" s="2" t="s">
        <v>17</v>
      </c>
      <c r="D2420" s="2" t="s">
        <v>18</v>
      </c>
      <c r="E2420" s="5">
        <v>-30522</v>
      </c>
      <c r="F2420" s="3" t="s">
        <v>282</v>
      </c>
      <c r="G2420" s="3" t="s">
        <v>47</v>
      </c>
      <c r="H2420" s="2" t="s">
        <v>21</v>
      </c>
      <c r="I2420" s="2" t="s">
        <v>5807</v>
      </c>
      <c r="J2420" s="3" t="str">
        <f>HYPERLINK("https://www.boe.es/gazeta/dias/1816/06/06/pdfs/GMD-1816-71.pdf#page=5","Abrir facsímil")</f>
        <v>Abrir facsímil</v>
      </c>
      <c r="K2420" s="3" t="s">
        <v>23</v>
      </c>
    </row>
    <row r="2421" spans="1:11" ht="42" customHeight="1">
      <c r="A2421" s="2" t="s">
        <v>5780</v>
      </c>
      <c r="B2421" s="2" t="s">
        <v>5780</v>
      </c>
      <c r="C2421" s="2" t="s">
        <v>111</v>
      </c>
      <c r="D2421" s="2" t="s">
        <v>112</v>
      </c>
      <c r="E2421" s="5">
        <v>-30513</v>
      </c>
      <c r="F2421" s="3" t="s">
        <v>582</v>
      </c>
      <c r="G2421" s="3" t="s">
        <v>5808</v>
      </c>
      <c r="H2421" s="2" t="s">
        <v>21</v>
      </c>
      <c r="I2421" s="2" t="s">
        <v>5809</v>
      </c>
      <c r="J2421" s="3" t="str">
        <f>HYPERLINK("https://www.boe.es/gazeta/dias/1816/06/15/pdfs/GMD-1816-75.pdf#page=7","Abrir facsímil")</f>
        <v>Abrir facsímil</v>
      </c>
      <c r="K2421" s="3" t="s">
        <v>23</v>
      </c>
    </row>
    <row r="2422" spans="1:11" ht="42" customHeight="1">
      <c r="A2422" s="2" t="s">
        <v>5780</v>
      </c>
      <c r="B2422" s="2" t="s">
        <v>5780</v>
      </c>
      <c r="C2422" s="2" t="s">
        <v>34</v>
      </c>
      <c r="D2422" s="2" t="s">
        <v>35</v>
      </c>
      <c r="E2422" s="5">
        <v>-30513</v>
      </c>
      <c r="F2422" s="3" t="s">
        <v>582</v>
      </c>
      <c r="G2422" s="3" t="s">
        <v>47</v>
      </c>
      <c r="H2422" s="2" t="s">
        <v>21</v>
      </c>
      <c r="I2422" s="2" t="s">
        <v>5810</v>
      </c>
      <c r="J2422" s="3" t="str">
        <f>HYPERLINK("https://www.boe.es/gazeta/dias/1816/06/15/pdfs/GMD-1816-75.pdf#page=5","Abrir facsímil")</f>
        <v>Abrir facsímil</v>
      </c>
      <c r="K2422" s="3" t="s">
        <v>23</v>
      </c>
    </row>
    <row r="2423" spans="1:11" ht="42" customHeight="1">
      <c r="A2423" s="2" t="s">
        <v>5780</v>
      </c>
      <c r="B2423" s="2" t="s">
        <v>5780</v>
      </c>
      <c r="C2423" s="2" t="s">
        <v>111</v>
      </c>
      <c r="D2423" s="2" t="s">
        <v>112</v>
      </c>
      <c r="E2423" s="5">
        <v>-30513</v>
      </c>
      <c r="F2423" s="3" t="s">
        <v>582</v>
      </c>
      <c r="G2423" s="3" t="s">
        <v>28</v>
      </c>
      <c r="H2423" s="2" t="s">
        <v>21</v>
      </c>
      <c r="I2423" s="2" t="s">
        <v>5811</v>
      </c>
      <c r="J2423" s="3" t="str">
        <f>HYPERLINK("https://www.boe.es/gazeta/dias/1816/06/15/pdfs/GMD-1816-75.pdf#page=6","Abrir facsímil")</f>
        <v>Abrir facsímil</v>
      </c>
      <c r="K2423" s="3" t="s">
        <v>23</v>
      </c>
    </row>
    <row r="2424" spans="1:11" ht="42" customHeight="1">
      <c r="A2424" s="2" t="s">
        <v>5780</v>
      </c>
      <c r="B2424" s="2" t="s">
        <v>5780</v>
      </c>
      <c r="C2424" s="2" t="s">
        <v>111</v>
      </c>
      <c r="D2424" s="2" t="s">
        <v>112</v>
      </c>
      <c r="E2424" s="5">
        <v>-30510</v>
      </c>
      <c r="F2424" s="3" t="s">
        <v>450</v>
      </c>
      <c r="G2424" s="3" t="s">
        <v>47</v>
      </c>
      <c r="H2424" s="2" t="s">
        <v>21</v>
      </c>
      <c r="I2424" s="2" t="s">
        <v>5812</v>
      </c>
      <c r="J2424" s="3" t="str">
        <f>HYPERLINK("https://www.boe.es/gazeta/dias/1816/06/18/pdfs/GMD-1816-76.pdf#page=5","Abrir facsímil")</f>
        <v>Abrir facsímil</v>
      </c>
      <c r="K2424" s="3" t="s">
        <v>23</v>
      </c>
    </row>
    <row r="2425" spans="1:11" ht="42" customHeight="1">
      <c r="A2425" s="2" t="s">
        <v>5780</v>
      </c>
      <c r="B2425" s="2" t="s">
        <v>5780</v>
      </c>
      <c r="C2425" s="2" t="s">
        <v>41</v>
      </c>
      <c r="D2425" s="2" t="s">
        <v>18</v>
      </c>
      <c r="E2425" s="5">
        <v>-30508</v>
      </c>
      <c r="F2425" s="3" t="s">
        <v>36</v>
      </c>
      <c r="G2425" s="3" t="s">
        <v>1054</v>
      </c>
      <c r="H2425" s="2" t="s">
        <v>21</v>
      </c>
      <c r="I2425" s="2" t="s">
        <v>5813</v>
      </c>
      <c r="J2425" s="3" t="str">
        <f>HYPERLINK("https://www.boe.es/gazeta/dias/1816/06/20/pdfs/GMD-1816-77.pdf#page=4","Abrir facsímil")</f>
        <v>Abrir facsímil</v>
      </c>
      <c r="K2425" s="3" t="s">
        <v>23</v>
      </c>
    </row>
    <row r="2426" spans="1:11" ht="42" customHeight="1">
      <c r="A2426" s="2" t="s">
        <v>5780</v>
      </c>
      <c r="B2426" s="2" t="s">
        <v>5780</v>
      </c>
      <c r="C2426" s="2" t="s">
        <v>34</v>
      </c>
      <c r="D2426" s="2" t="s">
        <v>35</v>
      </c>
      <c r="E2426" s="5">
        <v>-30508</v>
      </c>
      <c r="F2426" s="3" t="s">
        <v>36</v>
      </c>
      <c r="G2426" s="3" t="s">
        <v>28</v>
      </c>
      <c r="H2426" s="2" t="s">
        <v>21</v>
      </c>
      <c r="I2426" s="2" t="s">
        <v>5814</v>
      </c>
      <c r="J2426" s="3" t="str">
        <f>HYPERLINK("https://www.boe.es/gazeta/dias/1816/06/20/pdfs/GMD-1816-77.pdf#page=6","Abrir facsímil")</f>
        <v>Abrir facsímil</v>
      </c>
      <c r="K2426" s="3" t="s">
        <v>23</v>
      </c>
    </row>
    <row r="2427" spans="1:11" ht="42" customHeight="1">
      <c r="A2427" s="2" t="s">
        <v>5780</v>
      </c>
      <c r="B2427" s="2" t="s">
        <v>5780</v>
      </c>
      <c r="C2427" s="2" t="s">
        <v>387</v>
      </c>
      <c r="D2427" s="2" t="s">
        <v>18</v>
      </c>
      <c r="E2427" s="5">
        <v>-30506</v>
      </c>
      <c r="F2427" s="3" t="s">
        <v>220</v>
      </c>
      <c r="G2427" s="3" t="s">
        <v>28</v>
      </c>
      <c r="H2427" s="2" t="s">
        <v>21</v>
      </c>
      <c r="I2427" s="2" t="s">
        <v>5815</v>
      </c>
      <c r="J2427" s="3" t="str">
        <f>HYPERLINK("https://www.boe.es/gazeta/dias/1816/06/22/pdfs/GMD-1816-78.pdf#page=6","Abrir facsímil")</f>
        <v>Abrir facsímil</v>
      </c>
      <c r="K2427" s="3" t="s">
        <v>23</v>
      </c>
    </row>
    <row r="2428" spans="1:11" ht="42" customHeight="1">
      <c r="A2428" s="2" t="s">
        <v>5780</v>
      </c>
      <c r="B2428" s="2" t="s">
        <v>5780</v>
      </c>
      <c r="C2428" s="2" t="s">
        <v>387</v>
      </c>
      <c r="D2428" s="2" t="s">
        <v>18</v>
      </c>
      <c r="E2428" s="5">
        <v>-30503</v>
      </c>
      <c r="F2428" s="3" t="s">
        <v>1600</v>
      </c>
      <c r="G2428" s="3" t="s">
        <v>28</v>
      </c>
      <c r="H2428" s="2" t="s">
        <v>21</v>
      </c>
      <c r="I2428" s="2" t="s">
        <v>5816</v>
      </c>
      <c r="J2428" s="3" t="str">
        <f>HYPERLINK("https://www.boe.es/gazeta/dias/1816/06/25/pdfs/GMD-1816-79.pdf#page=6","Abrir facsímil")</f>
        <v>Abrir facsímil</v>
      </c>
      <c r="K2428" s="3" t="s">
        <v>23</v>
      </c>
    </row>
    <row r="2429" spans="1:11" ht="42" customHeight="1">
      <c r="A2429" s="2" t="s">
        <v>5780</v>
      </c>
      <c r="B2429" s="2" t="s">
        <v>5780</v>
      </c>
      <c r="C2429" s="2" t="s">
        <v>111</v>
      </c>
      <c r="D2429" s="2" t="s">
        <v>112</v>
      </c>
      <c r="E2429" s="5">
        <v>-30501</v>
      </c>
      <c r="F2429" s="3" t="s">
        <v>475</v>
      </c>
      <c r="G2429" s="3" t="s">
        <v>1026</v>
      </c>
      <c r="H2429" s="2" t="s">
        <v>21</v>
      </c>
      <c r="I2429" s="2" t="s">
        <v>5817</v>
      </c>
      <c r="J2429" s="3" t="str">
        <f>HYPERLINK("https://www.boe.es/gazeta/dias/1816/06/27/pdfs/GMD-1816-80.pdf#page=4","Abrir facsímil")</f>
        <v>Abrir facsímil</v>
      </c>
      <c r="K2429" s="3" t="s">
        <v>23</v>
      </c>
    </row>
    <row r="2430" spans="1:11" ht="42" customHeight="1">
      <c r="A2430" s="2" t="s">
        <v>5780</v>
      </c>
      <c r="B2430" s="2" t="s">
        <v>5780</v>
      </c>
      <c r="C2430" s="2" t="s">
        <v>387</v>
      </c>
      <c r="D2430" s="2" t="s">
        <v>18</v>
      </c>
      <c r="E2430" s="5">
        <v>-30501</v>
      </c>
      <c r="F2430" s="3" t="s">
        <v>475</v>
      </c>
      <c r="G2430" s="3" t="s">
        <v>47</v>
      </c>
      <c r="H2430" s="2" t="s">
        <v>21</v>
      </c>
      <c r="I2430" s="2" t="s">
        <v>5818</v>
      </c>
      <c r="J2430" s="3" t="str">
        <f>HYPERLINK("https://www.boe.es/gazeta/dias/1816/06/27/pdfs/GMD-1816-80.pdf#page=5","Abrir facsímil")</f>
        <v>Abrir facsímil</v>
      </c>
      <c r="K2430" s="3" t="s">
        <v>23</v>
      </c>
    </row>
    <row r="2431" spans="1:11" ht="42" customHeight="1">
      <c r="A2431" s="2" t="s">
        <v>5780</v>
      </c>
      <c r="B2431" s="2" t="s">
        <v>5780</v>
      </c>
      <c r="C2431" s="2" t="s">
        <v>26</v>
      </c>
      <c r="D2431" s="2" t="s">
        <v>18</v>
      </c>
      <c r="E2431" s="5">
        <v>-30499</v>
      </c>
      <c r="F2431" s="3" t="s">
        <v>971</v>
      </c>
      <c r="G2431" s="3" t="s">
        <v>2505</v>
      </c>
      <c r="H2431" s="2" t="s">
        <v>21</v>
      </c>
      <c r="I2431" s="2" t="s">
        <v>5819</v>
      </c>
      <c r="J2431" s="3" t="str">
        <f>HYPERLINK("https://www.boe.es/gazeta/dias/1816/06/29/pdfs/GMD-1816-81.pdf#page=4","Abrir facsímil")</f>
        <v>Abrir facsímil</v>
      </c>
      <c r="K2431" s="3" t="s">
        <v>23</v>
      </c>
    </row>
    <row r="2432" spans="1:11" ht="42" customHeight="1">
      <c r="A2432" s="2" t="s">
        <v>5780</v>
      </c>
      <c r="B2432" s="2" t="s">
        <v>5780</v>
      </c>
      <c r="C2432" s="2" t="s">
        <v>81</v>
      </c>
      <c r="D2432" s="2" t="s">
        <v>18</v>
      </c>
      <c r="E2432" s="5">
        <v>-30496</v>
      </c>
      <c r="F2432" s="3" t="s">
        <v>290</v>
      </c>
      <c r="G2432" s="3" t="s">
        <v>3657</v>
      </c>
      <c r="H2432" s="2" t="s">
        <v>21</v>
      </c>
      <c r="I2432" s="2" t="s">
        <v>5820</v>
      </c>
      <c r="J2432" s="3" t="str">
        <f>HYPERLINK("https://www.boe.es/gazeta/dias/1816/07/02/pdfs/GMD-1816-82.pdf#page=6","Abrir facsímil")</f>
        <v>Abrir facsímil</v>
      </c>
      <c r="K2432" s="3" t="s">
        <v>23</v>
      </c>
    </row>
    <row r="2433" spans="1:11" ht="42" customHeight="1">
      <c r="A2433" s="2" t="s">
        <v>5780</v>
      </c>
      <c r="B2433" s="2" t="s">
        <v>5780</v>
      </c>
      <c r="C2433" s="2" t="s">
        <v>34</v>
      </c>
      <c r="D2433" s="2" t="s">
        <v>35</v>
      </c>
      <c r="E2433" s="5">
        <v>-30496</v>
      </c>
      <c r="F2433" s="3" t="s">
        <v>290</v>
      </c>
      <c r="G2433" s="3" t="s">
        <v>47</v>
      </c>
      <c r="H2433" s="2" t="s">
        <v>21</v>
      </c>
      <c r="I2433" s="2" t="s">
        <v>5821</v>
      </c>
      <c r="J2433" s="3" t="str">
        <f>HYPERLINK("https://www.boe.es/gazeta/dias/1816/07/02/pdfs/GMD-1816-82.pdf#page=5","Abrir facsímil")</f>
        <v>Abrir facsímil</v>
      </c>
      <c r="K2433" s="3" t="s">
        <v>23</v>
      </c>
    </row>
    <row r="2434" spans="1:11" ht="42" customHeight="1">
      <c r="A2434" s="2" t="s">
        <v>5780</v>
      </c>
      <c r="B2434" s="2" t="s">
        <v>5780</v>
      </c>
      <c r="C2434" s="2" t="s">
        <v>26</v>
      </c>
      <c r="D2434" s="2" t="s">
        <v>18</v>
      </c>
      <c r="E2434" s="5">
        <v>-30494</v>
      </c>
      <c r="F2434" s="3" t="s">
        <v>174</v>
      </c>
      <c r="G2434" s="3" t="s">
        <v>42</v>
      </c>
      <c r="H2434" s="2" t="s">
        <v>21</v>
      </c>
      <c r="I2434" s="2" t="s">
        <v>5822</v>
      </c>
      <c r="J2434" s="3" t="str">
        <f>HYPERLINK("https://www.boe.es/gazeta/dias/1816/07/04/pdfs/GMD-1816-83.pdf#page=8","Abrir facsímil")</f>
        <v>Abrir facsímil</v>
      </c>
      <c r="K2434" s="3" t="s">
        <v>23</v>
      </c>
    </row>
    <row r="2435" spans="1:11" ht="42" customHeight="1">
      <c r="A2435" s="2" t="s">
        <v>5780</v>
      </c>
      <c r="B2435" s="2" t="s">
        <v>5780</v>
      </c>
      <c r="C2435" s="2" t="s">
        <v>387</v>
      </c>
      <c r="D2435" s="2" t="s">
        <v>18</v>
      </c>
      <c r="E2435" s="5">
        <v>-30494</v>
      </c>
      <c r="F2435" s="3" t="s">
        <v>174</v>
      </c>
      <c r="G2435" s="3" t="s">
        <v>92</v>
      </c>
      <c r="H2435" s="2" t="s">
        <v>21</v>
      </c>
      <c r="I2435" s="2" t="s">
        <v>5823</v>
      </c>
      <c r="J2435" s="3" t="str">
        <f>HYPERLINK("https://www.boe.es/gazeta/dias/1816/07/04/pdfs/GMD-1816-83.pdf#page=9","Abrir facsímil")</f>
        <v>Abrir facsímil</v>
      </c>
      <c r="K2435" s="3" t="s">
        <v>23</v>
      </c>
    </row>
    <row r="2436" spans="1:11" ht="42" customHeight="1">
      <c r="A2436" s="2" t="s">
        <v>5780</v>
      </c>
      <c r="B2436" s="2" t="s">
        <v>5780</v>
      </c>
      <c r="C2436" s="2" t="s">
        <v>111</v>
      </c>
      <c r="D2436" s="2" t="s">
        <v>112</v>
      </c>
      <c r="E2436" s="5">
        <v>-30492</v>
      </c>
      <c r="F2436" s="3" t="s">
        <v>248</v>
      </c>
      <c r="G2436" s="3" t="s">
        <v>1044</v>
      </c>
      <c r="H2436" s="2" t="s">
        <v>21</v>
      </c>
      <c r="I2436" s="2" t="s">
        <v>5824</v>
      </c>
      <c r="J2436" s="3" t="str">
        <f>HYPERLINK("https://www.boe.es/gazeta/dias/1816/07/06/pdfs/GMD-1816-84.pdf#page=7","Abrir facsímil")</f>
        <v>Abrir facsímil</v>
      </c>
      <c r="K2436" s="3" t="s">
        <v>23</v>
      </c>
    </row>
    <row r="2437" spans="1:11" ht="42" customHeight="1">
      <c r="A2437" s="2" t="s">
        <v>5780</v>
      </c>
      <c r="B2437" s="2" t="s">
        <v>5780</v>
      </c>
      <c r="C2437" s="2" t="s">
        <v>34</v>
      </c>
      <c r="D2437" s="2" t="s">
        <v>35</v>
      </c>
      <c r="E2437" s="5">
        <v>-30492</v>
      </c>
      <c r="F2437" s="3" t="s">
        <v>248</v>
      </c>
      <c r="G2437" s="3" t="s">
        <v>28</v>
      </c>
      <c r="H2437" s="2" t="s">
        <v>21</v>
      </c>
      <c r="I2437" s="2" t="s">
        <v>5825</v>
      </c>
      <c r="J2437" s="3" t="str">
        <f>HYPERLINK("https://www.boe.es/gazeta/dias/1816/07/06/pdfs/GMD-1816-84.pdf#page=6","Abrir facsímil")</f>
        <v>Abrir facsímil</v>
      </c>
      <c r="K2437" s="3" t="s">
        <v>23</v>
      </c>
    </row>
    <row r="2438" spans="1:11" ht="42" customHeight="1">
      <c r="A2438" s="2" t="s">
        <v>5780</v>
      </c>
      <c r="B2438" s="2" t="s">
        <v>5780</v>
      </c>
      <c r="C2438" s="2" t="s">
        <v>26</v>
      </c>
      <c r="D2438" s="2" t="s">
        <v>18</v>
      </c>
      <c r="E2438" s="5">
        <v>-30492</v>
      </c>
      <c r="F2438" s="3" t="s">
        <v>248</v>
      </c>
      <c r="G2438" s="3" t="s">
        <v>42</v>
      </c>
      <c r="H2438" s="2" t="s">
        <v>21</v>
      </c>
      <c r="I2438" s="2" t="s">
        <v>5826</v>
      </c>
      <c r="J2438" s="3" t="str">
        <f>HYPERLINK("https://www.boe.es/gazeta/dias/1816/07/06/pdfs/GMD-1816-84.pdf#page=8","Abrir facsímil")</f>
        <v>Abrir facsímil</v>
      </c>
      <c r="K2438" s="3" t="s">
        <v>23</v>
      </c>
    </row>
    <row r="2439" spans="1:11" ht="42" customHeight="1">
      <c r="A2439" s="2" t="s">
        <v>5780</v>
      </c>
      <c r="B2439" s="2" t="s">
        <v>5780</v>
      </c>
      <c r="C2439" s="2" t="s">
        <v>387</v>
      </c>
      <c r="D2439" s="2" t="s">
        <v>18</v>
      </c>
      <c r="E2439" s="5">
        <v>-30489</v>
      </c>
      <c r="F2439" s="3" t="s">
        <v>1120</v>
      </c>
      <c r="G2439" s="3" t="s">
        <v>28</v>
      </c>
      <c r="H2439" s="2" t="s">
        <v>21</v>
      </c>
      <c r="I2439" s="2" t="s">
        <v>5827</v>
      </c>
      <c r="J2439" s="3" t="str">
        <f>HYPERLINK("https://www.boe.es/gazeta/dias/1816/07/09/pdfs/GMD-1816-85.pdf#page=6","Abrir facsímil")</f>
        <v>Abrir facsímil</v>
      </c>
      <c r="K2439" s="3" t="s">
        <v>23</v>
      </c>
    </row>
    <row r="2440" spans="1:11" ht="42" customHeight="1">
      <c r="A2440" s="2" t="s">
        <v>5780</v>
      </c>
      <c r="B2440" s="2" t="s">
        <v>5780</v>
      </c>
      <c r="C2440" s="2" t="s">
        <v>111</v>
      </c>
      <c r="D2440" s="2" t="s">
        <v>112</v>
      </c>
      <c r="E2440" s="5">
        <v>-30487</v>
      </c>
      <c r="F2440" s="3" t="s">
        <v>397</v>
      </c>
      <c r="G2440" s="3" t="s">
        <v>47</v>
      </c>
      <c r="H2440" s="2" t="s">
        <v>21</v>
      </c>
      <c r="I2440" s="2" t="s">
        <v>5828</v>
      </c>
      <c r="J2440" s="3" t="str">
        <f>HYPERLINK("https://www.boe.es/gazeta/dias/1816/07/11/pdfs/GMD-1816-86.pdf#page=5","Abrir facsímil")</f>
        <v>Abrir facsímil</v>
      </c>
      <c r="K2440" s="3" t="s">
        <v>23</v>
      </c>
    </row>
    <row r="2441" spans="1:11" ht="42" customHeight="1">
      <c r="A2441" s="2" t="s">
        <v>5780</v>
      </c>
      <c r="B2441" s="2" t="s">
        <v>5780</v>
      </c>
      <c r="C2441" s="2" t="s">
        <v>26</v>
      </c>
      <c r="D2441" s="2" t="s">
        <v>18</v>
      </c>
      <c r="E2441" s="5">
        <v>-30487</v>
      </c>
      <c r="F2441" s="3" t="s">
        <v>397</v>
      </c>
      <c r="G2441" s="3" t="s">
        <v>28</v>
      </c>
      <c r="H2441" s="2" t="s">
        <v>21</v>
      </c>
      <c r="I2441" s="2" t="s">
        <v>5829</v>
      </c>
      <c r="J2441" s="3" t="str">
        <f>HYPERLINK("https://www.boe.es/gazeta/dias/1816/07/11/pdfs/GMD-1816-86.pdf#page=6","Abrir facsímil")</f>
        <v>Abrir facsímil</v>
      </c>
      <c r="K2441" s="3" t="s">
        <v>23</v>
      </c>
    </row>
    <row r="2442" spans="1:11" ht="42" customHeight="1">
      <c r="A2442" s="2" t="s">
        <v>5780</v>
      </c>
      <c r="B2442" s="2" t="s">
        <v>5780</v>
      </c>
      <c r="C2442" s="2" t="s">
        <v>111</v>
      </c>
      <c r="D2442" s="2" t="s">
        <v>112</v>
      </c>
      <c r="E2442" s="5">
        <v>-30482</v>
      </c>
      <c r="F2442" s="3" t="s">
        <v>370</v>
      </c>
      <c r="G2442" s="3" t="s">
        <v>103</v>
      </c>
      <c r="H2442" s="2" t="s">
        <v>21</v>
      </c>
      <c r="I2442" s="2" t="s">
        <v>5830</v>
      </c>
      <c r="J2442" s="3" t="str">
        <f>HYPERLINK("https://www.boe.es/gazeta/dias/1816/07/16/pdfs/GMD-1816-88.pdf#page=4","Abrir facsímil")</f>
        <v>Abrir facsímil</v>
      </c>
      <c r="K2442" s="3" t="s">
        <v>23</v>
      </c>
    </row>
    <row r="2443" spans="1:11" ht="42" customHeight="1">
      <c r="A2443" s="2" t="s">
        <v>5780</v>
      </c>
      <c r="B2443" s="2" t="s">
        <v>5780</v>
      </c>
      <c r="C2443" s="2" t="s">
        <v>26</v>
      </c>
      <c r="D2443" s="2" t="s">
        <v>18</v>
      </c>
      <c r="E2443" s="5">
        <v>-30480</v>
      </c>
      <c r="F2443" s="3" t="s">
        <v>147</v>
      </c>
      <c r="G2443" s="3" t="s">
        <v>47</v>
      </c>
      <c r="H2443" s="2" t="s">
        <v>21</v>
      </c>
      <c r="I2443" s="2" t="s">
        <v>5831</v>
      </c>
      <c r="J2443" s="3" t="str">
        <f>HYPERLINK("https://www.boe.es/gazeta/dias/1816/07/18/pdfs/GMD-1816-89.pdf#page=5","Abrir facsímil")</f>
        <v>Abrir facsímil</v>
      </c>
      <c r="K2443" s="3" t="s">
        <v>23</v>
      </c>
    </row>
    <row r="2444" spans="1:11" ht="42" customHeight="1">
      <c r="A2444" s="2" t="s">
        <v>5780</v>
      </c>
      <c r="B2444" s="2" t="s">
        <v>5780</v>
      </c>
      <c r="C2444" s="2" t="s">
        <v>26</v>
      </c>
      <c r="D2444" s="2" t="s">
        <v>18</v>
      </c>
      <c r="E2444" s="5">
        <v>-30480</v>
      </c>
      <c r="F2444" s="3" t="s">
        <v>147</v>
      </c>
      <c r="G2444" s="3" t="s">
        <v>28</v>
      </c>
      <c r="H2444" s="2" t="s">
        <v>21</v>
      </c>
      <c r="I2444" s="2" t="s">
        <v>5832</v>
      </c>
      <c r="J2444" s="3" t="str">
        <f>HYPERLINK("https://www.boe.es/gazeta/dias/1816/07/18/pdfs/GMD-1816-89.pdf#page=6","Abrir facsímil")</f>
        <v>Abrir facsímil</v>
      </c>
      <c r="K2444" s="3" t="s">
        <v>23</v>
      </c>
    </row>
    <row r="2445" spans="1:11" ht="42" customHeight="1">
      <c r="A2445" s="2" t="s">
        <v>5780</v>
      </c>
      <c r="B2445" s="2" t="s">
        <v>5780</v>
      </c>
      <c r="C2445" s="2" t="s">
        <v>387</v>
      </c>
      <c r="D2445" s="2" t="s">
        <v>18</v>
      </c>
      <c r="E2445" s="5">
        <v>-30475</v>
      </c>
      <c r="F2445" s="3" t="s">
        <v>319</v>
      </c>
      <c r="G2445" s="3" t="s">
        <v>47</v>
      </c>
      <c r="H2445" s="2" t="s">
        <v>21</v>
      </c>
      <c r="I2445" s="2" t="s">
        <v>5833</v>
      </c>
      <c r="J2445" s="3" t="str">
        <f>HYPERLINK("https://www.boe.es/gazeta/dias/1816/07/23/pdfs/GMD-1816-91.pdf#page=5","Abrir facsímil")</f>
        <v>Abrir facsímil</v>
      </c>
      <c r="K2445" s="3" t="s">
        <v>23</v>
      </c>
    </row>
    <row r="2446" spans="1:11" ht="42" customHeight="1">
      <c r="A2446" s="2" t="s">
        <v>5780</v>
      </c>
      <c r="B2446" s="2" t="s">
        <v>5780</v>
      </c>
      <c r="C2446" s="2" t="s">
        <v>26</v>
      </c>
      <c r="D2446" s="2" t="s">
        <v>18</v>
      </c>
      <c r="E2446" s="5">
        <v>-30468</v>
      </c>
      <c r="F2446" s="3" t="s">
        <v>383</v>
      </c>
      <c r="G2446" s="3" t="s">
        <v>47</v>
      </c>
      <c r="H2446" s="2" t="s">
        <v>21</v>
      </c>
      <c r="I2446" s="2" t="s">
        <v>5834</v>
      </c>
      <c r="J2446" s="3" t="str">
        <f>HYPERLINK("https://www.boe.es/gazeta/dias/1816/07/30/pdfs/GMD-1816-94.pdf#page=5","Abrir facsímil")</f>
        <v>Abrir facsímil</v>
      </c>
      <c r="K2446" s="3" t="s">
        <v>23</v>
      </c>
    </row>
    <row r="2447" spans="1:11" ht="42" customHeight="1">
      <c r="A2447" s="2" t="s">
        <v>5780</v>
      </c>
      <c r="B2447" s="2" t="s">
        <v>5780</v>
      </c>
      <c r="C2447" s="2" t="s">
        <v>34</v>
      </c>
      <c r="D2447" s="2" t="s">
        <v>35</v>
      </c>
      <c r="E2447" s="5">
        <v>-30464</v>
      </c>
      <c r="F2447" s="3" t="s">
        <v>215</v>
      </c>
      <c r="G2447" s="3" t="s">
        <v>47</v>
      </c>
      <c r="H2447" s="2" t="s">
        <v>21</v>
      </c>
      <c r="I2447" s="2" t="s">
        <v>5835</v>
      </c>
      <c r="J2447" s="3" t="str">
        <f>HYPERLINK("https://www.boe.es/gazeta/dias/1816/08/03/pdfs/GMD-1816-96.pdf#page=5","Abrir facsímil")</f>
        <v>Abrir facsímil</v>
      </c>
      <c r="K2447" s="3" t="s">
        <v>23</v>
      </c>
    </row>
    <row r="2448" spans="1:11" ht="42" customHeight="1">
      <c r="A2448" s="2" t="s">
        <v>5780</v>
      </c>
      <c r="B2448" s="2" t="s">
        <v>5780</v>
      </c>
      <c r="C2448" s="2" t="s">
        <v>81</v>
      </c>
      <c r="D2448" s="2" t="s">
        <v>18</v>
      </c>
      <c r="E2448" s="5">
        <v>-30461</v>
      </c>
      <c r="F2448" s="3" t="s">
        <v>912</v>
      </c>
      <c r="G2448" s="3" t="s">
        <v>47</v>
      </c>
      <c r="H2448" s="2" t="s">
        <v>21</v>
      </c>
      <c r="I2448" s="2" t="s">
        <v>5836</v>
      </c>
      <c r="J2448" s="3" t="str">
        <f>HYPERLINK("https://www.boe.es/gazeta/dias/1816/08/06/pdfs/GMD-1816-97.pdf#page=5","Abrir facsímil")</f>
        <v>Abrir facsímil</v>
      </c>
      <c r="K2448" s="3" t="s">
        <v>23</v>
      </c>
    </row>
    <row r="2449" spans="1:11" ht="42" customHeight="1">
      <c r="A2449" s="2" t="s">
        <v>5780</v>
      </c>
      <c r="B2449" s="2" t="s">
        <v>5780</v>
      </c>
      <c r="C2449" s="2" t="s">
        <v>26</v>
      </c>
      <c r="D2449" s="2" t="s">
        <v>18</v>
      </c>
      <c r="E2449" s="5">
        <v>-30459</v>
      </c>
      <c r="F2449" s="3" t="s">
        <v>1957</v>
      </c>
      <c r="G2449" s="3" t="s">
        <v>47</v>
      </c>
      <c r="H2449" s="2" t="s">
        <v>21</v>
      </c>
      <c r="I2449" s="2" t="s">
        <v>5837</v>
      </c>
      <c r="J2449" s="3" t="str">
        <f>HYPERLINK("https://www.boe.es/gazeta/dias/1816/08/08/pdfs/GMD-1816-98.pdf#page=5","Abrir facsímil")</f>
        <v>Abrir facsímil</v>
      </c>
      <c r="K2449" s="3" t="s">
        <v>23</v>
      </c>
    </row>
    <row r="2450" spans="1:11" ht="42" customHeight="1">
      <c r="A2450" s="2" t="s">
        <v>5780</v>
      </c>
      <c r="B2450" s="2" t="s">
        <v>5780</v>
      </c>
      <c r="C2450" s="2" t="s">
        <v>111</v>
      </c>
      <c r="D2450" s="2" t="s">
        <v>112</v>
      </c>
      <c r="E2450" s="5">
        <v>-30457</v>
      </c>
      <c r="F2450" s="3" t="s">
        <v>539</v>
      </c>
      <c r="G2450" s="3" t="s">
        <v>72</v>
      </c>
      <c r="H2450" s="2" t="s">
        <v>21</v>
      </c>
      <c r="I2450" s="2" t="s">
        <v>5838</v>
      </c>
      <c r="J2450" s="3" t="str">
        <f>HYPERLINK("https://www.boe.es/gazeta/dias/1816/08/10/pdfs/GMD-1816-99.pdf#page=7","Abrir facsímil")</f>
        <v>Abrir facsímil</v>
      </c>
      <c r="K2450" s="3" t="s">
        <v>23</v>
      </c>
    </row>
    <row r="2451" spans="1:11" ht="42" customHeight="1">
      <c r="A2451" s="2" t="s">
        <v>5780</v>
      </c>
      <c r="B2451" s="2" t="s">
        <v>5780</v>
      </c>
      <c r="C2451" s="2" t="s">
        <v>26</v>
      </c>
      <c r="D2451" s="2" t="s">
        <v>18</v>
      </c>
      <c r="E2451" s="5">
        <v>-30454</v>
      </c>
      <c r="F2451" s="3" t="s">
        <v>188</v>
      </c>
      <c r="G2451" s="3" t="s">
        <v>28</v>
      </c>
      <c r="H2451" s="2" t="s">
        <v>21</v>
      </c>
      <c r="I2451" s="2" t="s">
        <v>5839</v>
      </c>
      <c r="J2451" s="3" t="str">
        <f>HYPERLINK("https://www.boe.es/gazeta/dias/1816/08/13/pdfs/GMD-1816-100.pdf#page=6","Abrir facsímil")</f>
        <v>Abrir facsímil</v>
      </c>
      <c r="K2451" s="3" t="s">
        <v>23</v>
      </c>
    </row>
    <row r="2452" spans="1:11" ht="42" customHeight="1">
      <c r="A2452" s="2" t="s">
        <v>5780</v>
      </c>
      <c r="B2452" s="2" t="s">
        <v>5780</v>
      </c>
      <c r="C2452" s="2" t="s">
        <v>26</v>
      </c>
      <c r="D2452" s="2" t="s">
        <v>18</v>
      </c>
      <c r="E2452" s="5">
        <v>-30445</v>
      </c>
      <c r="F2452" s="3" t="s">
        <v>51</v>
      </c>
      <c r="G2452" s="3" t="s">
        <v>180</v>
      </c>
      <c r="H2452" s="2" t="s">
        <v>21</v>
      </c>
      <c r="I2452" s="2" t="s">
        <v>5840</v>
      </c>
      <c r="J2452" s="3" t="str">
        <f>HYPERLINK("https://www.boe.es/gazeta/dias/1816/08/22/pdfs/GMD-1816-104.pdf#page=10","Abrir facsímil")</f>
        <v>Abrir facsímil</v>
      </c>
      <c r="K2452" s="3" t="s">
        <v>23</v>
      </c>
    </row>
    <row r="2453" spans="1:11" ht="42" customHeight="1">
      <c r="A2453" s="2" t="s">
        <v>5780</v>
      </c>
      <c r="B2453" s="2" t="s">
        <v>5780</v>
      </c>
      <c r="C2453" s="2" t="s">
        <v>26</v>
      </c>
      <c r="D2453" s="2" t="s">
        <v>18</v>
      </c>
      <c r="E2453" s="5">
        <v>-30443</v>
      </c>
      <c r="F2453" s="3" t="s">
        <v>259</v>
      </c>
      <c r="G2453" s="3" t="s">
        <v>103</v>
      </c>
      <c r="H2453" s="2" t="s">
        <v>21</v>
      </c>
      <c r="I2453" s="2" t="s">
        <v>5841</v>
      </c>
      <c r="J2453" s="3" t="str">
        <f>HYPERLINK("https://www.boe.es/gazeta/dias/1816/08/24/pdfs/GMD-1816-105.pdf#page=4","Abrir facsímil")</f>
        <v>Abrir facsímil</v>
      </c>
      <c r="K2453" s="3" t="s">
        <v>23</v>
      </c>
    </row>
    <row r="2454" spans="1:11" ht="42" customHeight="1">
      <c r="A2454" s="2" t="s">
        <v>5780</v>
      </c>
      <c r="B2454" s="2" t="s">
        <v>5780</v>
      </c>
      <c r="C2454" s="2" t="s">
        <v>111</v>
      </c>
      <c r="D2454" s="2" t="s">
        <v>112</v>
      </c>
      <c r="E2454" s="5">
        <v>-30438</v>
      </c>
      <c r="F2454" s="3" t="s">
        <v>299</v>
      </c>
      <c r="G2454" s="3" t="s">
        <v>3567</v>
      </c>
      <c r="H2454" s="2" t="s">
        <v>21</v>
      </c>
      <c r="I2454" s="2" t="s">
        <v>5842</v>
      </c>
      <c r="J2454" s="3" t="str">
        <f>HYPERLINK("https://www.boe.es/gazeta/dias/1816/08/29/pdfs/GMD-1816-107.pdf#page=5","Abrir facsímil")</f>
        <v>Abrir facsímil</v>
      </c>
      <c r="K2454" s="3" t="s">
        <v>23</v>
      </c>
    </row>
    <row r="2455" spans="1:11" ht="42" customHeight="1">
      <c r="A2455" s="2" t="s">
        <v>5780</v>
      </c>
      <c r="B2455" s="2" t="s">
        <v>5780</v>
      </c>
      <c r="C2455" s="2" t="s">
        <v>81</v>
      </c>
      <c r="D2455" s="2" t="s">
        <v>18</v>
      </c>
      <c r="E2455" s="5">
        <v>-30438</v>
      </c>
      <c r="F2455" s="3" t="s">
        <v>299</v>
      </c>
      <c r="G2455" s="3" t="s">
        <v>1250</v>
      </c>
      <c r="H2455" s="2" t="s">
        <v>21</v>
      </c>
      <c r="I2455" s="2" t="s">
        <v>5843</v>
      </c>
      <c r="J2455" s="3" t="str">
        <f>HYPERLINK("https://www.boe.es/gazeta/dias/1816/08/29/pdfs/GMD-1816-107.pdf#page=6","Abrir facsímil")</f>
        <v>Abrir facsímil</v>
      </c>
      <c r="K2455" s="3" t="s">
        <v>23</v>
      </c>
    </row>
    <row r="2456" spans="1:11" ht="42" customHeight="1">
      <c r="A2456" s="2" t="s">
        <v>5780</v>
      </c>
      <c r="B2456" s="2" t="s">
        <v>5780</v>
      </c>
      <c r="C2456" s="2" t="s">
        <v>111</v>
      </c>
      <c r="D2456" s="2" t="s">
        <v>112</v>
      </c>
      <c r="E2456" s="5">
        <v>-30438</v>
      </c>
      <c r="F2456" s="3" t="s">
        <v>299</v>
      </c>
      <c r="G2456" s="3" t="s">
        <v>72</v>
      </c>
      <c r="H2456" s="2" t="s">
        <v>21</v>
      </c>
      <c r="I2456" s="2" t="s">
        <v>5844</v>
      </c>
      <c r="J2456" s="3" t="str">
        <f>HYPERLINK("https://www.boe.es/gazeta/dias/1816/08/29/pdfs/GMD-1816-107.pdf#page=7","Abrir facsímil")</f>
        <v>Abrir facsímil</v>
      </c>
      <c r="K2456" s="3" t="s">
        <v>23</v>
      </c>
    </row>
    <row r="2457" spans="1:11" ht="42" customHeight="1">
      <c r="A2457" s="2" t="s">
        <v>5780</v>
      </c>
      <c r="B2457" s="2" t="s">
        <v>5780</v>
      </c>
      <c r="C2457" s="2" t="s">
        <v>34</v>
      </c>
      <c r="D2457" s="2" t="s">
        <v>35</v>
      </c>
      <c r="E2457" s="5">
        <v>-30436</v>
      </c>
      <c r="F2457" s="3" t="s">
        <v>102</v>
      </c>
      <c r="G2457" s="3" t="s">
        <v>92</v>
      </c>
      <c r="H2457" s="2" t="s">
        <v>21</v>
      </c>
      <c r="I2457" s="2" t="s">
        <v>5845</v>
      </c>
      <c r="J2457" s="3" t="str">
        <f>HYPERLINK("https://www.boe.es/gazeta/dias/1816/08/31/pdfs/GMD-1816-108.pdf#page=9","Abrir facsímil")</f>
        <v>Abrir facsímil</v>
      </c>
      <c r="K2457" s="3" t="s">
        <v>23</v>
      </c>
    </row>
    <row r="2458" spans="1:11" ht="42" customHeight="1">
      <c r="A2458" s="2" t="s">
        <v>5780</v>
      </c>
      <c r="B2458" s="2" t="s">
        <v>5780</v>
      </c>
      <c r="C2458" s="2" t="s">
        <v>111</v>
      </c>
      <c r="D2458" s="2" t="s">
        <v>112</v>
      </c>
      <c r="E2458" s="5">
        <v>-30433</v>
      </c>
      <c r="F2458" s="3" t="s">
        <v>954</v>
      </c>
      <c r="G2458" s="3" t="s">
        <v>28</v>
      </c>
      <c r="H2458" s="2" t="s">
        <v>21</v>
      </c>
      <c r="I2458" s="2" t="s">
        <v>5846</v>
      </c>
      <c r="J2458" s="3" t="str">
        <f>HYPERLINK("https://www.boe.es/gazeta/dias/1816/09/03/pdfs/GMD-1816-109.pdf#page=6","Abrir facsímil")</f>
        <v>Abrir facsímil</v>
      </c>
      <c r="K2458" s="3" t="s">
        <v>23</v>
      </c>
    </row>
    <row r="2459" spans="1:11" ht="42" customHeight="1">
      <c r="A2459" s="2" t="s">
        <v>5780</v>
      </c>
      <c r="B2459" s="2" t="s">
        <v>5780</v>
      </c>
      <c r="C2459" s="2" t="s">
        <v>111</v>
      </c>
      <c r="D2459" s="2" t="s">
        <v>112</v>
      </c>
      <c r="E2459" s="5">
        <v>-30431</v>
      </c>
      <c r="F2459" s="3" t="s">
        <v>756</v>
      </c>
      <c r="G2459" s="3" t="s">
        <v>184</v>
      </c>
      <c r="H2459" s="2" t="s">
        <v>21</v>
      </c>
      <c r="I2459" s="2" t="s">
        <v>5847</v>
      </c>
      <c r="J2459" s="3" t="str">
        <f>HYPERLINK("https://www.boe.es/gazeta/dias/1816/09/05/pdfs/GMD-1816-110.pdf#page=3","Abrir facsímil")</f>
        <v>Abrir facsímil</v>
      </c>
      <c r="K2459" s="3" t="s">
        <v>23</v>
      </c>
    </row>
    <row r="2460" spans="1:11" ht="42" customHeight="1">
      <c r="A2460" s="2" t="s">
        <v>5780</v>
      </c>
      <c r="B2460" s="2" t="s">
        <v>5780</v>
      </c>
      <c r="C2460" s="2" t="s">
        <v>111</v>
      </c>
      <c r="D2460" s="2" t="s">
        <v>112</v>
      </c>
      <c r="E2460" s="5">
        <v>-30431</v>
      </c>
      <c r="F2460" s="3" t="s">
        <v>756</v>
      </c>
      <c r="G2460" s="3" t="s">
        <v>103</v>
      </c>
      <c r="H2460" s="2" t="s">
        <v>21</v>
      </c>
      <c r="I2460" s="2" t="s">
        <v>5848</v>
      </c>
      <c r="J2460" s="3" t="str">
        <f>HYPERLINK("https://www.boe.es/gazeta/dias/1816/09/05/pdfs/GMD-1816-110.pdf#page=4","Abrir facsímil")</f>
        <v>Abrir facsímil</v>
      </c>
      <c r="K2460" s="3" t="s">
        <v>23</v>
      </c>
    </row>
    <row r="2461" spans="1:11" ht="42" customHeight="1">
      <c r="A2461" s="2" t="s">
        <v>5780</v>
      </c>
      <c r="B2461" s="2" t="s">
        <v>5780</v>
      </c>
      <c r="C2461" s="2" t="s">
        <v>111</v>
      </c>
      <c r="D2461" s="2" t="s">
        <v>112</v>
      </c>
      <c r="E2461" s="5">
        <v>-30431</v>
      </c>
      <c r="F2461" s="3" t="s">
        <v>756</v>
      </c>
      <c r="G2461" s="3" t="s">
        <v>47</v>
      </c>
      <c r="H2461" s="2" t="s">
        <v>21</v>
      </c>
      <c r="I2461" s="2" t="s">
        <v>5849</v>
      </c>
      <c r="J2461" s="3" t="str">
        <f>HYPERLINK("https://www.boe.es/gazeta/dias/1816/09/05/pdfs/GMD-1816-110.pdf#page=5","Abrir facsímil")</f>
        <v>Abrir facsímil</v>
      </c>
      <c r="K2461" s="3" t="s">
        <v>23</v>
      </c>
    </row>
    <row r="2462" spans="1:11" ht="42" customHeight="1">
      <c r="A2462" s="2" t="s">
        <v>5780</v>
      </c>
      <c r="B2462" s="2" t="s">
        <v>5780</v>
      </c>
      <c r="C2462" s="2" t="s">
        <v>81</v>
      </c>
      <c r="D2462" s="2" t="s">
        <v>18</v>
      </c>
      <c r="E2462" s="5">
        <v>-30424</v>
      </c>
      <c r="F2462" s="3" t="s">
        <v>142</v>
      </c>
      <c r="G2462" s="3" t="s">
        <v>4386</v>
      </c>
      <c r="H2462" s="2" t="s">
        <v>21</v>
      </c>
      <c r="I2462" s="2" t="s">
        <v>5850</v>
      </c>
      <c r="J2462" s="3" t="str">
        <f>HYPERLINK("https://www.boe.es/gazeta/dias/1816/09/12/pdfs/GMD-1816-113.pdf#page=5","Abrir facsímil")</f>
        <v>Abrir facsímil</v>
      </c>
      <c r="K2462" s="3" t="s">
        <v>23</v>
      </c>
    </row>
    <row r="2463" spans="1:11" ht="42" customHeight="1">
      <c r="A2463" s="2" t="s">
        <v>5780</v>
      </c>
      <c r="B2463" s="2" t="s">
        <v>5780</v>
      </c>
      <c r="C2463" s="2" t="s">
        <v>387</v>
      </c>
      <c r="D2463" s="2" t="s">
        <v>18</v>
      </c>
      <c r="E2463" s="5">
        <v>-30422</v>
      </c>
      <c r="F2463" s="3" t="s">
        <v>803</v>
      </c>
      <c r="G2463" s="3" t="s">
        <v>47</v>
      </c>
      <c r="H2463" s="2" t="s">
        <v>21</v>
      </c>
      <c r="I2463" s="2" t="s">
        <v>5851</v>
      </c>
      <c r="J2463" s="3" t="str">
        <f>HYPERLINK("https://www.boe.es/gazeta/dias/1816/09/14/pdfs/GMD-1816-114.pdf#page=5","Abrir facsímil")</f>
        <v>Abrir facsímil</v>
      </c>
      <c r="K2463" s="3" t="s">
        <v>23</v>
      </c>
    </row>
    <row r="2464" spans="1:11" ht="42" customHeight="1">
      <c r="A2464" s="2" t="s">
        <v>5780</v>
      </c>
      <c r="B2464" s="2" t="s">
        <v>5780</v>
      </c>
      <c r="C2464" s="2" t="s">
        <v>26</v>
      </c>
      <c r="D2464" s="2" t="s">
        <v>18</v>
      </c>
      <c r="E2464" s="5">
        <v>-30419</v>
      </c>
      <c r="F2464" s="3" t="s">
        <v>1256</v>
      </c>
      <c r="G2464" s="3" t="s">
        <v>184</v>
      </c>
      <c r="H2464" s="2" t="s">
        <v>21</v>
      </c>
      <c r="I2464" s="2" t="s">
        <v>5852</v>
      </c>
      <c r="J2464" s="3" t="str">
        <f>HYPERLINK("https://www.boe.es/gazeta/dias/1816/09/17/pdfs/GMD-1816-115.pdf#page=3","Abrir facsímil")</f>
        <v>Abrir facsímil</v>
      </c>
      <c r="K2464" s="3" t="s">
        <v>23</v>
      </c>
    </row>
    <row r="2465" spans="1:11" ht="42" customHeight="1">
      <c r="A2465" s="2" t="s">
        <v>5780</v>
      </c>
      <c r="B2465" s="2" t="s">
        <v>5780</v>
      </c>
      <c r="C2465" s="2" t="s">
        <v>26</v>
      </c>
      <c r="D2465" s="2" t="s">
        <v>18</v>
      </c>
      <c r="E2465" s="5">
        <v>-30417</v>
      </c>
      <c r="F2465" s="3" t="s">
        <v>62</v>
      </c>
      <c r="G2465" s="3" t="s">
        <v>47</v>
      </c>
      <c r="H2465" s="2" t="s">
        <v>21</v>
      </c>
      <c r="I2465" s="2" t="s">
        <v>5853</v>
      </c>
      <c r="J2465" s="3" t="str">
        <f>HYPERLINK("https://www.boe.es/gazeta/dias/1816/09/19/pdfs/GMD-1816-116.pdf#page=5","Abrir facsímil")</f>
        <v>Abrir facsímil</v>
      </c>
      <c r="K2465" s="3" t="s">
        <v>23</v>
      </c>
    </row>
    <row r="2466" spans="1:11" ht="42" customHeight="1">
      <c r="A2466" s="2" t="s">
        <v>5780</v>
      </c>
      <c r="B2466" s="2" t="s">
        <v>5780</v>
      </c>
      <c r="C2466" s="2" t="s">
        <v>26</v>
      </c>
      <c r="D2466" s="2" t="s">
        <v>18</v>
      </c>
      <c r="E2466" s="5">
        <v>-30415</v>
      </c>
      <c r="F2466" s="3" t="s">
        <v>585</v>
      </c>
      <c r="G2466" s="3" t="s">
        <v>42</v>
      </c>
      <c r="H2466" s="2" t="s">
        <v>21</v>
      </c>
      <c r="I2466" s="2" t="s">
        <v>5854</v>
      </c>
      <c r="J2466" s="3" t="str">
        <f>HYPERLINK("https://www.boe.es/gazeta/dias/1816/09/21/pdfs/GMD-1816-117.pdf#page=8","Abrir facsímil")</f>
        <v>Abrir facsímil</v>
      </c>
      <c r="K2466" s="3" t="s">
        <v>23</v>
      </c>
    </row>
    <row r="2467" spans="1:11" ht="42" customHeight="1">
      <c r="A2467" s="2" t="s">
        <v>5780</v>
      </c>
      <c r="B2467" s="2" t="s">
        <v>5780</v>
      </c>
      <c r="C2467" s="2" t="s">
        <v>387</v>
      </c>
      <c r="D2467" s="2" t="s">
        <v>18</v>
      </c>
      <c r="E2467" s="5">
        <v>-30415</v>
      </c>
      <c r="F2467" s="3" t="s">
        <v>585</v>
      </c>
      <c r="G2467" s="3" t="s">
        <v>92</v>
      </c>
      <c r="H2467" s="2" t="s">
        <v>21</v>
      </c>
      <c r="I2467" s="2" t="s">
        <v>5855</v>
      </c>
      <c r="J2467" s="3" t="str">
        <f>HYPERLINK("https://www.boe.es/gazeta/dias/1816/09/21/pdfs/GMD-1816-117.pdf#page=9","Abrir facsímil")</f>
        <v>Abrir facsímil</v>
      </c>
      <c r="K2467" s="3" t="s">
        <v>23</v>
      </c>
    </row>
    <row r="2468" spans="1:11" ht="42" customHeight="1">
      <c r="A2468" s="2" t="s">
        <v>5780</v>
      </c>
      <c r="B2468" s="2" t="s">
        <v>5780</v>
      </c>
      <c r="C2468" s="2" t="s">
        <v>81</v>
      </c>
      <c r="D2468" s="2" t="s">
        <v>18</v>
      </c>
      <c r="E2468" s="5">
        <v>-30412</v>
      </c>
      <c r="F2468" s="3" t="s">
        <v>388</v>
      </c>
      <c r="G2468" s="3" t="s">
        <v>2542</v>
      </c>
      <c r="H2468" s="2" t="s">
        <v>21</v>
      </c>
      <c r="I2468" s="2" t="s">
        <v>5856</v>
      </c>
      <c r="J2468" s="3" t="str">
        <f>HYPERLINK("https://www.boe.es/gazeta/dias/1816/09/24/pdfs/GMD-1816-118.pdf#page=5","Abrir facsímil")</f>
        <v>Abrir facsímil</v>
      </c>
      <c r="K2468" s="3" t="s">
        <v>23</v>
      </c>
    </row>
    <row r="2469" spans="1:11" ht="42" customHeight="1">
      <c r="A2469" s="2" t="s">
        <v>5780</v>
      </c>
      <c r="B2469" s="2" t="s">
        <v>5780</v>
      </c>
      <c r="C2469" s="2" t="s">
        <v>111</v>
      </c>
      <c r="D2469" s="2" t="s">
        <v>112</v>
      </c>
      <c r="E2469" s="5">
        <v>-30410</v>
      </c>
      <c r="F2469" s="3" t="s">
        <v>1259</v>
      </c>
      <c r="G2469" s="3" t="s">
        <v>28</v>
      </c>
      <c r="H2469" s="2" t="s">
        <v>21</v>
      </c>
      <c r="I2469" s="2" t="s">
        <v>5857</v>
      </c>
      <c r="J2469" s="3" t="str">
        <f>HYPERLINK("https://www.boe.es/gazeta/dias/1816/09/26/pdfs/GMD-1816-119.pdf#page=6","Abrir facsímil")</f>
        <v>Abrir facsímil</v>
      </c>
      <c r="K2469" s="3" t="s">
        <v>23</v>
      </c>
    </row>
    <row r="2470" spans="1:11" ht="42" customHeight="1">
      <c r="A2470" s="2" t="s">
        <v>5780</v>
      </c>
      <c r="B2470" s="2" t="s">
        <v>5780</v>
      </c>
      <c r="C2470" s="2" t="s">
        <v>26</v>
      </c>
      <c r="D2470" s="2" t="s">
        <v>18</v>
      </c>
      <c r="E2470" s="5">
        <v>-30410</v>
      </c>
      <c r="F2470" s="3" t="s">
        <v>1259</v>
      </c>
      <c r="G2470" s="3" t="s">
        <v>92</v>
      </c>
      <c r="H2470" s="2" t="s">
        <v>21</v>
      </c>
      <c r="I2470" s="2" t="s">
        <v>5858</v>
      </c>
      <c r="J2470" s="3" t="str">
        <f>HYPERLINK("https://www.boe.es/gazeta/dias/1816/09/26/pdfs/GMD-1816-119.pdf#page=9","Abrir facsímil")</f>
        <v>Abrir facsímil</v>
      </c>
      <c r="K2470" s="3" t="s">
        <v>23</v>
      </c>
    </row>
    <row r="2471" spans="1:11" ht="42" customHeight="1">
      <c r="A2471" s="2" t="s">
        <v>5780</v>
      </c>
      <c r="B2471" s="2" t="s">
        <v>5780</v>
      </c>
      <c r="C2471" s="2" t="s">
        <v>26</v>
      </c>
      <c r="D2471" s="2" t="s">
        <v>18</v>
      </c>
      <c r="E2471" s="5">
        <v>-30408</v>
      </c>
      <c r="F2471" s="3" t="s">
        <v>295</v>
      </c>
      <c r="G2471" s="3" t="s">
        <v>28</v>
      </c>
      <c r="H2471" s="2" t="s">
        <v>21</v>
      </c>
      <c r="I2471" s="2" t="s">
        <v>5859</v>
      </c>
      <c r="J2471" s="3" t="str">
        <f>HYPERLINK("https://www.boe.es/gazeta/dias/1816/09/28/pdfs/GMD-1816-120.pdf#page=6","Abrir facsímil")</f>
        <v>Abrir facsímil</v>
      </c>
      <c r="K2471" s="3" t="s">
        <v>23</v>
      </c>
    </row>
    <row r="2472" spans="1:11" ht="42" customHeight="1">
      <c r="A2472" s="2" t="s">
        <v>5780</v>
      </c>
      <c r="B2472" s="2" t="s">
        <v>5780</v>
      </c>
      <c r="C2472" s="2" t="s">
        <v>26</v>
      </c>
      <c r="D2472" s="2" t="s">
        <v>18</v>
      </c>
      <c r="E2472" s="5">
        <v>-30405</v>
      </c>
      <c r="F2472" s="3" t="s">
        <v>587</v>
      </c>
      <c r="G2472" s="3" t="s">
        <v>72</v>
      </c>
      <c r="H2472" s="2" t="s">
        <v>21</v>
      </c>
      <c r="I2472" s="2" t="s">
        <v>5860</v>
      </c>
      <c r="J2472" s="3" t="str">
        <f>HYPERLINK("https://www.boe.es/gazeta/dias/1816/10/01/pdfs/GMD-1816-121.pdf#page=7","Abrir facsímil")</f>
        <v>Abrir facsímil</v>
      </c>
      <c r="K2472" s="3" t="s">
        <v>23</v>
      </c>
    </row>
    <row r="2473" spans="1:11" ht="42" customHeight="1">
      <c r="A2473" s="2" t="s">
        <v>5780</v>
      </c>
      <c r="B2473" s="2" t="s">
        <v>5780</v>
      </c>
      <c r="C2473" s="2" t="s">
        <v>17</v>
      </c>
      <c r="D2473" s="2" t="s">
        <v>18</v>
      </c>
      <c r="E2473" s="5">
        <v>-30403</v>
      </c>
      <c r="F2473" s="3" t="s">
        <v>1264</v>
      </c>
      <c r="G2473" s="3" t="s">
        <v>28</v>
      </c>
      <c r="H2473" s="2" t="s">
        <v>21</v>
      </c>
      <c r="I2473" s="2" t="s">
        <v>5861</v>
      </c>
      <c r="J2473" s="3" t="str">
        <f>HYPERLINK("https://www.boe.es/gazeta/dias/1816/10/03/pdfs/GMD-1816-122.pdf#page=6","Abrir facsímil")</f>
        <v>Abrir facsímil</v>
      </c>
      <c r="K2473" s="3" t="s">
        <v>23</v>
      </c>
    </row>
    <row r="2474" spans="1:11" ht="42" customHeight="1">
      <c r="A2474" s="2" t="s">
        <v>5780</v>
      </c>
      <c r="B2474" s="2" t="s">
        <v>5780</v>
      </c>
      <c r="C2474" s="2" t="s">
        <v>26</v>
      </c>
      <c r="D2474" s="2" t="s">
        <v>18</v>
      </c>
      <c r="E2474" s="5">
        <v>-30401</v>
      </c>
      <c r="F2474" s="3" t="s">
        <v>652</v>
      </c>
      <c r="G2474" s="3" t="s">
        <v>72</v>
      </c>
      <c r="H2474" s="2" t="s">
        <v>21</v>
      </c>
      <c r="I2474" s="2" t="s">
        <v>5862</v>
      </c>
      <c r="J2474" s="3" t="str">
        <f>HYPERLINK("https://www.boe.es/gazeta/dias/1816/10/05/pdfs/GMD-1816-123.pdf#page=7","Abrir facsímil")</f>
        <v>Abrir facsímil</v>
      </c>
      <c r="K2474" s="3" t="s">
        <v>23</v>
      </c>
    </row>
    <row r="2475" spans="1:11" ht="42" customHeight="1">
      <c r="A2475" s="2" t="s">
        <v>5780</v>
      </c>
      <c r="B2475" s="2" t="s">
        <v>5780</v>
      </c>
      <c r="C2475" s="2" t="s">
        <v>41</v>
      </c>
      <c r="D2475" s="2" t="s">
        <v>56</v>
      </c>
      <c r="E2475" s="5">
        <v>-30399</v>
      </c>
      <c r="F2475" s="3" t="s">
        <v>57</v>
      </c>
      <c r="G2475" s="3" t="s">
        <v>58</v>
      </c>
      <c r="H2475" s="2" t="s">
        <v>21</v>
      </c>
      <c r="I2475" s="2" t="s">
        <v>5863</v>
      </c>
      <c r="J2475" s="3" t="str">
        <f>HYPERLINK("https://www.boe.es/gazeta/dias/1816/10/07/pdfs/GMD-1816-124E.pdf#page=1","Abrir facsímil")</f>
        <v>Abrir facsímil</v>
      </c>
      <c r="K2475" s="3" t="s">
        <v>23</v>
      </c>
    </row>
    <row r="2476" spans="1:11" ht="42" customHeight="1">
      <c r="A2476" s="2" t="s">
        <v>5780</v>
      </c>
      <c r="B2476" s="2" t="s">
        <v>5780</v>
      </c>
      <c r="C2476" s="2" t="s">
        <v>34</v>
      </c>
      <c r="D2476" s="2" t="s">
        <v>56</v>
      </c>
      <c r="E2476" s="5">
        <v>-30399</v>
      </c>
      <c r="F2476" s="3" t="s">
        <v>57</v>
      </c>
      <c r="G2476" s="3" t="s">
        <v>270</v>
      </c>
      <c r="H2476" s="2" t="s">
        <v>21</v>
      </c>
      <c r="I2476" s="2" t="s">
        <v>5864</v>
      </c>
      <c r="J2476" s="3" t="str">
        <f>HYPERLINK("https://www.boe.es/gazeta/dias/1816/10/07/pdfs/GMD-1816-124E.pdf#page=2","Abrir facsímil")</f>
        <v>Abrir facsímil</v>
      </c>
      <c r="K2476" s="3" t="s">
        <v>23</v>
      </c>
    </row>
    <row r="2477" spans="1:11" ht="42" customHeight="1">
      <c r="A2477" s="2" t="s">
        <v>5780</v>
      </c>
      <c r="B2477" s="2" t="s">
        <v>5780</v>
      </c>
      <c r="C2477" s="2" t="s">
        <v>387</v>
      </c>
      <c r="D2477" s="2" t="s">
        <v>56</v>
      </c>
      <c r="E2477" s="5">
        <v>-30399</v>
      </c>
      <c r="F2477" s="3" t="s">
        <v>57</v>
      </c>
      <c r="G2477" s="3" t="s">
        <v>28</v>
      </c>
      <c r="H2477" s="2" t="s">
        <v>21</v>
      </c>
      <c r="I2477" s="2" t="s">
        <v>5865</v>
      </c>
      <c r="J2477" s="3" t="str">
        <f>HYPERLINK("https://www.boe.es/gazeta/dias/1816/10/07/pdfs/GMD-1816-124E.pdf#page=6","Abrir facsímil")</f>
        <v>Abrir facsímil</v>
      </c>
      <c r="K2477" s="3" t="s">
        <v>23</v>
      </c>
    </row>
    <row r="2478" spans="1:11" ht="42" customHeight="1">
      <c r="A2478" s="2" t="s">
        <v>5780</v>
      </c>
      <c r="B2478" s="2" t="s">
        <v>5780</v>
      </c>
      <c r="C2478" s="2" t="s">
        <v>26</v>
      </c>
      <c r="D2478" s="2" t="s">
        <v>56</v>
      </c>
      <c r="E2478" s="5">
        <v>-30399</v>
      </c>
      <c r="F2478" s="3" t="s">
        <v>57</v>
      </c>
      <c r="G2478" s="3" t="s">
        <v>72</v>
      </c>
      <c r="H2478" s="2" t="s">
        <v>21</v>
      </c>
      <c r="I2478" s="2" t="s">
        <v>5866</v>
      </c>
      <c r="J2478" s="3" t="str">
        <f>HYPERLINK("https://www.boe.es/gazeta/dias/1816/10/07/pdfs/GMD-1816-124E.pdf#page=7","Abrir facsímil")</f>
        <v>Abrir facsímil</v>
      </c>
      <c r="K2478" s="3" t="s">
        <v>23</v>
      </c>
    </row>
    <row r="2479" spans="1:11" ht="42" customHeight="1">
      <c r="A2479" s="2" t="s">
        <v>5780</v>
      </c>
      <c r="B2479" s="2" t="s">
        <v>5780</v>
      </c>
      <c r="C2479" s="2" t="s">
        <v>111</v>
      </c>
      <c r="D2479" s="2" t="s">
        <v>56</v>
      </c>
      <c r="E2479" s="5">
        <v>-30399</v>
      </c>
      <c r="F2479" s="3" t="s">
        <v>57</v>
      </c>
      <c r="G2479" s="3" t="s">
        <v>42</v>
      </c>
      <c r="H2479" s="2" t="s">
        <v>21</v>
      </c>
      <c r="I2479" s="2" t="s">
        <v>5867</v>
      </c>
      <c r="J2479" s="3" t="str">
        <f>HYPERLINK("https://www.boe.es/gazeta/dias/1816/10/07/pdfs/GMD-1816-124E.pdf#page=8","Abrir facsímil")</f>
        <v>Abrir facsímil</v>
      </c>
      <c r="K2479" s="3" t="s">
        <v>23</v>
      </c>
    </row>
    <row r="2480" spans="1:11" ht="42" customHeight="1">
      <c r="A2480" s="2" t="s">
        <v>5780</v>
      </c>
      <c r="B2480" s="2" t="s">
        <v>5780</v>
      </c>
      <c r="C2480" s="2" t="s">
        <v>34</v>
      </c>
      <c r="D2480" s="2" t="s">
        <v>35</v>
      </c>
      <c r="E2480" s="5">
        <v>-30398</v>
      </c>
      <c r="F2480" s="3" t="s">
        <v>447</v>
      </c>
      <c r="G2480" s="3" t="s">
        <v>47</v>
      </c>
      <c r="H2480" s="2" t="s">
        <v>21</v>
      </c>
      <c r="I2480" s="2" t="s">
        <v>5868</v>
      </c>
      <c r="J2480" s="3" t="str">
        <f>HYPERLINK("https://www.boe.es/gazeta/dias/1816/10/08/pdfs/GMD-1816-125.pdf#page=5","Abrir facsímil")</f>
        <v>Abrir facsímil</v>
      </c>
      <c r="K2480" s="3" t="s">
        <v>23</v>
      </c>
    </row>
    <row r="2481" spans="1:11" ht="42" customHeight="1">
      <c r="A2481" s="2" t="s">
        <v>5780</v>
      </c>
      <c r="B2481" s="2" t="s">
        <v>5780</v>
      </c>
      <c r="C2481" s="2" t="s">
        <v>111</v>
      </c>
      <c r="D2481" s="2" t="s">
        <v>112</v>
      </c>
      <c r="E2481" s="5">
        <v>-30396</v>
      </c>
      <c r="F2481" s="3" t="s">
        <v>1623</v>
      </c>
      <c r="G2481" s="3" t="s">
        <v>103</v>
      </c>
      <c r="H2481" s="2" t="s">
        <v>21</v>
      </c>
      <c r="I2481" s="2" t="s">
        <v>5869</v>
      </c>
      <c r="J2481" s="3" t="str">
        <f>HYPERLINK("https://www.boe.es/gazeta/dias/1816/10/10/pdfs/GMD-1816-126.pdf#page=4","Abrir facsímil")</f>
        <v>Abrir facsímil</v>
      </c>
      <c r="K2481" s="3" t="s">
        <v>23</v>
      </c>
    </row>
    <row r="2482" spans="1:11" ht="42" customHeight="1">
      <c r="A2482" s="2" t="s">
        <v>5780</v>
      </c>
      <c r="B2482" s="2" t="s">
        <v>5780</v>
      </c>
      <c r="C2482" s="2" t="s">
        <v>26</v>
      </c>
      <c r="D2482" s="2" t="s">
        <v>18</v>
      </c>
      <c r="E2482" s="5">
        <v>-30396</v>
      </c>
      <c r="F2482" s="3" t="s">
        <v>1623</v>
      </c>
      <c r="G2482" s="3" t="s">
        <v>47</v>
      </c>
      <c r="H2482" s="2" t="s">
        <v>21</v>
      </c>
      <c r="I2482" s="2" t="s">
        <v>5870</v>
      </c>
      <c r="J2482" s="3" t="str">
        <f>HYPERLINK("https://www.boe.es/gazeta/dias/1816/10/10/pdfs/GMD-1816-126.pdf#page=5","Abrir facsímil")</f>
        <v>Abrir facsímil</v>
      </c>
      <c r="K2482" s="3" t="s">
        <v>23</v>
      </c>
    </row>
    <row r="2483" spans="1:11" ht="42" customHeight="1">
      <c r="A2483" s="2" t="s">
        <v>5780</v>
      </c>
      <c r="B2483" s="2" t="s">
        <v>5780</v>
      </c>
      <c r="C2483" s="2" t="s">
        <v>26</v>
      </c>
      <c r="D2483" s="2" t="s">
        <v>18</v>
      </c>
      <c r="E2483" s="5">
        <v>-30394</v>
      </c>
      <c r="F2483" s="3" t="s">
        <v>589</v>
      </c>
      <c r="G2483" s="3" t="s">
        <v>1306</v>
      </c>
      <c r="H2483" s="2" t="s">
        <v>21</v>
      </c>
      <c r="I2483" s="2" t="s">
        <v>5871</v>
      </c>
      <c r="J2483" s="3" t="str">
        <f>HYPERLINK("https://www.boe.es/gazeta/dias/1816/10/12/pdfs/GMD-1816-127.pdf#page=4","Abrir facsímil")</f>
        <v>Abrir facsímil</v>
      </c>
      <c r="K2483" s="3" t="s">
        <v>23</v>
      </c>
    </row>
    <row r="2484" spans="1:11" ht="42" customHeight="1">
      <c r="A2484" s="2" t="s">
        <v>5780</v>
      </c>
      <c r="B2484" s="2" t="s">
        <v>5780</v>
      </c>
      <c r="C2484" s="2" t="s">
        <v>26</v>
      </c>
      <c r="D2484" s="2" t="s">
        <v>18</v>
      </c>
      <c r="E2484" s="5">
        <v>-30394</v>
      </c>
      <c r="F2484" s="3" t="s">
        <v>589</v>
      </c>
      <c r="G2484" s="3" t="s">
        <v>47</v>
      </c>
      <c r="H2484" s="2" t="s">
        <v>21</v>
      </c>
      <c r="I2484" s="2" t="s">
        <v>5872</v>
      </c>
      <c r="J2484" s="3" t="str">
        <f>HYPERLINK("https://www.boe.es/gazeta/dias/1816/10/12/pdfs/GMD-1816-127.pdf#page=5","Abrir facsímil")</f>
        <v>Abrir facsímil</v>
      </c>
      <c r="K2484" s="3" t="s">
        <v>23</v>
      </c>
    </row>
    <row r="2485" spans="1:11" ht="42" customHeight="1">
      <c r="A2485" s="2" t="s">
        <v>5780</v>
      </c>
      <c r="B2485" s="2" t="s">
        <v>5780</v>
      </c>
      <c r="C2485" s="2" t="s">
        <v>26</v>
      </c>
      <c r="D2485" s="2" t="s">
        <v>56</v>
      </c>
      <c r="E2485" s="5">
        <v>-30393</v>
      </c>
      <c r="F2485" s="3" t="s">
        <v>202</v>
      </c>
      <c r="G2485" s="3" t="s">
        <v>58</v>
      </c>
      <c r="H2485" s="2" t="s">
        <v>21</v>
      </c>
      <c r="I2485" s="2" t="s">
        <v>5873</v>
      </c>
      <c r="J2485" s="3" t="str">
        <f>HYPERLINK("https://www.boe.es/gazeta/dias/1816/10/13/pdfs/GMD-1816-128E.pdf#page=1","Abrir facsímil")</f>
        <v>Abrir facsímil</v>
      </c>
      <c r="K2485" s="3" t="s">
        <v>23</v>
      </c>
    </row>
    <row r="2486" spans="1:11" ht="42" customHeight="1">
      <c r="A2486" s="2" t="s">
        <v>5780</v>
      </c>
      <c r="B2486" s="2" t="s">
        <v>5780</v>
      </c>
      <c r="C2486" s="2" t="s">
        <v>111</v>
      </c>
      <c r="D2486" s="2" t="s">
        <v>56</v>
      </c>
      <c r="E2486" s="5">
        <v>-30393</v>
      </c>
      <c r="F2486" s="3" t="s">
        <v>202</v>
      </c>
      <c r="G2486" s="3" t="s">
        <v>184</v>
      </c>
      <c r="H2486" s="2" t="s">
        <v>21</v>
      </c>
      <c r="I2486" s="2" t="s">
        <v>5874</v>
      </c>
      <c r="J2486" s="3" t="str">
        <f>HYPERLINK("https://www.boe.es/gazeta/dias/1816/10/13/pdfs/GMD-1816-128E.pdf#page=3","Abrir facsímil")</f>
        <v>Abrir facsímil</v>
      </c>
      <c r="K2486" s="3" t="s">
        <v>23</v>
      </c>
    </row>
    <row r="2487" spans="1:11" ht="42" customHeight="1">
      <c r="A2487" s="2" t="s">
        <v>5780</v>
      </c>
      <c r="B2487" s="2" t="s">
        <v>5780</v>
      </c>
      <c r="C2487" s="2" t="s">
        <v>26</v>
      </c>
      <c r="D2487" s="2" t="s">
        <v>18</v>
      </c>
      <c r="E2487" s="5">
        <v>-30391</v>
      </c>
      <c r="F2487" s="3" t="s">
        <v>482</v>
      </c>
      <c r="G2487" s="3" t="s">
        <v>103</v>
      </c>
      <c r="H2487" s="2" t="s">
        <v>21</v>
      </c>
      <c r="I2487" s="2" t="s">
        <v>5875</v>
      </c>
      <c r="J2487" s="3" t="str">
        <f>HYPERLINK("https://www.boe.es/gazeta/dias/1816/10/15/pdfs/GMD-1816-129.pdf#page=4","Abrir facsímil")</f>
        <v>Abrir facsímil</v>
      </c>
      <c r="K2487" s="3" t="s">
        <v>23</v>
      </c>
    </row>
    <row r="2488" spans="1:11" ht="42" customHeight="1">
      <c r="A2488" s="2" t="s">
        <v>5780</v>
      </c>
      <c r="B2488" s="2" t="s">
        <v>5780</v>
      </c>
      <c r="C2488" s="2" t="s">
        <v>111</v>
      </c>
      <c r="D2488" s="2" t="s">
        <v>112</v>
      </c>
      <c r="E2488" s="5">
        <v>-30389</v>
      </c>
      <c r="F2488" s="3" t="s">
        <v>522</v>
      </c>
      <c r="G2488" s="3" t="s">
        <v>1273</v>
      </c>
      <c r="H2488" s="2" t="s">
        <v>21</v>
      </c>
      <c r="I2488" s="2" t="s">
        <v>5876</v>
      </c>
      <c r="J2488" s="3" t="str">
        <f>HYPERLINK("https://www.boe.es/gazeta/dias/1816/10/17/pdfs/GMD-1816-130.pdf#page=4","Abrir facsímil")</f>
        <v>Abrir facsímil</v>
      </c>
      <c r="K2488" s="3" t="s">
        <v>23</v>
      </c>
    </row>
    <row r="2489" spans="1:11" ht="42" customHeight="1">
      <c r="A2489" s="2" t="s">
        <v>5780</v>
      </c>
      <c r="B2489" s="2" t="s">
        <v>5780</v>
      </c>
      <c r="C2489" s="2" t="s">
        <v>111</v>
      </c>
      <c r="D2489" s="2" t="s">
        <v>112</v>
      </c>
      <c r="E2489" s="5">
        <v>-30389</v>
      </c>
      <c r="F2489" s="3" t="s">
        <v>522</v>
      </c>
      <c r="G2489" s="3" t="s">
        <v>47</v>
      </c>
      <c r="H2489" s="2" t="s">
        <v>21</v>
      </c>
      <c r="I2489" s="2" t="s">
        <v>5877</v>
      </c>
      <c r="J2489" s="3" t="str">
        <f>HYPERLINK("https://www.boe.es/gazeta/dias/1816/10/17/pdfs/GMD-1816-130.pdf#page=5","Abrir facsímil")</f>
        <v>Abrir facsímil</v>
      </c>
      <c r="K2489" s="3" t="s">
        <v>23</v>
      </c>
    </row>
    <row r="2490" spans="1:11" ht="42" customHeight="1">
      <c r="A2490" s="2" t="s">
        <v>5780</v>
      </c>
      <c r="B2490" s="2" t="s">
        <v>5780</v>
      </c>
      <c r="C2490" s="2" t="s">
        <v>26</v>
      </c>
      <c r="D2490" s="2" t="s">
        <v>18</v>
      </c>
      <c r="E2490" s="5">
        <v>-30387</v>
      </c>
      <c r="F2490" s="3" t="s">
        <v>224</v>
      </c>
      <c r="G2490" s="3" t="s">
        <v>103</v>
      </c>
      <c r="H2490" s="2" t="s">
        <v>21</v>
      </c>
      <c r="I2490" s="2" t="s">
        <v>5878</v>
      </c>
      <c r="J2490" s="3" t="str">
        <f>HYPERLINK("https://www.boe.es/gazeta/dias/1816/10/19/pdfs/GMD-1816-131.pdf#page=4","Abrir facsímil")</f>
        <v>Abrir facsímil</v>
      </c>
      <c r="K2490" s="3" t="s">
        <v>23</v>
      </c>
    </row>
    <row r="2491" spans="1:11" ht="42" customHeight="1">
      <c r="A2491" s="2" t="s">
        <v>5780</v>
      </c>
      <c r="B2491" s="2" t="s">
        <v>5780</v>
      </c>
      <c r="C2491" s="2" t="s">
        <v>34</v>
      </c>
      <c r="D2491" s="2" t="s">
        <v>35</v>
      </c>
      <c r="E2491" s="5">
        <v>-30384</v>
      </c>
      <c r="F2491" s="3" t="s">
        <v>460</v>
      </c>
      <c r="G2491" s="3" t="s">
        <v>932</v>
      </c>
      <c r="H2491" s="2" t="s">
        <v>21</v>
      </c>
      <c r="I2491" s="2" t="s">
        <v>5879</v>
      </c>
      <c r="J2491" s="3" t="str">
        <f>HYPERLINK("https://www.boe.es/gazeta/dias/1816/10/22/pdfs/GMD-1816-132.pdf#page=7","Abrir facsímil")</f>
        <v>Abrir facsímil</v>
      </c>
      <c r="K2491" s="3" t="s">
        <v>23</v>
      </c>
    </row>
    <row r="2492" spans="1:11" ht="42" customHeight="1">
      <c r="A2492" s="2" t="s">
        <v>5780</v>
      </c>
      <c r="B2492" s="2" t="s">
        <v>5780</v>
      </c>
      <c r="C2492" s="2" t="s">
        <v>111</v>
      </c>
      <c r="D2492" s="2" t="s">
        <v>112</v>
      </c>
      <c r="E2492" s="5">
        <v>-30384</v>
      </c>
      <c r="F2492" s="3" t="s">
        <v>460</v>
      </c>
      <c r="G2492" s="3" t="s">
        <v>103</v>
      </c>
      <c r="H2492" s="2" t="s">
        <v>21</v>
      </c>
      <c r="I2492" s="2" t="s">
        <v>5880</v>
      </c>
      <c r="J2492" s="3" t="str">
        <f>HYPERLINK("https://www.boe.es/gazeta/dias/1816/10/22/pdfs/GMD-1816-132.pdf#page=4","Abrir facsímil")</f>
        <v>Abrir facsímil</v>
      </c>
      <c r="K2492" s="3" t="s">
        <v>23</v>
      </c>
    </row>
    <row r="2493" spans="1:11" ht="42" customHeight="1">
      <c r="A2493" s="2" t="s">
        <v>5780</v>
      </c>
      <c r="B2493" s="2" t="s">
        <v>5780</v>
      </c>
      <c r="C2493" s="2" t="s">
        <v>111</v>
      </c>
      <c r="D2493" s="2" t="s">
        <v>112</v>
      </c>
      <c r="E2493" s="5">
        <v>-30384</v>
      </c>
      <c r="F2493" s="3" t="s">
        <v>460</v>
      </c>
      <c r="G2493" s="3" t="s">
        <v>47</v>
      </c>
      <c r="H2493" s="2" t="s">
        <v>21</v>
      </c>
      <c r="I2493" s="2" t="s">
        <v>5881</v>
      </c>
      <c r="J2493" s="3" t="str">
        <f>HYPERLINK("https://www.boe.es/gazeta/dias/1816/10/22/pdfs/GMD-1816-132.pdf#page=5","Abrir facsímil")</f>
        <v>Abrir facsímil</v>
      </c>
      <c r="K2493" s="3" t="s">
        <v>23</v>
      </c>
    </row>
    <row r="2494" spans="1:11" ht="42" customHeight="1">
      <c r="A2494" s="2" t="s">
        <v>5780</v>
      </c>
      <c r="B2494" s="2" t="s">
        <v>5780</v>
      </c>
      <c r="C2494" s="2" t="s">
        <v>111</v>
      </c>
      <c r="D2494" s="2" t="s">
        <v>112</v>
      </c>
      <c r="E2494" s="5">
        <v>-30380</v>
      </c>
      <c r="F2494" s="3" t="s">
        <v>819</v>
      </c>
      <c r="G2494" s="3" t="s">
        <v>47</v>
      </c>
      <c r="H2494" s="2" t="s">
        <v>21</v>
      </c>
      <c r="I2494" s="2" t="s">
        <v>5882</v>
      </c>
      <c r="J2494" s="3" t="str">
        <f>HYPERLINK("https://www.boe.es/gazeta/dias/1816/10/26/pdfs/GMD-1816-134.pdf#page=5","Abrir facsímil")</f>
        <v>Abrir facsímil</v>
      </c>
      <c r="K2494" s="3" t="s">
        <v>23</v>
      </c>
    </row>
    <row r="2495" spans="1:11" ht="42" customHeight="1">
      <c r="A2495" s="2" t="s">
        <v>5780</v>
      </c>
      <c r="B2495" s="2" t="s">
        <v>5780</v>
      </c>
      <c r="C2495" s="2" t="s">
        <v>34</v>
      </c>
      <c r="D2495" s="2" t="s">
        <v>35</v>
      </c>
      <c r="E2495" s="5">
        <v>-30380</v>
      </c>
      <c r="F2495" s="3" t="s">
        <v>819</v>
      </c>
      <c r="G2495" s="3" t="s">
        <v>28</v>
      </c>
      <c r="H2495" s="2" t="s">
        <v>21</v>
      </c>
      <c r="I2495" s="2" t="s">
        <v>5883</v>
      </c>
      <c r="J2495" s="3" t="str">
        <f>HYPERLINK("https://www.boe.es/gazeta/dias/1816/10/26/pdfs/GMD-1816-134.pdf#page=6","Abrir facsímil")</f>
        <v>Abrir facsímil</v>
      </c>
      <c r="K2495" s="3" t="s">
        <v>23</v>
      </c>
    </row>
    <row r="2496" spans="1:11" ht="42" customHeight="1">
      <c r="A2496" s="2" t="s">
        <v>5780</v>
      </c>
      <c r="B2496" s="2" t="s">
        <v>5780</v>
      </c>
      <c r="C2496" s="2" t="s">
        <v>34</v>
      </c>
      <c r="D2496" s="2" t="s">
        <v>35</v>
      </c>
      <c r="E2496" s="5">
        <v>-30377</v>
      </c>
      <c r="F2496" s="3" t="s">
        <v>138</v>
      </c>
      <c r="G2496" s="3" t="s">
        <v>47</v>
      </c>
      <c r="H2496" s="2" t="s">
        <v>21</v>
      </c>
      <c r="I2496" s="2" t="s">
        <v>5884</v>
      </c>
      <c r="J2496" s="3" t="str">
        <f>HYPERLINK("https://www.boe.es/gazeta/dias/1816/10/29/pdfs/GMD-1816-135.pdf#page=5","Abrir facsímil")</f>
        <v>Abrir facsímil</v>
      </c>
      <c r="K2496" s="3" t="s">
        <v>23</v>
      </c>
    </row>
    <row r="2497" spans="1:11" ht="42" customHeight="1">
      <c r="A2497" s="2" t="s">
        <v>5780</v>
      </c>
      <c r="B2497" s="2" t="s">
        <v>5780</v>
      </c>
      <c r="C2497" s="2" t="s">
        <v>67</v>
      </c>
      <c r="D2497" s="2" t="s">
        <v>18</v>
      </c>
      <c r="E2497" s="5">
        <v>-30377</v>
      </c>
      <c r="F2497" s="3" t="s">
        <v>138</v>
      </c>
      <c r="G2497" s="3" t="s">
        <v>42</v>
      </c>
      <c r="H2497" s="2" t="s">
        <v>21</v>
      </c>
      <c r="I2497" s="2" t="s">
        <v>5885</v>
      </c>
      <c r="J2497" s="3" t="str">
        <f>HYPERLINK("https://www.boe.es/gazeta/dias/1816/10/29/pdfs/GMD-1816-135.pdf#page=8","Abrir facsímil")</f>
        <v>Abrir facsímil</v>
      </c>
      <c r="K2497" s="3" t="s">
        <v>23</v>
      </c>
    </row>
    <row r="2498" spans="1:11" ht="42" customHeight="1">
      <c r="A2498" s="2" t="s">
        <v>5780</v>
      </c>
      <c r="B2498" s="2" t="s">
        <v>5780</v>
      </c>
      <c r="C2498" s="2" t="s">
        <v>111</v>
      </c>
      <c r="D2498" s="2" t="s">
        <v>112</v>
      </c>
      <c r="E2498" s="5">
        <v>-30375</v>
      </c>
      <c r="F2498" s="3" t="s">
        <v>404</v>
      </c>
      <c r="G2498" s="3" t="s">
        <v>1276</v>
      </c>
      <c r="H2498" s="2" t="s">
        <v>21</v>
      </c>
      <c r="I2498" s="2" t="s">
        <v>5886</v>
      </c>
      <c r="J2498" s="3" t="str">
        <f>HYPERLINK("https://www.boe.es/gazeta/dias/1816/10/31/pdfs/GMD-1816-136.pdf#page=5","Abrir facsímil")</f>
        <v>Abrir facsímil</v>
      </c>
      <c r="K2498" s="3" t="s">
        <v>23</v>
      </c>
    </row>
    <row r="2499" spans="1:11" ht="42" customHeight="1">
      <c r="A2499" s="2" t="s">
        <v>5780</v>
      </c>
      <c r="B2499" s="2" t="s">
        <v>5780</v>
      </c>
      <c r="C2499" s="2" t="s">
        <v>34</v>
      </c>
      <c r="D2499" s="2" t="s">
        <v>35</v>
      </c>
      <c r="E2499" s="5">
        <v>-30375</v>
      </c>
      <c r="F2499" s="3" t="s">
        <v>404</v>
      </c>
      <c r="G2499" s="3" t="s">
        <v>405</v>
      </c>
      <c r="H2499" s="2" t="s">
        <v>21</v>
      </c>
      <c r="I2499" s="2" t="s">
        <v>5887</v>
      </c>
      <c r="J2499" s="3" t="str">
        <f>HYPERLINK("https://www.boe.es/gazeta/dias/1816/10/31/pdfs/GMD-1816-136.pdf#page=6","Abrir facsímil")</f>
        <v>Abrir facsímil</v>
      </c>
      <c r="K2499" s="3" t="s">
        <v>23</v>
      </c>
    </row>
    <row r="2500" spans="1:11" ht="42" customHeight="1">
      <c r="A2500" s="2" t="s">
        <v>5780</v>
      </c>
      <c r="B2500" s="2" t="s">
        <v>5780</v>
      </c>
      <c r="C2500" s="2" t="s">
        <v>67</v>
      </c>
      <c r="D2500" s="2" t="s">
        <v>18</v>
      </c>
      <c r="E2500" s="5">
        <v>-30375</v>
      </c>
      <c r="F2500" s="3" t="s">
        <v>404</v>
      </c>
      <c r="G2500" s="3" t="s">
        <v>1278</v>
      </c>
      <c r="H2500" s="2" t="s">
        <v>21</v>
      </c>
      <c r="I2500" s="2" t="s">
        <v>5888</v>
      </c>
      <c r="J2500" s="3" t="str">
        <f>HYPERLINK("https://www.boe.es/gazeta/dias/1816/10/31/pdfs/GMD-1816-136.pdf#page=7","Abrir facsímil")</f>
        <v>Abrir facsímil</v>
      </c>
      <c r="K2500" s="3" t="s">
        <v>23</v>
      </c>
    </row>
    <row r="2501" spans="1:11" ht="42" customHeight="1">
      <c r="A2501" s="2" t="s">
        <v>5780</v>
      </c>
      <c r="B2501" s="2" t="s">
        <v>5780</v>
      </c>
      <c r="C2501" s="2" t="s">
        <v>34</v>
      </c>
      <c r="D2501" s="2" t="s">
        <v>35</v>
      </c>
      <c r="E2501" s="5">
        <v>-30373</v>
      </c>
      <c r="F2501" s="3" t="s">
        <v>1280</v>
      </c>
      <c r="G2501" s="3" t="s">
        <v>1281</v>
      </c>
      <c r="H2501" s="2" t="s">
        <v>21</v>
      </c>
      <c r="I2501" s="2" t="s">
        <v>5889</v>
      </c>
      <c r="J2501" s="3" t="str">
        <f>HYPERLINK("https://www.boe.es/gazeta/dias/1816/11/02/pdfs/GMD-1816-137.pdf#page=6","Abrir facsímil")</f>
        <v>Abrir facsímil</v>
      </c>
      <c r="K2501" s="3" t="s">
        <v>23</v>
      </c>
    </row>
    <row r="2502" spans="1:11" ht="42" customHeight="1">
      <c r="A2502" s="2" t="s">
        <v>5780</v>
      </c>
      <c r="B2502" s="2" t="s">
        <v>5780</v>
      </c>
      <c r="C2502" s="2" t="s">
        <v>26</v>
      </c>
      <c r="D2502" s="2" t="s">
        <v>18</v>
      </c>
      <c r="E2502" s="5">
        <v>-30370</v>
      </c>
      <c r="F2502" s="3" t="s">
        <v>669</v>
      </c>
      <c r="G2502" s="3" t="s">
        <v>103</v>
      </c>
      <c r="H2502" s="2" t="s">
        <v>21</v>
      </c>
      <c r="I2502" s="2" t="s">
        <v>5890</v>
      </c>
      <c r="J2502" s="3" t="str">
        <f>HYPERLINK("https://www.boe.es/gazeta/dias/1816/11/05/pdfs/GMD-1816-138.pdf#page=4","Abrir facsímil")</f>
        <v>Abrir facsímil</v>
      </c>
      <c r="K2502" s="3" t="s">
        <v>23</v>
      </c>
    </row>
    <row r="2503" spans="1:11" ht="42" customHeight="1">
      <c r="A2503" s="2" t="s">
        <v>5780</v>
      </c>
      <c r="B2503" s="2" t="s">
        <v>5780</v>
      </c>
      <c r="C2503" s="2" t="s">
        <v>34</v>
      </c>
      <c r="D2503" s="2" t="s">
        <v>35</v>
      </c>
      <c r="E2503" s="5">
        <v>-30370</v>
      </c>
      <c r="F2503" s="3" t="s">
        <v>669</v>
      </c>
      <c r="G2503" s="3" t="s">
        <v>47</v>
      </c>
      <c r="H2503" s="2" t="s">
        <v>21</v>
      </c>
      <c r="I2503" s="2" t="s">
        <v>5891</v>
      </c>
      <c r="J2503" s="3" t="str">
        <f>HYPERLINK("https://www.boe.es/gazeta/dias/1816/11/05/pdfs/GMD-1816-138.pdf#page=5","Abrir facsímil")</f>
        <v>Abrir facsímil</v>
      </c>
      <c r="K2503" s="3" t="s">
        <v>23</v>
      </c>
    </row>
    <row r="2504" spans="1:11" ht="42" customHeight="1">
      <c r="A2504" s="2" t="s">
        <v>5780</v>
      </c>
      <c r="B2504" s="2" t="s">
        <v>5780</v>
      </c>
      <c r="C2504" s="2" t="s">
        <v>111</v>
      </c>
      <c r="D2504" s="2" t="s">
        <v>112</v>
      </c>
      <c r="E2504" s="5">
        <v>-30368</v>
      </c>
      <c r="F2504" s="3" t="s">
        <v>531</v>
      </c>
      <c r="G2504" s="3" t="s">
        <v>5892</v>
      </c>
      <c r="H2504" s="2" t="s">
        <v>21</v>
      </c>
      <c r="I2504" s="2" t="s">
        <v>5893</v>
      </c>
      <c r="J2504" s="3" t="str">
        <f>HYPERLINK("https://www.boe.es/gazeta/dias/1816/11/07/pdfs/GMD-1816-139.pdf#page=4","Abrir facsímil")</f>
        <v>Abrir facsímil</v>
      </c>
      <c r="K2504" s="3" t="s">
        <v>23</v>
      </c>
    </row>
    <row r="2505" spans="1:11" ht="42" customHeight="1">
      <c r="A2505" s="2" t="s">
        <v>5780</v>
      </c>
      <c r="B2505" s="2" t="s">
        <v>5780</v>
      </c>
      <c r="C2505" s="2" t="s">
        <v>111</v>
      </c>
      <c r="D2505" s="2" t="s">
        <v>112</v>
      </c>
      <c r="E2505" s="5">
        <v>-30366</v>
      </c>
      <c r="F2505" s="3" t="s">
        <v>179</v>
      </c>
      <c r="G2505" s="3" t="s">
        <v>72</v>
      </c>
      <c r="H2505" s="2" t="s">
        <v>21</v>
      </c>
      <c r="I2505" s="2" t="s">
        <v>5894</v>
      </c>
      <c r="J2505" s="3" t="str">
        <f>HYPERLINK("https://www.boe.es/gazeta/dias/1816/11/09/pdfs/GMD-1816-140.pdf#page=7","Abrir facsímil")</f>
        <v>Abrir facsímil</v>
      </c>
      <c r="K2505" s="3" t="s">
        <v>23</v>
      </c>
    </row>
    <row r="2506" spans="1:11" ht="42" customHeight="1">
      <c r="A2506" s="2" t="s">
        <v>5780</v>
      </c>
      <c r="B2506" s="2" t="s">
        <v>5780</v>
      </c>
      <c r="C2506" s="2" t="s">
        <v>111</v>
      </c>
      <c r="D2506" s="2" t="s">
        <v>112</v>
      </c>
      <c r="E2506" s="5">
        <v>-30363</v>
      </c>
      <c r="F2506" s="3" t="s">
        <v>570</v>
      </c>
      <c r="G2506" s="3" t="s">
        <v>47</v>
      </c>
      <c r="H2506" s="2" t="s">
        <v>21</v>
      </c>
      <c r="I2506" s="2" t="s">
        <v>5895</v>
      </c>
      <c r="J2506" s="3" t="str">
        <f>HYPERLINK("https://www.boe.es/gazeta/dias/1816/11/12/pdfs/GMD-1816-141.pdf#page=5","Abrir facsímil")</f>
        <v>Abrir facsímil</v>
      </c>
      <c r="K2506" s="3" t="s">
        <v>23</v>
      </c>
    </row>
    <row r="2507" spans="1:11" ht="42" customHeight="1">
      <c r="A2507" s="2" t="s">
        <v>5780</v>
      </c>
      <c r="B2507" s="2" t="s">
        <v>5780</v>
      </c>
      <c r="C2507" s="2" t="s">
        <v>387</v>
      </c>
      <c r="D2507" s="2" t="s">
        <v>18</v>
      </c>
      <c r="E2507" s="5">
        <v>-30363</v>
      </c>
      <c r="F2507" s="3" t="s">
        <v>570</v>
      </c>
      <c r="G2507" s="3" t="s">
        <v>42</v>
      </c>
      <c r="H2507" s="2" t="s">
        <v>21</v>
      </c>
      <c r="I2507" s="2" t="s">
        <v>5896</v>
      </c>
      <c r="J2507" s="3" t="str">
        <f>HYPERLINK("https://www.boe.es/gazeta/dias/1816/11/12/pdfs/GMD-1816-141.pdf#page=8","Abrir facsímil")</f>
        <v>Abrir facsímil</v>
      </c>
      <c r="K2507" s="3" t="s">
        <v>23</v>
      </c>
    </row>
    <row r="2508" spans="1:11" ht="42" customHeight="1">
      <c r="A2508" s="2" t="s">
        <v>5780</v>
      </c>
      <c r="B2508" s="2" t="s">
        <v>5780</v>
      </c>
      <c r="C2508" s="2" t="s">
        <v>26</v>
      </c>
      <c r="D2508" s="2" t="s">
        <v>18</v>
      </c>
      <c r="E2508" s="5">
        <v>-30361</v>
      </c>
      <c r="F2508" s="3" t="s">
        <v>1741</v>
      </c>
      <c r="G2508" s="3" t="s">
        <v>28</v>
      </c>
      <c r="H2508" s="2" t="s">
        <v>21</v>
      </c>
      <c r="I2508" s="2" t="s">
        <v>5897</v>
      </c>
      <c r="J2508" s="3" t="str">
        <f>HYPERLINK("https://www.boe.es/gazeta/dias/1816/11/14/pdfs/GMD-1816-142.pdf#page=6","Abrir facsímil")</f>
        <v>Abrir facsímil</v>
      </c>
      <c r="K2508" s="3" t="s">
        <v>23</v>
      </c>
    </row>
    <row r="2509" spans="1:11" ht="42" customHeight="1">
      <c r="A2509" s="2" t="s">
        <v>5780</v>
      </c>
      <c r="B2509" s="2" t="s">
        <v>5780</v>
      </c>
      <c r="C2509" s="2" t="s">
        <v>111</v>
      </c>
      <c r="D2509" s="2" t="s">
        <v>112</v>
      </c>
      <c r="E2509" s="5">
        <v>-30359</v>
      </c>
      <c r="F2509" s="3" t="s">
        <v>812</v>
      </c>
      <c r="G2509" s="3" t="s">
        <v>47</v>
      </c>
      <c r="H2509" s="2" t="s">
        <v>21</v>
      </c>
      <c r="I2509" s="2" t="s">
        <v>5898</v>
      </c>
      <c r="J2509" s="3" t="str">
        <f>HYPERLINK("https://www.boe.es/gazeta/dias/1816/11/16/pdfs/GMD-1816-143.pdf#page=5","Abrir facsímil")</f>
        <v>Abrir facsímil</v>
      </c>
      <c r="K2509" s="3" t="s">
        <v>23</v>
      </c>
    </row>
    <row r="2510" spans="1:11" ht="42" customHeight="1">
      <c r="A2510" s="2" t="s">
        <v>5780</v>
      </c>
      <c r="B2510" s="2" t="s">
        <v>5780</v>
      </c>
      <c r="C2510" s="2" t="s">
        <v>111</v>
      </c>
      <c r="D2510" s="2" t="s">
        <v>112</v>
      </c>
      <c r="E2510" s="5">
        <v>-30356</v>
      </c>
      <c r="F2510" s="3" t="s">
        <v>824</v>
      </c>
      <c r="G2510" s="3" t="s">
        <v>1826</v>
      </c>
      <c r="H2510" s="2" t="s">
        <v>21</v>
      </c>
      <c r="I2510" s="2" t="s">
        <v>5899</v>
      </c>
      <c r="J2510" s="3" t="str">
        <f>HYPERLINK("https://www.boe.es/gazeta/dias/1816/11/19/pdfs/GMD-1816-144.pdf#page=5","Abrir facsímil")</f>
        <v>Abrir facsímil</v>
      </c>
      <c r="K2510" s="3" t="s">
        <v>23</v>
      </c>
    </row>
    <row r="2511" spans="1:11" ht="42" customHeight="1">
      <c r="A2511" s="2" t="s">
        <v>5780</v>
      </c>
      <c r="B2511" s="2" t="s">
        <v>5780</v>
      </c>
      <c r="C2511" s="2" t="s">
        <v>41</v>
      </c>
      <c r="D2511" s="2" t="s">
        <v>18</v>
      </c>
      <c r="E2511" s="5">
        <v>-30356</v>
      </c>
      <c r="F2511" s="3" t="s">
        <v>824</v>
      </c>
      <c r="G2511" s="3" t="s">
        <v>28</v>
      </c>
      <c r="H2511" s="2" t="s">
        <v>21</v>
      </c>
      <c r="I2511" s="2" t="s">
        <v>5900</v>
      </c>
      <c r="J2511" s="3" t="str">
        <f>HYPERLINK("https://www.boe.es/gazeta/dias/1816/11/19/pdfs/GMD-1816-144.pdf#page=6","Abrir facsímil")</f>
        <v>Abrir facsímil</v>
      </c>
      <c r="K2511" s="3" t="s">
        <v>23</v>
      </c>
    </row>
    <row r="2512" spans="1:11" ht="42" customHeight="1">
      <c r="A2512" s="2" t="s">
        <v>5780</v>
      </c>
      <c r="B2512" s="2" t="s">
        <v>5780</v>
      </c>
      <c r="C2512" s="2" t="s">
        <v>111</v>
      </c>
      <c r="D2512" s="2" t="s">
        <v>112</v>
      </c>
      <c r="E2512" s="5">
        <v>-30354</v>
      </c>
      <c r="F2512" s="3" t="s">
        <v>68</v>
      </c>
      <c r="G2512" s="3" t="s">
        <v>526</v>
      </c>
      <c r="H2512" s="2" t="s">
        <v>21</v>
      </c>
      <c r="I2512" s="2" t="s">
        <v>5901</v>
      </c>
      <c r="J2512" s="3" t="str">
        <f>HYPERLINK("https://www.boe.es/gazeta/dias/1816/11/21/pdfs/GMD-1816-145.pdf#page=6","Abrir facsímil")</f>
        <v>Abrir facsímil</v>
      </c>
      <c r="K2512" s="3" t="s">
        <v>23</v>
      </c>
    </row>
    <row r="2513" spans="1:11" ht="42" customHeight="1">
      <c r="A2513" s="2" t="s">
        <v>5780</v>
      </c>
      <c r="B2513" s="2" t="s">
        <v>5780</v>
      </c>
      <c r="C2513" s="2" t="s">
        <v>67</v>
      </c>
      <c r="D2513" s="2" t="s">
        <v>18</v>
      </c>
      <c r="E2513" s="5">
        <v>-30354</v>
      </c>
      <c r="F2513" s="3" t="s">
        <v>68</v>
      </c>
      <c r="G2513" s="3" t="s">
        <v>72</v>
      </c>
      <c r="H2513" s="2" t="s">
        <v>21</v>
      </c>
      <c r="I2513" s="2" t="s">
        <v>5902</v>
      </c>
      <c r="J2513" s="3" t="str">
        <f>HYPERLINK("https://www.boe.es/gazeta/dias/1816/11/21/pdfs/GMD-1816-145.pdf#page=7","Abrir facsímil")</f>
        <v>Abrir facsímil</v>
      </c>
      <c r="K2513" s="3" t="s">
        <v>23</v>
      </c>
    </row>
    <row r="2514" spans="1:11" ht="42" customHeight="1">
      <c r="A2514" s="2" t="s">
        <v>5780</v>
      </c>
      <c r="B2514" s="2" t="s">
        <v>5780</v>
      </c>
      <c r="C2514" s="2" t="s">
        <v>34</v>
      </c>
      <c r="D2514" s="2" t="s">
        <v>35</v>
      </c>
      <c r="E2514" s="5">
        <v>-30352</v>
      </c>
      <c r="F2514" s="3" t="s">
        <v>407</v>
      </c>
      <c r="G2514" s="3" t="s">
        <v>1553</v>
      </c>
      <c r="H2514" s="2" t="s">
        <v>21</v>
      </c>
      <c r="I2514" s="2" t="s">
        <v>5903</v>
      </c>
      <c r="J2514" s="3" t="str">
        <f>HYPERLINK("https://www.boe.es/gazeta/dias/1816/11/23/pdfs/GMD-1816-146.pdf#page=4","Abrir facsímil")</f>
        <v>Abrir facsímil</v>
      </c>
      <c r="K2514" s="3" t="s">
        <v>23</v>
      </c>
    </row>
    <row r="2515" spans="1:11" ht="42" customHeight="1">
      <c r="A2515" s="2" t="s">
        <v>5780</v>
      </c>
      <c r="B2515" s="2" t="s">
        <v>5780</v>
      </c>
      <c r="C2515" s="2" t="s">
        <v>26</v>
      </c>
      <c r="D2515" s="2" t="s">
        <v>18</v>
      </c>
      <c r="E2515" s="5">
        <v>-30352</v>
      </c>
      <c r="F2515" s="3" t="s">
        <v>407</v>
      </c>
      <c r="G2515" s="3" t="s">
        <v>184</v>
      </c>
      <c r="H2515" s="2" t="s">
        <v>21</v>
      </c>
      <c r="I2515" s="2" t="s">
        <v>5904</v>
      </c>
      <c r="J2515" s="3" t="str">
        <f>HYPERLINK("https://www.boe.es/gazeta/dias/1816/11/23/pdfs/GMD-1816-146.pdf#page=3","Abrir facsímil")</f>
        <v>Abrir facsímil</v>
      </c>
      <c r="K2515" s="3" t="s">
        <v>23</v>
      </c>
    </row>
    <row r="2516" spans="1:11" ht="42" customHeight="1">
      <c r="A2516" s="2" t="s">
        <v>5780</v>
      </c>
      <c r="B2516" s="2" t="s">
        <v>5780</v>
      </c>
      <c r="C2516" s="2" t="s">
        <v>34</v>
      </c>
      <c r="D2516" s="2" t="s">
        <v>35</v>
      </c>
      <c r="E2516" s="5">
        <v>-30349</v>
      </c>
      <c r="F2516" s="3" t="s">
        <v>360</v>
      </c>
      <c r="G2516" s="3" t="s">
        <v>47</v>
      </c>
      <c r="H2516" s="2" t="s">
        <v>21</v>
      </c>
      <c r="I2516" s="2" t="s">
        <v>5905</v>
      </c>
      <c r="J2516" s="3" t="str">
        <f>HYPERLINK("https://www.boe.es/gazeta/dias/1816/11/26/pdfs/GMD-1816-147.pdf#page=5","Abrir facsímil")</f>
        <v>Abrir facsímil</v>
      </c>
      <c r="K2516" s="3" t="s">
        <v>23</v>
      </c>
    </row>
    <row r="2517" spans="1:11" ht="42" customHeight="1">
      <c r="A2517" s="2" t="s">
        <v>5780</v>
      </c>
      <c r="B2517" s="2" t="s">
        <v>5780</v>
      </c>
      <c r="C2517" s="2" t="s">
        <v>111</v>
      </c>
      <c r="D2517" s="2" t="s">
        <v>112</v>
      </c>
      <c r="E2517" s="5">
        <v>-30347</v>
      </c>
      <c r="F2517" s="3" t="s">
        <v>2994</v>
      </c>
      <c r="G2517" s="3" t="s">
        <v>3599</v>
      </c>
      <c r="H2517" s="2" t="s">
        <v>21</v>
      </c>
      <c r="I2517" s="2" t="s">
        <v>5906</v>
      </c>
      <c r="J2517" s="3" t="str">
        <f>HYPERLINK("https://www.boe.es/gazeta/dias/1816/11/28/pdfs/GMD-1816-148.pdf#page=5","Abrir facsímil")</f>
        <v>Abrir facsímil</v>
      </c>
      <c r="K2517" s="3" t="s">
        <v>23</v>
      </c>
    </row>
    <row r="2518" spans="1:11" ht="42" customHeight="1">
      <c r="A2518" s="2" t="s">
        <v>5780</v>
      </c>
      <c r="B2518" s="2" t="s">
        <v>5780</v>
      </c>
      <c r="C2518" s="2" t="s">
        <v>111</v>
      </c>
      <c r="D2518" s="2" t="s">
        <v>112</v>
      </c>
      <c r="E2518" s="5">
        <v>-30345</v>
      </c>
      <c r="F2518" s="3" t="s">
        <v>1382</v>
      </c>
      <c r="G2518" s="3" t="s">
        <v>47</v>
      </c>
      <c r="H2518" s="2" t="s">
        <v>21</v>
      </c>
      <c r="I2518" s="2" t="s">
        <v>5907</v>
      </c>
      <c r="J2518" s="3" t="str">
        <f>HYPERLINK("https://www.boe.es/gazeta/dias/1816/11/30/pdfs/GMD-1816-149.pdf#page=5","Abrir facsímil")</f>
        <v>Abrir facsímil</v>
      </c>
      <c r="K2518" s="3" t="s">
        <v>23</v>
      </c>
    </row>
    <row r="2519" spans="1:11" ht="42" customHeight="1">
      <c r="A2519" s="2" t="s">
        <v>5780</v>
      </c>
      <c r="B2519" s="2" t="s">
        <v>5780</v>
      </c>
      <c r="C2519" s="2" t="s">
        <v>111</v>
      </c>
      <c r="D2519" s="2" t="s">
        <v>112</v>
      </c>
      <c r="E2519" s="5">
        <v>-30340</v>
      </c>
      <c r="F2519" s="3" t="s">
        <v>1618</v>
      </c>
      <c r="G2519" s="3" t="s">
        <v>5317</v>
      </c>
      <c r="H2519" s="2" t="s">
        <v>21</v>
      </c>
      <c r="I2519" s="2" t="s">
        <v>5908</v>
      </c>
      <c r="J2519" s="3" t="str">
        <f>HYPERLINK("https://www.boe.es/gazeta/dias/1816/12/05/pdfs/GMD-1816-151.pdf#page=6","Abrir facsímil")</f>
        <v>Abrir facsímil</v>
      </c>
      <c r="K2519" s="3" t="s">
        <v>23</v>
      </c>
    </row>
    <row r="2520" spans="1:11" ht="42" customHeight="1">
      <c r="A2520" s="2" t="s">
        <v>5780</v>
      </c>
      <c r="B2520" s="2" t="s">
        <v>5780</v>
      </c>
      <c r="C2520" s="2" t="s">
        <v>26</v>
      </c>
      <c r="D2520" s="2" t="s">
        <v>18</v>
      </c>
      <c r="E2520" s="5">
        <v>-30340</v>
      </c>
      <c r="F2520" s="3" t="s">
        <v>1618</v>
      </c>
      <c r="G2520" s="3" t="s">
        <v>47</v>
      </c>
      <c r="H2520" s="2" t="s">
        <v>21</v>
      </c>
      <c r="I2520" s="2" t="s">
        <v>5909</v>
      </c>
      <c r="J2520" s="3" t="str">
        <f>HYPERLINK("https://www.boe.es/gazeta/dias/1816/12/05/pdfs/GMD-1816-151.pdf#page=5","Abrir facsímil")</f>
        <v>Abrir facsímil</v>
      </c>
      <c r="K2520" s="3" t="s">
        <v>23</v>
      </c>
    </row>
    <row r="2521" spans="1:11" ht="42" customHeight="1">
      <c r="A2521" s="2" t="s">
        <v>5780</v>
      </c>
      <c r="B2521" s="2" t="s">
        <v>5780</v>
      </c>
      <c r="C2521" s="2" t="s">
        <v>111</v>
      </c>
      <c r="D2521" s="2" t="s">
        <v>112</v>
      </c>
      <c r="E2521" s="5">
        <v>-30338</v>
      </c>
      <c r="F2521" s="3" t="s">
        <v>464</v>
      </c>
      <c r="G2521" s="3" t="s">
        <v>28</v>
      </c>
      <c r="H2521" s="2" t="s">
        <v>21</v>
      </c>
      <c r="I2521" s="2" t="s">
        <v>5910</v>
      </c>
      <c r="J2521" s="3" t="str">
        <f>HYPERLINK("https://www.boe.es/gazeta/dias/1816/12/07/pdfs/GMD-1816-152.pdf#page=6","Abrir facsímil")</f>
        <v>Abrir facsímil</v>
      </c>
      <c r="K2521" s="3" t="s">
        <v>23</v>
      </c>
    </row>
    <row r="2522" spans="1:11" ht="42" customHeight="1">
      <c r="A2522" s="2" t="s">
        <v>5780</v>
      </c>
      <c r="B2522" s="2" t="s">
        <v>5780</v>
      </c>
      <c r="C2522" s="2" t="s">
        <v>111</v>
      </c>
      <c r="D2522" s="2" t="s">
        <v>112</v>
      </c>
      <c r="E2522" s="5">
        <v>-30333</v>
      </c>
      <c r="F2522" s="3" t="s">
        <v>1005</v>
      </c>
      <c r="G2522" s="3" t="s">
        <v>28</v>
      </c>
      <c r="H2522" s="2" t="s">
        <v>21</v>
      </c>
      <c r="I2522" s="2" t="s">
        <v>5911</v>
      </c>
      <c r="J2522" s="3" t="str">
        <f>HYPERLINK("https://www.boe.es/gazeta/dias/1816/12/12/pdfs/GMD-1816-154.pdf#page=6","Abrir facsímil")</f>
        <v>Abrir facsímil</v>
      </c>
      <c r="K2522" s="3" t="s">
        <v>23</v>
      </c>
    </row>
    <row r="2523" spans="1:11" ht="42" customHeight="1">
      <c r="A2523" s="2" t="s">
        <v>5780</v>
      </c>
      <c r="B2523" s="2" t="s">
        <v>5780</v>
      </c>
      <c r="C2523" s="2" t="s">
        <v>111</v>
      </c>
      <c r="D2523" s="2" t="s">
        <v>112</v>
      </c>
      <c r="E2523" s="5">
        <v>-30328</v>
      </c>
      <c r="F2523" s="3" t="s">
        <v>573</v>
      </c>
      <c r="G2523" s="3" t="s">
        <v>47</v>
      </c>
      <c r="H2523" s="2" t="s">
        <v>21</v>
      </c>
      <c r="I2523" s="2" t="s">
        <v>5912</v>
      </c>
      <c r="J2523" s="3" t="str">
        <f>HYPERLINK("https://www.boe.es/gazeta/dias/1816/12/17/pdfs/GMD-1816-156.pdf#page=5","Abrir facsímil")</f>
        <v>Abrir facsímil</v>
      </c>
      <c r="K2523" s="3" t="s">
        <v>23</v>
      </c>
    </row>
    <row r="2524" spans="1:11" ht="42" customHeight="1">
      <c r="A2524" s="2" t="s">
        <v>5780</v>
      </c>
      <c r="B2524" s="2" t="s">
        <v>5780</v>
      </c>
      <c r="C2524" s="2" t="s">
        <v>111</v>
      </c>
      <c r="D2524" s="2" t="s">
        <v>112</v>
      </c>
      <c r="E2524" s="5">
        <v>-30324</v>
      </c>
      <c r="F2524" s="3" t="s">
        <v>46</v>
      </c>
      <c r="G2524" s="3" t="s">
        <v>103</v>
      </c>
      <c r="H2524" s="2" t="s">
        <v>21</v>
      </c>
      <c r="I2524" s="2" t="s">
        <v>5913</v>
      </c>
      <c r="J2524" s="3" t="str">
        <f>HYPERLINK("https://www.boe.es/gazeta/dias/1816/12/21/pdfs/GMD-1816-158.pdf#page=4","Abrir facsímil")</f>
        <v>Abrir facsímil</v>
      </c>
      <c r="K2524" s="3" t="s">
        <v>23</v>
      </c>
    </row>
    <row r="2525" spans="1:11" ht="42" customHeight="1">
      <c r="A2525" s="2" t="s">
        <v>5780</v>
      </c>
      <c r="B2525" s="2" t="s">
        <v>5780</v>
      </c>
      <c r="C2525" s="2" t="s">
        <v>34</v>
      </c>
      <c r="D2525" s="2" t="s">
        <v>35</v>
      </c>
      <c r="E2525" s="5">
        <v>-30321</v>
      </c>
      <c r="F2525" s="3" t="s">
        <v>1086</v>
      </c>
      <c r="G2525" s="3" t="s">
        <v>184</v>
      </c>
      <c r="H2525" s="2" t="s">
        <v>21</v>
      </c>
      <c r="I2525" s="2" t="s">
        <v>5914</v>
      </c>
      <c r="J2525" s="3" t="str">
        <f>HYPERLINK("https://www.boe.es/gazeta/dias/1816/12/24/pdfs/GMD-1816-159.pdf#page=3","Abrir facsímil")</f>
        <v>Abrir facsímil</v>
      </c>
      <c r="K2525" s="3" t="s">
        <v>23</v>
      </c>
    </row>
    <row r="2526" spans="1:11" ht="42" customHeight="1">
      <c r="A2526" s="2" t="s">
        <v>5780</v>
      </c>
      <c r="B2526" s="2" t="s">
        <v>5780</v>
      </c>
      <c r="C2526" s="2" t="s">
        <v>111</v>
      </c>
      <c r="D2526" s="2" t="s">
        <v>112</v>
      </c>
      <c r="E2526" s="5">
        <v>-30321</v>
      </c>
      <c r="F2526" s="3" t="s">
        <v>1086</v>
      </c>
      <c r="G2526" s="3" t="s">
        <v>103</v>
      </c>
      <c r="H2526" s="2" t="s">
        <v>21</v>
      </c>
      <c r="I2526" s="2" t="s">
        <v>5915</v>
      </c>
      <c r="J2526" s="3" t="str">
        <f>HYPERLINK("https://www.boe.es/gazeta/dias/1816/12/24/pdfs/GMD-1816-159.pdf#page=4","Abrir facsímil")</f>
        <v>Abrir facsímil</v>
      </c>
      <c r="K2526" s="3" t="s">
        <v>23</v>
      </c>
    </row>
    <row r="2527" spans="1:11" ht="42" customHeight="1">
      <c r="A2527" s="2" t="s">
        <v>5780</v>
      </c>
      <c r="B2527" s="2" t="s">
        <v>5780</v>
      </c>
      <c r="C2527" s="2" t="s">
        <v>111</v>
      </c>
      <c r="D2527" s="2" t="s">
        <v>112</v>
      </c>
      <c r="E2527" s="5">
        <v>-30319</v>
      </c>
      <c r="F2527" s="3" t="s">
        <v>131</v>
      </c>
      <c r="G2527" s="3" t="s">
        <v>4599</v>
      </c>
      <c r="H2527" s="2" t="s">
        <v>21</v>
      </c>
      <c r="I2527" s="2" t="s">
        <v>5916</v>
      </c>
      <c r="J2527" s="3" t="str">
        <f>HYPERLINK("https://www.boe.es/gazeta/dias/1816/12/26/pdfs/GMD-1816-160.pdf#page=5","Abrir facsímil")</f>
        <v>Abrir facsímil</v>
      </c>
      <c r="K2527" s="3" t="s">
        <v>23</v>
      </c>
    </row>
    <row r="2528" spans="1:11" ht="42" customHeight="1">
      <c r="A2528" s="2" t="s">
        <v>5780</v>
      </c>
      <c r="B2528" s="2" t="s">
        <v>5780</v>
      </c>
      <c r="C2528" s="2" t="s">
        <v>111</v>
      </c>
      <c r="D2528" s="2" t="s">
        <v>112</v>
      </c>
      <c r="E2528" s="5">
        <v>-30317</v>
      </c>
      <c r="F2528" s="3" t="s">
        <v>1030</v>
      </c>
      <c r="G2528" s="3" t="s">
        <v>47</v>
      </c>
      <c r="H2528" s="2" t="s">
        <v>21</v>
      </c>
      <c r="I2528" s="2" t="s">
        <v>5917</v>
      </c>
      <c r="J2528" s="3" t="str">
        <f>HYPERLINK("https://www.boe.es/gazeta/dias/1816/12/28/pdfs/GMD-1816-161.pdf#page=5","Abrir facsímil")</f>
        <v>Abrir facsímil</v>
      </c>
      <c r="K2528" s="3" t="s">
        <v>23</v>
      </c>
    </row>
    <row r="2529" spans="1:11" ht="42" customHeight="1">
      <c r="A2529" s="2" t="s">
        <v>5780</v>
      </c>
      <c r="B2529" s="2" t="s">
        <v>5780</v>
      </c>
      <c r="C2529" s="2" t="s">
        <v>111</v>
      </c>
      <c r="D2529" s="2" t="s">
        <v>112</v>
      </c>
      <c r="E2529" s="5">
        <v>-30314</v>
      </c>
      <c r="F2529" s="3" t="s">
        <v>1899</v>
      </c>
      <c r="G2529" s="3" t="s">
        <v>2027</v>
      </c>
      <c r="H2529" s="2" t="s">
        <v>21</v>
      </c>
      <c r="I2529" s="2" t="s">
        <v>5918</v>
      </c>
      <c r="J2529" s="3" t="str">
        <f>HYPERLINK("https://www.boe.es/gazeta/dias/1816/12/31/pdfs/GMD-1816-162.pdf#page=6","Abrir facsímil")</f>
        <v>Abrir facsímil</v>
      </c>
      <c r="K2529" s="3" t="s">
        <v>23</v>
      </c>
    </row>
    <row r="2530" spans="1:11" ht="42" customHeight="1">
      <c r="A2530" s="2" t="s">
        <v>5780</v>
      </c>
      <c r="B2530" s="2" t="s">
        <v>5780</v>
      </c>
      <c r="C2530" s="2" t="s">
        <v>111</v>
      </c>
      <c r="D2530" s="2" t="s">
        <v>112</v>
      </c>
      <c r="E2530" s="5">
        <v>-30314</v>
      </c>
      <c r="F2530" s="3" t="s">
        <v>1899</v>
      </c>
      <c r="G2530" s="3" t="s">
        <v>47</v>
      </c>
      <c r="H2530" s="2" t="s">
        <v>21</v>
      </c>
      <c r="I2530" s="2" t="s">
        <v>5919</v>
      </c>
      <c r="J2530" s="3" t="str">
        <f>HYPERLINK("https://www.boe.es/gazeta/dias/1816/12/31/pdfs/GMD-1816-162.pdf#page=5","Abrir facsímil")</f>
        <v>Abrir facsímil</v>
      </c>
      <c r="K2530" s="3" t="s">
        <v>23</v>
      </c>
    </row>
    <row r="2531" spans="1:11" ht="42" customHeight="1">
      <c r="A2531" s="2" t="s">
        <v>5780</v>
      </c>
      <c r="B2531" s="2" t="s">
        <v>5780</v>
      </c>
      <c r="C2531" s="2" t="s">
        <v>111</v>
      </c>
      <c r="D2531" s="2" t="s">
        <v>112</v>
      </c>
      <c r="E2531" s="5">
        <v>-30314</v>
      </c>
      <c r="F2531" s="3" t="s">
        <v>1899</v>
      </c>
      <c r="G2531" s="3" t="s">
        <v>42</v>
      </c>
      <c r="H2531" s="2" t="s">
        <v>21</v>
      </c>
      <c r="I2531" s="2" t="s">
        <v>5920</v>
      </c>
      <c r="J2531" s="3" t="str">
        <f>HYPERLINK("https://www.boe.es/gazeta/dias/1816/12/31/pdfs/GMD-1816-162.pdf#page=8","Abrir facsímil")</f>
        <v>Abrir facsímil</v>
      </c>
      <c r="K2531" s="3" t="s">
        <v>23</v>
      </c>
    </row>
    <row r="2532" spans="1:11" ht="42" customHeight="1">
      <c r="A2532" s="2" t="s">
        <v>5921</v>
      </c>
      <c r="B2532" s="2" t="s">
        <v>5921</v>
      </c>
      <c r="C2532" s="2" t="s">
        <v>26</v>
      </c>
      <c r="D2532" s="2" t="s">
        <v>18</v>
      </c>
      <c r="E2532" s="5">
        <v>-30314</v>
      </c>
      <c r="F2532" s="3" t="s">
        <v>1899</v>
      </c>
      <c r="G2532" s="3" t="s">
        <v>47</v>
      </c>
      <c r="H2532" s="2" t="s">
        <v>21</v>
      </c>
      <c r="I2532" s="2" t="s">
        <v>5922</v>
      </c>
      <c r="J2532" s="3" t="str">
        <f>HYPERLINK("https://www.boe.es/gazeta/dias/1816/12/31/pdfs/GMD-1816-162.pdf#page=5","Abrir facsímil")</f>
        <v>Abrir facsímil</v>
      </c>
      <c r="K2532" s="3" t="s">
        <v>23</v>
      </c>
    </row>
    <row r="2533" spans="1:11" ht="42" customHeight="1">
      <c r="A2533" s="2" t="s">
        <v>5923</v>
      </c>
      <c r="B2533" s="2" t="s">
        <v>5923</v>
      </c>
      <c r="C2533" s="2" t="s">
        <v>17</v>
      </c>
      <c r="D2533" s="2" t="s">
        <v>18</v>
      </c>
      <c r="E2533" s="5">
        <v>-30517</v>
      </c>
      <c r="F2533" s="3" t="s">
        <v>557</v>
      </c>
      <c r="G2533" s="3" t="s">
        <v>103</v>
      </c>
      <c r="H2533" s="2" t="s">
        <v>21</v>
      </c>
      <c r="I2533" s="2" t="s">
        <v>5924</v>
      </c>
      <c r="J2533" s="3" t="str">
        <f>HYPERLINK("https://www.boe.es/gazeta/dias/1816/06/11/pdfs/GMD-1816-73.pdf#page=4","Abrir facsímil")</f>
        <v>Abrir facsímil</v>
      </c>
      <c r="K2533" s="3" t="s">
        <v>23</v>
      </c>
    </row>
    <row r="2534" spans="1:11" ht="42" customHeight="1">
      <c r="A2534" s="2" t="s">
        <v>5925</v>
      </c>
      <c r="B2534" s="2" t="s">
        <v>5926</v>
      </c>
      <c r="C2534" s="2" t="s">
        <v>34</v>
      </c>
      <c r="D2534" s="2" t="s">
        <v>35</v>
      </c>
      <c r="E2534" s="5">
        <v>-30324</v>
      </c>
      <c r="F2534" s="3" t="s">
        <v>46</v>
      </c>
      <c r="G2534" s="3" t="s">
        <v>103</v>
      </c>
      <c r="H2534" s="2" t="s">
        <v>21</v>
      </c>
      <c r="I2534" s="2" t="s">
        <v>5927</v>
      </c>
      <c r="J2534" s="3" t="str">
        <f>HYPERLINK("https://www.boe.es/gazeta/dias/1816/12/21/pdfs/GMD-1816-158.pdf#page=4","Abrir facsímil")</f>
        <v>Abrir facsímil</v>
      </c>
      <c r="K2534" s="3" t="s">
        <v>23</v>
      </c>
    </row>
    <row r="2535" spans="1:11" ht="42" customHeight="1">
      <c r="A2535" s="2" t="s">
        <v>5928</v>
      </c>
      <c r="B2535" s="2" t="s">
        <v>5928</v>
      </c>
      <c r="C2535" s="2" t="s">
        <v>111</v>
      </c>
      <c r="D2535" s="2" t="s">
        <v>112</v>
      </c>
      <c r="E2535" s="5">
        <v>-30499</v>
      </c>
      <c r="F2535" s="3" t="s">
        <v>971</v>
      </c>
      <c r="G2535" s="3" t="s">
        <v>2505</v>
      </c>
      <c r="H2535" s="2" t="s">
        <v>21</v>
      </c>
      <c r="I2535" s="2" t="s">
        <v>5929</v>
      </c>
      <c r="J2535" s="3" t="str">
        <f>HYPERLINK("https://www.boe.es/gazeta/dias/1816/06/29/pdfs/GMD-1816-81.pdf#page=4","Abrir facsímil")</f>
        <v>Abrir facsímil</v>
      </c>
      <c r="K2535" s="3" t="s">
        <v>23</v>
      </c>
    </row>
    <row r="2536" spans="1:11" ht="42" customHeight="1">
      <c r="A2536" s="2" t="s">
        <v>5930</v>
      </c>
      <c r="B2536" s="2" t="s">
        <v>5930</v>
      </c>
      <c r="C2536" s="2" t="s">
        <v>34</v>
      </c>
      <c r="D2536" s="2" t="s">
        <v>35</v>
      </c>
      <c r="E2536" s="5">
        <v>-30324</v>
      </c>
      <c r="F2536" s="3" t="s">
        <v>46</v>
      </c>
      <c r="G2536" s="3" t="s">
        <v>103</v>
      </c>
      <c r="H2536" s="2" t="s">
        <v>21</v>
      </c>
      <c r="I2536" s="2" t="s">
        <v>5931</v>
      </c>
      <c r="J2536" s="3" t="str">
        <f>HYPERLINK("https://www.boe.es/gazeta/dias/1816/12/21/pdfs/GMD-1816-158.pdf#page=4","Abrir facsímil")</f>
        <v>Abrir facsímil</v>
      </c>
      <c r="K2536" s="3" t="s">
        <v>23</v>
      </c>
    </row>
    <row r="2537" spans="1:11" ht="42" customHeight="1">
      <c r="A2537" s="2" t="s">
        <v>5932</v>
      </c>
      <c r="B2537" s="2" t="s">
        <v>5932</v>
      </c>
      <c r="C2537" s="2" t="s">
        <v>34</v>
      </c>
      <c r="D2537" s="2" t="s">
        <v>35</v>
      </c>
      <c r="E2537" s="5">
        <v>-30319</v>
      </c>
      <c r="F2537" s="3" t="s">
        <v>131</v>
      </c>
      <c r="G2537" s="3" t="s">
        <v>132</v>
      </c>
      <c r="H2537" s="2" t="s">
        <v>21</v>
      </c>
      <c r="I2537" s="2" t="s">
        <v>5933</v>
      </c>
      <c r="J2537" s="3" t="str">
        <f>HYPERLINK("https://www.boe.es/gazeta/dias/1816/12/26/pdfs/GMD-1816-160.pdf#page=6","Abrir facsímil")</f>
        <v>Abrir facsímil</v>
      </c>
      <c r="K2537" s="3" t="s">
        <v>23</v>
      </c>
    </row>
    <row r="2538" spans="1:11" ht="42" customHeight="1">
      <c r="A2538" s="2" t="s">
        <v>5934</v>
      </c>
      <c r="B2538" s="2" t="s">
        <v>5934</v>
      </c>
      <c r="C2538" s="2" t="s">
        <v>111</v>
      </c>
      <c r="D2538" s="2" t="s">
        <v>112</v>
      </c>
      <c r="E2538" s="5">
        <v>-30492</v>
      </c>
      <c r="F2538" s="3" t="s">
        <v>248</v>
      </c>
      <c r="G2538" s="3" t="s">
        <v>1044</v>
      </c>
      <c r="H2538" s="2" t="s">
        <v>21</v>
      </c>
      <c r="I2538" s="2" t="s">
        <v>5935</v>
      </c>
      <c r="J2538" s="3" t="str">
        <f>HYPERLINK("https://www.boe.es/gazeta/dias/1816/07/06/pdfs/GMD-1816-84.pdf#page=7","Abrir facsímil")</f>
        <v>Abrir facsímil</v>
      </c>
      <c r="K2538" s="3" t="s">
        <v>23</v>
      </c>
    </row>
    <row r="2539" spans="1:11" ht="42" customHeight="1">
      <c r="A2539" s="2" t="s">
        <v>5936</v>
      </c>
      <c r="B2539" s="2" t="s">
        <v>5936</v>
      </c>
      <c r="C2539" s="2" t="s">
        <v>111</v>
      </c>
      <c r="D2539" s="2" t="s">
        <v>112</v>
      </c>
      <c r="E2539" s="5">
        <v>-30387</v>
      </c>
      <c r="F2539" s="3" t="s">
        <v>224</v>
      </c>
      <c r="G2539" s="3" t="s">
        <v>28</v>
      </c>
      <c r="H2539" s="2" t="s">
        <v>21</v>
      </c>
      <c r="I2539" s="2" t="s">
        <v>5937</v>
      </c>
      <c r="J2539" s="3" t="str">
        <f>HYPERLINK("https://www.boe.es/gazeta/dias/1816/10/19/pdfs/GMD-1816-131.pdf#page=6","Abrir facsímil")</f>
        <v>Abrir facsímil</v>
      </c>
      <c r="K2539" s="3" t="s">
        <v>23</v>
      </c>
    </row>
    <row r="2540" spans="1:11" ht="42" customHeight="1">
      <c r="A2540" s="2" t="s">
        <v>5938</v>
      </c>
      <c r="B2540" s="2" t="s">
        <v>5939</v>
      </c>
      <c r="C2540" s="2" t="s">
        <v>26</v>
      </c>
      <c r="D2540" s="2" t="s">
        <v>56</v>
      </c>
      <c r="E2540" s="5">
        <v>-30393</v>
      </c>
      <c r="F2540" s="3" t="s">
        <v>202</v>
      </c>
      <c r="G2540" s="3" t="s">
        <v>834</v>
      </c>
      <c r="H2540" s="2" t="s">
        <v>21</v>
      </c>
      <c r="I2540" s="2" t="s">
        <v>5940</v>
      </c>
      <c r="J2540" s="3" t="str">
        <f>HYPERLINK("https://www.boe.es/gazeta/dias/1816/10/13/pdfs/GMD-1816-128E.pdf#page=6","Abrir facsímil")</f>
        <v>Abrir facsímil</v>
      </c>
      <c r="K2540" s="3" t="s">
        <v>23</v>
      </c>
    </row>
    <row r="2541" spans="1:11" ht="42" customHeight="1">
      <c r="A2541" s="2" t="s">
        <v>5941</v>
      </c>
      <c r="B2541" s="2" t="s">
        <v>5941</v>
      </c>
      <c r="C2541" s="2" t="s">
        <v>26</v>
      </c>
      <c r="D2541" s="2" t="s">
        <v>18</v>
      </c>
      <c r="E2541" s="5">
        <v>-30424</v>
      </c>
      <c r="F2541" s="3" t="s">
        <v>142</v>
      </c>
      <c r="G2541" s="3" t="s">
        <v>4386</v>
      </c>
      <c r="H2541" s="2" t="s">
        <v>21</v>
      </c>
      <c r="I2541" s="2" t="s">
        <v>5942</v>
      </c>
      <c r="J2541" s="3" t="str">
        <f>HYPERLINK("https://www.boe.es/gazeta/dias/1816/09/12/pdfs/GMD-1816-113.pdf#page=5","Abrir facsímil")</f>
        <v>Abrir facsímil</v>
      </c>
      <c r="K2541" s="3" t="s">
        <v>23</v>
      </c>
    </row>
    <row r="2542" spans="1:11" ht="42" customHeight="1">
      <c r="A2542" s="2" t="s">
        <v>5943</v>
      </c>
      <c r="B2542" s="2" t="s">
        <v>5944</v>
      </c>
      <c r="C2542" s="2" t="s">
        <v>111</v>
      </c>
      <c r="D2542" s="2" t="s">
        <v>56</v>
      </c>
      <c r="E2542" s="5">
        <v>-30393</v>
      </c>
      <c r="F2542" s="3" t="s">
        <v>202</v>
      </c>
      <c r="G2542" s="3" t="s">
        <v>270</v>
      </c>
      <c r="H2542" s="2" t="s">
        <v>21</v>
      </c>
      <c r="I2542" s="2" t="s">
        <v>5945</v>
      </c>
      <c r="J2542" s="3" t="str">
        <f>HYPERLINK("https://www.boe.es/gazeta/dias/1816/10/13/pdfs/GMD-1816-128E.pdf#page=2","Abrir facsímil")</f>
        <v>Abrir facsímil</v>
      </c>
      <c r="K2542" s="3" t="s">
        <v>23</v>
      </c>
    </row>
    <row r="2543" spans="1:11" ht="42" customHeight="1">
      <c r="A2543" s="2" t="s">
        <v>5946</v>
      </c>
      <c r="B2543" s="2" t="s">
        <v>5947</v>
      </c>
      <c r="C2543" s="2" t="s">
        <v>41</v>
      </c>
      <c r="D2543" s="2" t="s">
        <v>18</v>
      </c>
      <c r="E2543" s="5">
        <v>-30671</v>
      </c>
      <c r="F2543" s="3" t="s">
        <v>2049</v>
      </c>
      <c r="G2543" s="3" t="s">
        <v>47</v>
      </c>
      <c r="H2543" s="2" t="s">
        <v>21</v>
      </c>
      <c r="I2543" s="2" t="s">
        <v>5948</v>
      </c>
      <c r="J2543" s="3" t="str">
        <f>HYPERLINK("https://www.boe.es/gazeta/dias/1816/01/09/pdfs/GMD-1816-4.pdf#page=5","Abrir facsímil")</f>
        <v>Abrir facsímil</v>
      </c>
      <c r="K2543" s="3" t="s">
        <v>23</v>
      </c>
    </row>
    <row r="2544" spans="1:11" ht="42" customHeight="1">
      <c r="A2544" s="2" t="s">
        <v>5949</v>
      </c>
      <c r="B2544" s="2" t="s">
        <v>5950</v>
      </c>
      <c r="C2544" s="2" t="s">
        <v>41</v>
      </c>
      <c r="D2544" s="2" t="s">
        <v>18</v>
      </c>
      <c r="E2544" s="5">
        <v>-30445</v>
      </c>
      <c r="F2544" s="3" t="s">
        <v>51</v>
      </c>
      <c r="G2544" s="3" t="s">
        <v>52</v>
      </c>
      <c r="H2544" s="2" t="s">
        <v>21</v>
      </c>
      <c r="I2544" s="2" t="s">
        <v>5951</v>
      </c>
      <c r="J2544" s="3" t="str">
        <f>HYPERLINK("https://www.boe.es/gazeta/dias/1816/08/22/pdfs/GMD-1816-104.pdf#page=12","Abrir facsímil")</f>
        <v>Abrir facsímil</v>
      </c>
      <c r="K2544" s="3" t="s">
        <v>23</v>
      </c>
    </row>
    <row r="2545" spans="1:11" ht="42" customHeight="1">
      <c r="A2545" s="2" t="s">
        <v>5952</v>
      </c>
      <c r="B2545" s="2" t="s">
        <v>5952</v>
      </c>
      <c r="C2545" s="2" t="s">
        <v>34</v>
      </c>
      <c r="D2545" s="2" t="s">
        <v>35</v>
      </c>
      <c r="E2545" s="5">
        <v>-30436</v>
      </c>
      <c r="F2545" s="3" t="s">
        <v>102</v>
      </c>
      <c r="G2545" s="3" t="s">
        <v>28</v>
      </c>
      <c r="H2545" s="2" t="s">
        <v>21</v>
      </c>
      <c r="I2545" s="2" t="s">
        <v>5953</v>
      </c>
      <c r="J2545" s="3" t="str">
        <f>HYPERLINK("https://www.boe.es/gazeta/dias/1816/08/31/pdfs/GMD-1816-108.pdf#page=6","Abrir facsímil")</f>
        <v>Abrir facsímil</v>
      </c>
      <c r="K2545" s="3" t="s">
        <v>23</v>
      </c>
    </row>
    <row r="2546" spans="1:11" ht="42" customHeight="1">
      <c r="A2546" s="2" t="s">
        <v>5954</v>
      </c>
      <c r="B2546" s="2" t="s">
        <v>5955</v>
      </c>
      <c r="C2546" s="2" t="s">
        <v>387</v>
      </c>
      <c r="D2546" s="2" t="s">
        <v>18</v>
      </c>
      <c r="E2546" s="5">
        <v>-30464</v>
      </c>
      <c r="F2546" s="3" t="s">
        <v>215</v>
      </c>
      <c r="G2546" s="3" t="s">
        <v>175</v>
      </c>
      <c r="H2546" s="2" t="s">
        <v>21</v>
      </c>
      <c r="I2546" s="2" t="s">
        <v>5956</v>
      </c>
      <c r="J2546" s="3" t="str">
        <f>HYPERLINK("https://www.boe.es/gazeta/dias/1816/08/03/pdfs/GMD-1816-96.pdf#page=11","Abrir facsímil")</f>
        <v>Abrir facsímil</v>
      </c>
      <c r="K2546" s="3" t="s">
        <v>23</v>
      </c>
    </row>
    <row r="2547" spans="1:11" ht="42" customHeight="1">
      <c r="A2547" s="2" t="s">
        <v>5957</v>
      </c>
      <c r="B2547" s="2" t="s">
        <v>5958</v>
      </c>
      <c r="C2547" s="2" t="s">
        <v>34</v>
      </c>
      <c r="D2547" s="2" t="s">
        <v>56</v>
      </c>
      <c r="E2547" s="5">
        <v>-30393</v>
      </c>
      <c r="F2547" s="3" t="s">
        <v>202</v>
      </c>
      <c r="G2547" s="3" t="s">
        <v>184</v>
      </c>
      <c r="H2547" s="2" t="s">
        <v>21</v>
      </c>
      <c r="I2547" s="2" t="s">
        <v>5959</v>
      </c>
      <c r="J2547" s="3" t="str">
        <f>HYPERLINK("https://www.boe.es/gazeta/dias/1816/10/13/pdfs/GMD-1816-128E.pdf#page=3","Abrir facsímil")</f>
        <v>Abrir facsímil</v>
      </c>
      <c r="K2547" s="3" t="s">
        <v>23</v>
      </c>
    </row>
    <row r="2548" spans="1:11" ht="42" customHeight="1">
      <c r="A2548" s="2" t="s">
        <v>5960</v>
      </c>
      <c r="B2548" s="2" t="s">
        <v>5961</v>
      </c>
      <c r="C2548" s="2" t="s">
        <v>34</v>
      </c>
      <c r="D2548" s="2" t="s">
        <v>35</v>
      </c>
      <c r="E2548" s="5">
        <v>-30335</v>
      </c>
      <c r="F2548" s="3" t="s">
        <v>468</v>
      </c>
      <c r="G2548" s="3" t="s">
        <v>47</v>
      </c>
      <c r="H2548" s="2" t="s">
        <v>21</v>
      </c>
      <c r="I2548" s="2" t="s">
        <v>5962</v>
      </c>
      <c r="J2548" s="3" t="str">
        <f>HYPERLINK("https://www.boe.es/gazeta/dias/1816/12/10/pdfs/GMD-1816-153.pdf#page=5","Abrir facsímil")</f>
        <v>Abrir facsímil</v>
      </c>
      <c r="K2548" s="3" t="s">
        <v>23</v>
      </c>
    </row>
    <row r="2549" spans="1:11" ht="42" customHeight="1">
      <c r="A2549" s="2" t="s">
        <v>5963</v>
      </c>
      <c r="B2549" s="2" t="s">
        <v>5964</v>
      </c>
      <c r="C2549" s="2" t="s">
        <v>67</v>
      </c>
      <c r="D2549" s="2" t="s">
        <v>18</v>
      </c>
      <c r="E2549" s="5">
        <v>-30433</v>
      </c>
      <c r="F2549" s="3" t="s">
        <v>954</v>
      </c>
      <c r="G2549" s="3" t="s">
        <v>1124</v>
      </c>
      <c r="H2549" s="2" t="s">
        <v>21</v>
      </c>
      <c r="I2549" s="2" t="s">
        <v>5965</v>
      </c>
      <c r="J2549" s="3" t="str">
        <f>HYPERLINK("https://www.boe.es/gazeta/dias/1816/09/03/pdfs/GMD-1816-109.pdf#page=8","Abrir facsímil")</f>
        <v>Abrir facsímil</v>
      </c>
      <c r="K2549" s="3" t="s">
        <v>23</v>
      </c>
    </row>
    <row r="2550" spans="1:11" ht="42" customHeight="1">
      <c r="A2550" s="2" t="s">
        <v>5966</v>
      </c>
      <c r="B2550" s="2" t="s">
        <v>5967</v>
      </c>
      <c r="C2550" s="2" t="s">
        <v>26</v>
      </c>
      <c r="D2550" s="2" t="s">
        <v>18</v>
      </c>
      <c r="E2550" s="5">
        <v>-30394</v>
      </c>
      <c r="F2550" s="3" t="s">
        <v>589</v>
      </c>
      <c r="G2550" s="3" t="s">
        <v>47</v>
      </c>
      <c r="H2550" s="2" t="s">
        <v>21</v>
      </c>
      <c r="I2550" s="2" t="s">
        <v>5968</v>
      </c>
      <c r="J2550" s="3" t="str">
        <f>HYPERLINK("https://www.boe.es/gazeta/dias/1816/10/12/pdfs/GMD-1816-127.pdf#page=5","Abrir facsímil")</f>
        <v>Abrir facsímil</v>
      </c>
      <c r="K2550" s="3" t="s">
        <v>23</v>
      </c>
    </row>
    <row r="2551" spans="1:11" ht="42" customHeight="1">
      <c r="A2551" s="2" t="s">
        <v>5969</v>
      </c>
      <c r="B2551" s="2" t="s">
        <v>5969</v>
      </c>
      <c r="C2551" s="2" t="s">
        <v>387</v>
      </c>
      <c r="D2551" s="2" t="s">
        <v>18</v>
      </c>
      <c r="E2551" s="5">
        <v>-30487</v>
      </c>
      <c r="F2551" s="3" t="s">
        <v>397</v>
      </c>
      <c r="G2551" s="3" t="s">
        <v>47</v>
      </c>
      <c r="H2551" s="2" t="s">
        <v>21</v>
      </c>
      <c r="I2551" s="2" t="s">
        <v>5970</v>
      </c>
      <c r="J2551" s="3" t="str">
        <f>HYPERLINK("https://www.boe.es/gazeta/dias/1816/07/11/pdfs/GMD-1816-86.pdf#page=5","Abrir facsímil")</f>
        <v>Abrir facsímil</v>
      </c>
      <c r="K2551" s="3" t="s">
        <v>23</v>
      </c>
    </row>
    <row r="2552" spans="1:11" ht="42" customHeight="1">
      <c r="A2552" s="2" t="s">
        <v>5971</v>
      </c>
      <c r="B2552" s="2" t="s">
        <v>5972</v>
      </c>
      <c r="C2552" s="2" t="s">
        <v>26</v>
      </c>
      <c r="D2552" s="2" t="s">
        <v>18</v>
      </c>
      <c r="E2552" s="5">
        <v>-30524</v>
      </c>
      <c r="F2552" s="3" t="s">
        <v>98</v>
      </c>
      <c r="G2552" s="3" t="s">
        <v>47</v>
      </c>
      <c r="H2552" s="2" t="s">
        <v>21</v>
      </c>
      <c r="I2552" s="2" t="s">
        <v>5973</v>
      </c>
      <c r="J2552" s="3" t="str">
        <f>HYPERLINK("https://www.boe.es/gazeta/dias/1816/06/04/pdfs/GMD-1816-70.pdf#page=5","Abrir facsímil")</f>
        <v>Abrir facsímil</v>
      </c>
      <c r="K2552" s="3" t="s">
        <v>23</v>
      </c>
    </row>
    <row r="2553" spans="1:11" ht="42" customHeight="1">
      <c r="A2553" s="2" t="s">
        <v>5971</v>
      </c>
      <c r="B2553" s="2" t="s">
        <v>5972</v>
      </c>
      <c r="C2553" s="2" t="s">
        <v>387</v>
      </c>
      <c r="D2553" s="2" t="s">
        <v>18</v>
      </c>
      <c r="E2553" s="5">
        <v>-30417</v>
      </c>
      <c r="F2553" s="3" t="s">
        <v>62</v>
      </c>
      <c r="G2553" s="3" t="s">
        <v>103</v>
      </c>
      <c r="H2553" s="2" t="s">
        <v>21</v>
      </c>
      <c r="I2553" s="2" t="s">
        <v>5974</v>
      </c>
      <c r="J2553" s="3" t="str">
        <f>HYPERLINK("https://www.boe.es/gazeta/dias/1816/09/19/pdfs/GMD-1816-116.pdf#page=4","Abrir facsímil")</f>
        <v>Abrir facsímil</v>
      </c>
      <c r="K2553" s="3" t="s">
        <v>23</v>
      </c>
    </row>
    <row r="2554" spans="1:11" ht="42" customHeight="1">
      <c r="A2554" s="2" t="s">
        <v>5975</v>
      </c>
      <c r="B2554" s="2" t="s">
        <v>5976</v>
      </c>
      <c r="C2554" s="2" t="s">
        <v>26</v>
      </c>
      <c r="D2554" s="2" t="s">
        <v>18</v>
      </c>
      <c r="E2554" s="5">
        <v>-30522</v>
      </c>
      <c r="F2554" s="3" t="s">
        <v>282</v>
      </c>
      <c r="G2554" s="3" t="s">
        <v>47</v>
      </c>
      <c r="H2554" s="2" t="s">
        <v>21</v>
      </c>
      <c r="I2554" s="2" t="s">
        <v>5977</v>
      </c>
      <c r="J2554" s="3" t="str">
        <f>HYPERLINK("https://www.boe.es/gazeta/dias/1816/06/06/pdfs/GMD-1816-71.pdf#page=5","Abrir facsímil")</f>
        <v>Abrir facsímil</v>
      </c>
      <c r="K2554" s="3" t="s">
        <v>23</v>
      </c>
    </row>
    <row r="2555" spans="1:11" ht="42" customHeight="1">
      <c r="A2555" s="2" t="s">
        <v>5978</v>
      </c>
      <c r="B2555" s="2" t="s">
        <v>5978</v>
      </c>
      <c r="C2555" s="2" t="s">
        <v>111</v>
      </c>
      <c r="D2555" s="2" t="s">
        <v>112</v>
      </c>
      <c r="E2555" s="5">
        <v>-30557</v>
      </c>
      <c r="F2555" s="3" t="s">
        <v>508</v>
      </c>
      <c r="G2555" s="3" t="s">
        <v>103</v>
      </c>
      <c r="H2555" s="2" t="s">
        <v>21</v>
      </c>
      <c r="I2555" s="2" t="s">
        <v>5979</v>
      </c>
      <c r="J2555" s="3" t="str">
        <f>HYPERLINK("https://www.boe.es/gazeta/dias/1816/05/02/pdfs/GMD-1816-56.pdf#page=4","Abrir facsímil")</f>
        <v>Abrir facsímil</v>
      </c>
      <c r="K2555" s="3" t="s">
        <v>23</v>
      </c>
    </row>
    <row r="2556" spans="1:11" ht="42" customHeight="1">
      <c r="A2556" s="2" t="s">
        <v>5978</v>
      </c>
      <c r="B2556" s="2" t="s">
        <v>5978</v>
      </c>
      <c r="C2556" s="2" t="s">
        <v>111</v>
      </c>
      <c r="D2556" s="2" t="s">
        <v>112</v>
      </c>
      <c r="E2556" s="5">
        <v>-30508</v>
      </c>
      <c r="F2556" s="3" t="s">
        <v>36</v>
      </c>
      <c r="G2556" s="3" t="s">
        <v>47</v>
      </c>
      <c r="H2556" s="2" t="s">
        <v>21</v>
      </c>
      <c r="I2556" s="2" t="s">
        <v>5980</v>
      </c>
      <c r="J2556" s="3" t="str">
        <f>HYPERLINK("https://www.boe.es/gazeta/dias/1816/06/20/pdfs/GMD-1816-77.pdf#page=5","Abrir facsímil")</f>
        <v>Abrir facsímil</v>
      </c>
      <c r="K2556" s="3" t="s">
        <v>23</v>
      </c>
    </row>
    <row r="2557" spans="1:11" ht="42" customHeight="1">
      <c r="A2557" s="2" t="s">
        <v>5978</v>
      </c>
      <c r="B2557" s="2" t="s">
        <v>5978</v>
      </c>
      <c r="C2557" s="2" t="s">
        <v>26</v>
      </c>
      <c r="D2557" s="2" t="s">
        <v>18</v>
      </c>
      <c r="E2557" s="5">
        <v>-30494</v>
      </c>
      <c r="F2557" s="3" t="s">
        <v>174</v>
      </c>
      <c r="G2557" s="3" t="s">
        <v>72</v>
      </c>
      <c r="H2557" s="2" t="s">
        <v>21</v>
      </c>
      <c r="I2557" s="2" t="s">
        <v>5981</v>
      </c>
      <c r="J2557" s="3" t="str">
        <f>HYPERLINK("https://www.boe.es/gazeta/dias/1816/07/04/pdfs/GMD-1816-83.pdf#page=7","Abrir facsímil")</f>
        <v>Abrir facsímil</v>
      </c>
      <c r="K2557" s="3" t="s">
        <v>23</v>
      </c>
    </row>
    <row r="2558" spans="1:11" ht="42" customHeight="1">
      <c r="A2558" s="2" t="s">
        <v>5978</v>
      </c>
      <c r="B2558" s="2" t="s">
        <v>5978</v>
      </c>
      <c r="C2558" s="2" t="s">
        <v>26</v>
      </c>
      <c r="D2558" s="2" t="s">
        <v>18</v>
      </c>
      <c r="E2558" s="5">
        <v>-30415</v>
      </c>
      <c r="F2558" s="3" t="s">
        <v>585</v>
      </c>
      <c r="G2558" s="3" t="s">
        <v>1156</v>
      </c>
      <c r="H2558" s="2" t="s">
        <v>21</v>
      </c>
      <c r="I2558" s="2" t="s">
        <v>5982</v>
      </c>
      <c r="J2558" s="3" t="str">
        <f>HYPERLINK("https://www.boe.es/gazeta/dias/1816/09/21/pdfs/GMD-1816-117.pdf#page=7","Abrir facsímil")</f>
        <v>Abrir facsímil</v>
      </c>
      <c r="K2558" s="3" t="s">
        <v>23</v>
      </c>
    </row>
    <row r="2559" spans="1:11" ht="42" customHeight="1">
      <c r="A2559" s="2" t="s">
        <v>5983</v>
      </c>
      <c r="B2559" s="2" t="s">
        <v>5984</v>
      </c>
      <c r="C2559" s="2" t="s">
        <v>26</v>
      </c>
      <c r="D2559" s="2" t="s">
        <v>18</v>
      </c>
      <c r="E2559" s="5">
        <v>-30314</v>
      </c>
      <c r="F2559" s="3" t="s">
        <v>1899</v>
      </c>
      <c r="G2559" s="3" t="s">
        <v>47</v>
      </c>
      <c r="H2559" s="2" t="s">
        <v>21</v>
      </c>
      <c r="I2559" s="2" t="s">
        <v>5985</v>
      </c>
      <c r="J2559" s="3" t="str">
        <f>HYPERLINK("https://www.boe.es/gazeta/dias/1816/12/31/pdfs/GMD-1816-162.pdf#page=5","Abrir facsímil")</f>
        <v>Abrir facsímil</v>
      </c>
      <c r="K2559" s="3" t="s">
        <v>23</v>
      </c>
    </row>
    <row r="2560" spans="1:11" ht="42" customHeight="1">
      <c r="A2560" s="2" t="s">
        <v>5986</v>
      </c>
      <c r="B2560" s="2" t="s">
        <v>5987</v>
      </c>
      <c r="C2560" s="2" t="s">
        <v>26</v>
      </c>
      <c r="D2560" s="2" t="s">
        <v>18</v>
      </c>
      <c r="E2560" s="5">
        <v>-30632</v>
      </c>
      <c r="F2560" s="3" t="s">
        <v>89</v>
      </c>
      <c r="G2560" s="3" t="s">
        <v>103</v>
      </c>
      <c r="H2560" s="2" t="s">
        <v>21</v>
      </c>
      <c r="I2560" s="2" t="s">
        <v>5988</v>
      </c>
      <c r="J2560" s="3" t="str">
        <f>HYPERLINK("https://www.boe.es/gazeta/dias/1816/02/17/pdfs/GMD-1816-22.pdf#page=4","Abrir facsímil")</f>
        <v>Abrir facsímil</v>
      </c>
      <c r="K2560" s="3" t="s">
        <v>23</v>
      </c>
    </row>
    <row r="2561" spans="1:11" ht="42" customHeight="1">
      <c r="A2561" s="2" t="s">
        <v>5986</v>
      </c>
      <c r="B2561" s="2" t="s">
        <v>5987</v>
      </c>
      <c r="C2561" s="2" t="s">
        <v>26</v>
      </c>
      <c r="D2561" s="2" t="s">
        <v>18</v>
      </c>
      <c r="E2561" s="5">
        <v>-30597</v>
      </c>
      <c r="F2561" s="3" t="s">
        <v>696</v>
      </c>
      <c r="G2561" s="3" t="s">
        <v>28</v>
      </c>
      <c r="H2561" s="2" t="s">
        <v>21</v>
      </c>
      <c r="I2561" s="2" t="s">
        <v>5989</v>
      </c>
      <c r="J2561" s="3" t="str">
        <f>HYPERLINK("https://www.boe.es/gazeta/dias/1816/03/23/pdfs/GMD-1816-39.pdf#page=6","Abrir facsímil")</f>
        <v>Abrir facsímil</v>
      </c>
      <c r="K2561" s="3" t="s">
        <v>23</v>
      </c>
    </row>
    <row r="2562" spans="1:11" ht="42" customHeight="1">
      <c r="A2562" s="2" t="s">
        <v>5986</v>
      </c>
      <c r="B2562" s="2" t="s">
        <v>5987</v>
      </c>
      <c r="C2562" s="2" t="s">
        <v>387</v>
      </c>
      <c r="D2562" s="2" t="s">
        <v>18</v>
      </c>
      <c r="E2562" s="5">
        <v>-30590</v>
      </c>
      <c r="F2562" s="3" t="s">
        <v>195</v>
      </c>
      <c r="G2562" s="3" t="s">
        <v>47</v>
      </c>
      <c r="H2562" s="2" t="s">
        <v>21</v>
      </c>
      <c r="I2562" s="2" t="s">
        <v>5990</v>
      </c>
      <c r="J2562" s="3" t="str">
        <f>HYPERLINK("https://www.boe.es/gazeta/dias/1816/03/30/pdfs/GMD-1816-42.pdf#page=5","Abrir facsímil")</f>
        <v>Abrir facsímil</v>
      </c>
      <c r="K2562" s="3" t="s">
        <v>23</v>
      </c>
    </row>
    <row r="2563" spans="1:11" ht="42" customHeight="1">
      <c r="A2563" s="2" t="s">
        <v>5986</v>
      </c>
      <c r="B2563" s="2" t="s">
        <v>5987</v>
      </c>
      <c r="C2563" s="2" t="s">
        <v>387</v>
      </c>
      <c r="D2563" s="2" t="s">
        <v>18</v>
      </c>
      <c r="E2563" s="5">
        <v>-30585</v>
      </c>
      <c r="F2563" s="3" t="s">
        <v>633</v>
      </c>
      <c r="G2563" s="3" t="s">
        <v>634</v>
      </c>
      <c r="H2563" s="2" t="s">
        <v>21</v>
      </c>
      <c r="I2563" s="2" t="s">
        <v>5991</v>
      </c>
      <c r="J2563" s="3" t="str">
        <f>HYPERLINK("https://www.boe.es/gazeta/dias/1816/04/04/pdfs/GMD-1816-44.pdf#page=6","Abrir facsímil")</f>
        <v>Abrir facsímil</v>
      </c>
      <c r="K2563" s="3" t="s">
        <v>23</v>
      </c>
    </row>
    <row r="2564" spans="1:11" ht="42" customHeight="1">
      <c r="A2564" s="2" t="s">
        <v>5986</v>
      </c>
      <c r="B2564" s="2" t="s">
        <v>5987</v>
      </c>
      <c r="C2564" s="2" t="s">
        <v>387</v>
      </c>
      <c r="D2564" s="2" t="s">
        <v>18</v>
      </c>
      <c r="E2564" s="5">
        <v>-30583</v>
      </c>
      <c r="F2564" s="3" t="s">
        <v>241</v>
      </c>
      <c r="G2564" s="3" t="s">
        <v>184</v>
      </c>
      <c r="H2564" s="2" t="s">
        <v>21</v>
      </c>
      <c r="I2564" s="2" t="s">
        <v>5992</v>
      </c>
      <c r="J2564" s="3" t="str">
        <f>HYPERLINK("https://www.boe.es/gazeta/dias/1816/04/06/pdfs/GMD-1816-45.pdf#page=3","Abrir facsímil")</f>
        <v>Abrir facsímil</v>
      </c>
      <c r="K2564" s="3" t="s">
        <v>23</v>
      </c>
    </row>
    <row r="2565" spans="1:11" ht="42" customHeight="1">
      <c r="A2565" s="2" t="s">
        <v>5986</v>
      </c>
      <c r="B2565" s="2" t="s">
        <v>5987</v>
      </c>
      <c r="C2565" s="2" t="s">
        <v>26</v>
      </c>
      <c r="D2565" s="2" t="s">
        <v>18</v>
      </c>
      <c r="E2565" s="5">
        <v>-30580</v>
      </c>
      <c r="F2565" s="3" t="s">
        <v>107</v>
      </c>
      <c r="G2565" s="3" t="s">
        <v>103</v>
      </c>
      <c r="H2565" s="2" t="s">
        <v>21</v>
      </c>
      <c r="I2565" s="2" t="s">
        <v>5993</v>
      </c>
      <c r="J2565" s="3" t="str">
        <f>HYPERLINK("https://www.boe.es/gazeta/dias/1816/04/09/pdfs/GMD-1816-46.pdf#page=4","Abrir facsímil")</f>
        <v>Abrir facsímil</v>
      </c>
      <c r="K2565" s="3" t="s">
        <v>23</v>
      </c>
    </row>
    <row r="2566" spans="1:11" ht="42" customHeight="1">
      <c r="A2566" s="2" t="s">
        <v>5986</v>
      </c>
      <c r="B2566" s="2" t="s">
        <v>5987</v>
      </c>
      <c r="C2566" s="2" t="s">
        <v>34</v>
      </c>
      <c r="D2566" s="2" t="s">
        <v>35</v>
      </c>
      <c r="E2566" s="5">
        <v>-30541</v>
      </c>
      <c r="F2566" s="3" t="s">
        <v>96</v>
      </c>
      <c r="G2566" s="3" t="s">
        <v>47</v>
      </c>
      <c r="H2566" s="2" t="s">
        <v>21</v>
      </c>
      <c r="I2566" s="2" t="s">
        <v>5994</v>
      </c>
      <c r="J2566" s="3" t="str">
        <f>HYPERLINK("https://www.boe.es/gazeta/dias/1816/05/18/pdfs/GMD-1816-63.pdf#page=5","Abrir facsímil")</f>
        <v>Abrir facsímil</v>
      </c>
      <c r="K2566" s="3" t="s">
        <v>23</v>
      </c>
    </row>
    <row r="2567" spans="1:11" ht="42" customHeight="1">
      <c r="A2567" s="2" t="s">
        <v>5986</v>
      </c>
      <c r="B2567" s="2" t="s">
        <v>5987</v>
      </c>
      <c r="C2567" s="2" t="s">
        <v>111</v>
      </c>
      <c r="D2567" s="2" t="s">
        <v>112</v>
      </c>
      <c r="E2567" s="5">
        <v>-30531</v>
      </c>
      <c r="F2567" s="3" t="s">
        <v>535</v>
      </c>
      <c r="G2567" s="3" t="s">
        <v>28</v>
      </c>
      <c r="H2567" s="2" t="s">
        <v>21</v>
      </c>
      <c r="I2567" s="2" t="s">
        <v>5995</v>
      </c>
      <c r="J2567" s="3" t="str">
        <f>HYPERLINK("https://www.boe.es/gazeta/dias/1816/05/28/pdfs/GMD-1816-67.pdf#page=6","Abrir facsímil")</f>
        <v>Abrir facsímil</v>
      </c>
      <c r="K2567" s="3" t="s">
        <v>23</v>
      </c>
    </row>
    <row r="2568" spans="1:11" ht="42" customHeight="1">
      <c r="A2568" s="2" t="s">
        <v>5986</v>
      </c>
      <c r="B2568" s="2" t="s">
        <v>5987</v>
      </c>
      <c r="C2568" s="2" t="s">
        <v>26</v>
      </c>
      <c r="D2568" s="2" t="s">
        <v>18</v>
      </c>
      <c r="E2568" s="5">
        <v>-30515</v>
      </c>
      <c r="F2568" s="3" t="s">
        <v>2452</v>
      </c>
      <c r="G2568" s="3" t="s">
        <v>47</v>
      </c>
      <c r="H2568" s="2" t="s">
        <v>21</v>
      </c>
      <c r="I2568" s="2" t="s">
        <v>5996</v>
      </c>
      <c r="J2568" s="3" t="str">
        <f>HYPERLINK("https://www.boe.es/gazeta/dias/1816/06/13/pdfs/GMD-1816-74.pdf#page=5","Abrir facsímil")</f>
        <v>Abrir facsímil</v>
      </c>
      <c r="K2568" s="3" t="s">
        <v>23</v>
      </c>
    </row>
    <row r="2569" spans="1:11" ht="42" customHeight="1">
      <c r="A2569" s="2" t="s">
        <v>5986</v>
      </c>
      <c r="B2569" s="2" t="s">
        <v>5987</v>
      </c>
      <c r="C2569" s="2" t="s">
        <v>26</v>
      </c>
      <c r="D2569" s="2" t="s">
        <v>18</v>
      </c>
      <c r="E2569" s="5">
        <v>-30513</v>
      </c>
      <c r="F2569" s="3" t="s">
        <v>582</v>
      </c>
      <c r="G2569" s="3" t="s">
        <v>5808</v>
      </c>
      <c r="H2569" s="2" t="s">
        <v>21</v>
      </c>
      <c r="I2569" s="2" t="s">
        <v>5997</v>
      </c>
      <c r="J2569" s="3" t="str">
        <f>HYPERLINK("https://www.boe.es/gazeta/dias/1816/06/15/pdfs/GMD-1816-75.pdf#page=7","Abrir facsímil")</f>
        <v>Abrir facsímil</v>
      </c>
      <c r="K2569" s="3" t="s">
        <v>23</v>
      </c>
    </row>
    <row r="2570" spans="1:11" ht="42" customHeight="1">
      <c r="A2570" s="2" t="s">
        <v>5986</v>
      </c>
      <c r="B2570" s="2" t="s">
        <v>5987</v>
      </c>
      <c r="C2570" s="2" t="s">
        <v>387</v>
      </c>
      <c r="D2570" s="2" t="s">
        <v>18</v>
      </c>
      <c r="E2570" s="5">
        <v>-30510</v>
      </c>
      <c r="F2570" s="3" t="s">
        <v>450</v>
      </c>
      <c r="G2570" s="3" t="s">
        <v>47</v>
      </c>
      <c r="H2570" s="2" t="s">
        <v>21</v>
      </c>
      <c r="I2570" s="2" t="s">
        <v>5998</v>
      </c>
      <c r="J2570" s="3" t="str">
        <f>HYPERLINK("https://www.boe.es/gazeta/dias/1816/06/18/pdfs/GMD-1816-76.pdf#page=5","Abrir facsímil")</f>
        <v>Abrir facsímil</v>
      </c>
      <c r="K2570" s="3" t="s">
        <v>23</v>
      </c>
    </row>
    <row r="2571" spans="1:11" ht="42" customHeight="1">
      <c r="A2571" s="2" t="s">
        <v>5986</v>
      </c>
      <c r="B2571" s="2" t="s">
        <v>5987</v>
      </c>
      <c r="C2571" s="2" t="s">
        <v>26</v>
      </c>
      <c r="D2571" s="2" t="s">
        <v>18</v>
      </c>
      <c r="E2571" s="5">
        <v>-30508</v>
      </c>
      <c r="F2571" s="3" t="s">
        <v>36</v>
      </c>
      <c r="G2571" s="3" t="s">
        <v>47</v>
      </c>
      <c r="H2571" s="2" t="s">
        <v>21</v>
      </c>
      <c r="I2571" s="2" t="s">
        <v>5999</v>
      </c>
      <c r="J2571" s="3" t="str">
        <f>HYPERLINK("https://www.boe.es/gazeta/dias/1816/06/20/pdfs/GMD-1816-77.pdf#page=5","Abrir facsímil")</f>
        <v>Abrir facsímil</v>
      </c>
      <c r="K2571" s="3" t="s">
        <v>23</v>
      </c>
    </row>
    <row r="2572" spans="1:11" ht="42" customHeight="1">
      <c r="A2572" s="2" t="s">
        <v>5986</v>
      </c>
      <c r="B2572" s="2" t="s">
        <v>5987</v>
      </c>
      <c r="C2572" s="2" t="s">
        <v>111</v>
      </c>
      <c r="D2572" s="2" t="s">
        <v>112</v>
      </c>
      <c r="E2572" s="5">
        <v>-30506</v>
      </c>
      <c r="F2572" s="3" t="s">
        <v>220</v>
      </c>
      <c r="G2572" s="3" t="s">
        <v>28</v>
      </c>
      <c r="H2572" s="2" t="s">
        <v>21</v>
      </c>
      <c r="I2572" s="2" t="s">
        <v>6000</v>
      </c>
      <c r="J2572" s="3" t="str">
        <f>HYPERLINK("https://www.boe.es/gazeta/dias/1816/06/22/pdfs/GMD-1816-78.pdf#page=6","Abrir facsímil")</f>
        <v>Abrir facsímil</v>
      </c>
      <c r="K2572" s="3" t="s">
        <v>23</v>
      </c>
    </row>
    <row r="2573" spans="1:11" ht="42" customHeight="1">
      <c r="A2573" s="2" t="s">
        <v>5986</v>
      </c>
      <c r="B2573" s="2" t="s">
        <v>5987</v>
      </c>
      <c r="C2573" s="2" t="s">
        <v>387</v>
      </c>
      <c r="D2573" s="2" t="s">
        <v>18</v>
      </c>
      <c r="E2573" s="5">
        <v>-30501</v>
      </c>
      <c r="F2573" s="3" t="s">
        <v>475</v>
      </c>
      <c r="G2573" s="3" t="s">
        <v>47</v>
      </c>
      <c r="H2573" s="2" t="s">
        <v>21</v>
      </c>
      <c r="I2573" s="2" t="s">
        <v>6001</v>
      </c>
      <c r="J2573" s="3" t="str">
        <f>HYPERLINK("https://www.boe.es/gazeta/dias/1816/06/27/pdfs/GMD-1816-80.pdf#page=5","Abrir facsímil")</f>
        <v>Abrir facsímil</v>
      </c>
      <c r="K2573" s="3" t="s">
        <v>23</v>
      </c>
    </row>
    <row r="2574" spans="1:11" ht="42" customHeight="1">
      <c r="A2574" s="2" t="s">
        <v>5986</v>
      </c>
      <c r="B2574" s="2" t="s">
        <v>5987</v>
      </c>
      <c r="C2574" s="2" t="s">
        <v>41</v>
      </c>
      <c r="D2574" s="2" t="s">
        <v>18</v>
      </c>
      <c r="E2574" s="5">
        <v>-30496</v>
      </c>
      <c r="F2574" s="3" t="s">
        <v>290</v>
      </c>
      <c r="G2574" s="3" t="s">
        <v>47</v>
      </c>
      <c r="H2574" s="2" t="s">
        <v>21</v>
      </c>
      <c r="I2574" s="2" t="s">
        <v>6002</v>
      </c>
      <c r="J2574" s="3" t="str">
        <f>HYPERLINK("https://www.boe.es/gazeta/dias/1816/07/02/pdfs/GMD-1816-82.pdf#page=5","Abrir facsímil")</f>
        <v>Abrir facsímil</v>
      </c>
      <c r="K2574" s="3" t="s">
        <v>23</v>
      </c>
    </row>
    <row r="2575" spans="1:11" ht="42" customHeight="1">
      <c r="A2575" s="2" t="s">
        <v>5986</v>
      </c>
      <c r="B2575" s="2" t="s">
        <v>5987</v>
      </c>
      <c r="C2575" s="2" t="s">
        <v>387</v>
      </c>
      <c r="D2575" s="2" t="s">
        <v>18</v>
      </c>
      <c r="E2575" s="5">
        <v>-30494</v>
      </c>
      <c r="F2575" s="3" t="s">
        <v>174</v>
      </c>
      <c r="G2575" s="3" t="s">
        <v>92</v>
      </c>
      <c r="H2575" s="2" t="s">
        <v>21</v>
      </c>
      <c r="I2575" s="2" t="s">
        <v>6003</v>
      </c>
      <c r="J2575" s="3" t="str">
        <f>HYPERLINK("https://www.boe.es/gazeta/dias/1816/07/04/pdfs/GMD-1816-83.pdf#page=9","Abrir facsímil")</f>
        <v>Abrir facsímil</v>
      </c>
      <c r="K2575" s="3" t="s">
        <v>23</v>
      </c>
    </row>
    <row r="2576" spans="1:11" ht="42" customHeight="1">
      <c r="A2576" s="2" t="s">
        <v>5986</v>
      </c>
      <c r="B2576" s="2" t="s">
        <v>5987</v>
      </c>
      <c r="C2576" s="2" t="s">
        <v>111</v>
      </c>
      <c r="D2576" s="2" t="s">
        <v>112</v>
      </c>
      <c r="E2576" s="5">
        <v>-30489</v>
      </c>
      <c r="F2576" s="3" t="s">
        <v>1120</v>
      </c>
      <c r="G2576" s="3" t="s">
        <v>28</v>
      </c>
      <c r="H2576" s="2" t="s">
        <v>21</v>
      </c>
      <c r="I2576" s="2" t="s">
        <v>6004</v>
      </c>
      <c r="J2576" s="3" t="str">
        <f>HYPERLINK("https://www.boe.es/gazeta/dias/1816/07/09/pdfs/GMD-1816-85.pdf#page=6","Abrir facsímil")</f>
        <v>Abrir facsímil</v>
      </c>
      <c r="K2576" s="3" t="s">
        <v>23</v>
      </c>
    </row>
    <row r="2577" spans="1:11" ht="42" customHeight="1">
      <c r="A2577" s="2" t="s">
        <v>5986</v>
      </c>
      <c r="B2577" s="2" t="s">
        <v>5987</v>
      </c>
      <c r="C2577" s="2" t="s">
        <v>26</v>
      </c>
      <c r="D2577" s="2" t="s">
        <v>18</v>
      </c>
      <c r="E2577" s="5">
        <v>-30487</v>
      </c>
      <c r="F2577" s="3" t="s">
        <v>397</v>
      </c>
      <c r="G2577" s="3" t="s">
        <v>47</v>
      </c>
      <c r="H2577" s="2" t="s">
        <v>21</v>
      </c>
      <c r="I2577" s="2" t="s">
        <v>6005</v>
      </c>
      <c r="J2577" s="3" t="str">
        <f>HYPERLINK("https://www.boe.es/gazeta/dias/1816/07/11/pdfs/GMD-1816-86.pdf#page=5","Abrir facsímil")</f>
        <v>Abrir facsímil</v>
      </c>
      <c r="K2577" s="3" t="s">
        <v>23</v>
      </c>
    </row>
    <row r="2578" spans="1:11" ht="42" customHeight="1">
      <c r="A2578" s="2" t="s">
        <v>5986</v>
      </c>
      <c r="B2578" s="2" t="s">
        <v>5987</v>
      </c>
      <c r="C2578" s="2" t="s">
        <v>26</v>
      </c>
      <c r="D2578" s="2" t="s">
        <v>18</v>
      </c>
      <c r="E2578" s="5">
        <v>-30487</v>
      </c>
      <c r="F2578" s="3" t="s">
        <v>397</v>
      </c>
      <c r="G2578" s="3" t="s">
        <v>28</v>
      </c>
      <c r="H2578" s="2" t="s">
        <v>21</v>
      </c>
      <c r="I2578" s="2" t="s">
        <v>6006</v>
      </c>
      <c r="J2578" s="3" t="str">
        <f>HYPERLINK("https://www.boe.es/gazeta/dias/1816/07/11/pdfs/GMD-1816-86.pdf#page=6","Abrir facsímil")</f>
        <v>Abrir facsímil</v>
      </c>
      <c r="K2578" s="3" t="s">
        <v>23</v>
      </c>
    </row>
    <row r="2579" spans="1:11" ht="42" customHeight="1">
      <c r="A2579" s="2" t="s">
        <v>5986</v>
      </c>
      <c r="B2579" s="2" t="s">
        <v>5987</v>
      </c>
      <c r="C2579" s="2" t="s">
        <v>26</v>
      </c>
      <c r="D2579" s="2" t="s">
        <v>18</v>
      </c>
      <c r="E2579" s="5">
        <v>-30485</v>
      </c>
      <c r="F2579" s="3" t="s">
        <v>156</v>
      </c>
      <c r="G2579" s="3" t="s">
        <v>157</v>
      </c>
      <c r="H2579" s="2" t="s">
        <v>21</v>
      </c>
      <c r="I2579" s="2" t="s">
        <v>6007</v>
      </c>
      <c r="J2579" s="3" t="str">
        <f>HYPERLINK("https://www.boe.es/gazeta/dias/1816/07/13/pdfs/GMD-1816-87.pdf#page=5","Abrir facsímil")</f>
        <v>Abrir facsímil</v>
      </c>
      <c r="K2579" s="3" t="s">
        <v>23</v>
      </c>
    </row>
    <row r="2580" spans="1:11" ht="42" customHeight="1">
      <c r="A2580" s="2" t="s">
        <v>5986</v>
      </c>
      <c r="B2580" s="2" t="s">
        <v>5987</v>
      </c>
      <c r="C2580" s="2" t="s">
        <v>111</v>
      </c>
      <c r="D2580" s="2" t="s">
        <v>112</v>
      </c>
      <c r="E2580" s="5">
        <v>-30485</v>
      </c>
      <c r="F2580" s="3" t="s">
        <v>156</v>
      </c>
      <c r="G2580" s="3" t="s">
        <v>28</v>
      </c>
      <c r="H2580" s="2" t="s">
        <v>21</v>
      </c>
      <c r="I2580" s="2" t="s">
        <v>6008</v>
      </c>
      <c r="J2580" s="3" t="str">
        <f>HYPERLINK("https://www.boe.es/gazeta/dias/1816/07/13/pdfs/GMD-1816-87.pdf#page=6","Abrir facsímil")</f>
        <v>Abrir facsímil</v>
      </c>
      <c r="K2580" s="3" t="s">
        <v>23</v>
      </c>
    </row>
    <row r="2581" spans="1:11" ht="42" customHeight="1">
      <c r="A2581" s="2" t="s">
        <v>5986</v>
      </c>
      <c r="B2581" s="2" t="s">
        <v>5987</v>
      </c>
      <c r="C2581" s="2" t="s">
        <v>34</v>
      </c>
      <c r="D2581" s="2" t="s">
        <v>35</v>
      </c>
      <c r="E2581" s="5">
        <v>-30475</v>
      </c>
      <c r="F2581" s="3" t="s">
        <v>319</v>
      </c>
      <c r="G2581" s="3" t="s">
        <v>103</v>
      </c>
      <c r="H2581" s="2" t="s">
        <v>21</v>
      </c>
      <c r="I2581" s="2" t="s">
        <v>6009</v>
      </c>
      <c r="J2581" s="3" t="str">
        <f>HYPERLINK("https://www.boe.es/gazeta/dias/1816/07/23/pdfs/GMD-1816-91.pdf#page=4","Abrir facsímil")</f>
        <v>Abrir facsímil</v>
      </c>
      <c r="K2581" s="3" t="s">
        <v>23</v>
      </c>
    </row>
    <row r="2582" spans="1:11" ht="42" customHeight="1">
      <c r="A2582" s="2" t="s">
        <v>5986</v>
      </c>
      <c r="B2582" s="2" t="s">
        <v>5987</v>
      </c>
      <c r="C2582" s="2" t="s">
        <v>26</v>
      </c>
      <c r="D2582" s="2" t="s">
        <v>18</v>
      </c>
      <c r="E2582" s="5">
        <v>-30445</v>
      </c>
      <c r="F2582" s="3" t="s">
        <v>51</v>
      </c>
      <c r="G2582" s="3" t="s">
        <v>180</v>
      </c>
      <c r="H2582" s="2" t="s">
        <v>21</v>
      </c>
      <c r="I2582" s="2" t="s">
        <v>6010</v>
      </c>
      <c r="J2582" s="3" t="str">
        <f>HYPERLINK("https://www.boe.es/gazeta/dias/1816/08/22/pdfs/GMD-1816-104.pdf#page=10","Abrir facsímil")</f>
        <v>Abrir facsímil</v>
      </c>
      <c r="K2582" s="3" t="s">
        <v>23</v>
      </c>
    </row>
    <row r="2583" spans="1:11" ht="42" customHeight="1">
      <c r="A2583" s="2" t="s">
        <v>5986</v>
      </c>
      <c r="B2583" s="2" t="s">
        <v>5987</v>
      </c>
      <c r="C2583" s="2" t="s">
        <v>26</v>
      </c>
      <c r="D2583" s="2" t="s">
        <v>18</v>
      </c>
      <c r="E2583" s="5">
        <v>-30443</v>
      </c>
      <c r="F2583" s="3" t="s">
        <v>259</v>
      </c>
      <c r="G2583" s="3" t="s">
        <v>260</v>
      </c>
      <c r="H2583" s="2" t="s">
        <v>21</v>
      </c>
      <c r="I2583" s="2" t="s">
        <v>6011</v>
      </c>
      <c r="J2583" s="3" t="str">
        <f>HYPERLINK("https://www.boe.es/gazeta/dias/1816/08/24/pdfs/GMD-1816-105.pdf#page=8","Abrir facsímil")</f>
        <v>Abrir facsímil</v>
      </c>
      <c r="K2583" s="3" t="s">
        <v>23</v>
      </c>
    </row>
    <row r="2584" spans="1:11" ht="42" customHeight="1">
      <c r="A2584" s="2" t="s">
        <v>5986</v>
      </c>
      <c r="B2584" s="2" t="s">
        <v>5987</v>
      </c>
      <c r="C2584" s="2" t="s">
        <v>17</v>
      </c>
      <c r="D2584" s="2" t="s">
        <v>18</v>
      </c>
      <c r="E2584" s="5">
        <v>-30438</v>
      </c>
      <c r="F2584" s="3" t="s">
        <v>299</v>
      </c>
      <c r="G2584" s="3" t="s">
        <v>3567</v>
      </c>
      <c r="H2584" s="2" t="s">
        <v>21</v>
      </c>
      <c r="I2584" s="2" t="s">
        <v>6012</v>
      </c>
      <c r="J2584" s="3" t="str">
        <f>HYPERLINK("https://www.boe.es/gazeta/dias/1816/08/29/pdfs/GMD-1816-107.pdf#page=5","Abrir facsímil")</f>
        <v>Abrir facsímil</v>
      </c>
      <c r="K2584" s="3" t="s">
        <v>23</v>
      </c>
    </row>
    <row r="2585" spans="1:11" ht="42" customHeight="1">
      <c r="A2585" s="2" t="s">
        <v>5986</v>
      </c>
      <c r="B2585" s="2" t="s">
        <v>5987</v>
      </c>
      <c r="C2585" s="2" t="s">
        <v>26</v>
      </c>
      <c r="D2585" s="2" t="s">
        <v>18</v>
      </c>
      <c r="E2585" s="5">
        <v>-30438</v>
      </c>
      <c r="F2585" s="3" t="s">
        <v>299</v>
      </c>
      <c r="G2585" s="3" t="s">
        <v>72</v>
      </c>
      <c r="H2585" s="2" t="s">
        <v>21</v>
      </c>
      <c r="I2585" s="2" t="s">
        <v>6013</v>
      </c>
      <c r="J2585" s="3" t="str">
        <f>HYPERLINK("https://www.boe.es/gazeta/dias/1816/08/29/pdfs/GMD-1816-107.pdf#page=7","Abrir facsímil")</f>
        <v>Abrir facsímil</v>
      </c>
      <c r="K2585" s="3" t="s">
        <v>23</v>
      </c>
    </row>
    <row r="2586" spans="1:11" ht="42" customHeight="1">
      <c r="A2586" s="2" t="s">
        <v>5986</v>
      </c>
      <c r="B2586" s="2" t="s">
        <v>5987</v>
      </c>
      <c r="C2586" s="2" t="s">
        <v>111</v>
      </c>
      <c r="D2586" s="2" t="s">
        <v>112</v>
      </c>
      <c r="E2586" s="5">
        <v>-30433</v>
      </c>
      <c r="F2586" s="3" t="s">
        <v>954</v>
      </c>
      <c r="G2586" s="3" t="s">
        <v>28</v>
      </c>
      <c r="H2586" s="2" t="s">
        <v>21</v>
      </c>
      <c r="I2586" s="2" t="s">
        <v>6014</v>
      </c>
      <c r="J2586" s="3" t="str">
        <f>HYPERLINK("https://www.boe.es/gazeta/dias/1816/09/03/pdfs/GMD-1816-109.pdf#page=6","Abrir facsímil")</f>
        <v>Abrir facsímil</v>
      </c>
      <c r="K2586" s="3" t="s">
        <v>23</v>
      </c>
    </row>
    <row r="2587" spans="1:11" ht="42" customHeight="1">
      <c r="A2587" s="2" t="s">
        <v>5986</v>
      </c>
      <c r="B2587" s="2" t="s">
        <v>5987</v>
      </c>
      <c r="C2587" s="2" t="s">
        <v>26</v>
      </c>
      <c r="D2587" s="2" t="s">
        <v>18</v>
      </c>
      <c r="E2587" s="5">
        <v>-30431</v>
      </c>
      <c r="F2587" s="3" t="s">
        <v>756</v>
      </c>
      <c r="G2587" s="3" t="s">
        <v>47</v>
      </c>
      <c r="H2587" s="2" t="s">
        <v>21</v>
      </c>
      <c r="I2587" s="2" t="s">
        <v>6015</v>
      </c>
      <c r="J2587" s="3" t="str">
        <f>HYPERLINK("https://www.boe.es/gazeta/dias/1816/09/05/pdfs/GMD-1816-110.pdf#page=5","Abrir facsímil")</f>
        <v>Abrir facsímil</v>
      </c>
      <c r="K2587" s="3" t="s">
        <v>23</v>
      </c>
    </row>
    <row r="2588" spans="1:11" ht="42" customHeight="1">
      <c r="A2588" s="2" t="s">
        <v>5986</v>
      </c>
      <c r="B2588" s="2" t="s">
        <v>5987</v>
      </c>
      <c r="C2588" s="2" t="s">
        <v>34</v>
      </c>
      <c r="D2588" s="2" t="s">
        <v>35</v>
      </c>
      <c r="E2588" s="5">
        <v>-30415</v>
      </c>
      <c r="F2588" s="3" t="s">
        <v>585</v>
      </c>
      <c r="G2588" s="3" t="s">
        <v>42</v>
      </c>
      <c r="H2588" s="2" t="s">
        <v>21</v>
      </c>
      <c r="I2588" s="2" t="s">
        <v>6016</v>
      </c>
      <c r="J2588" s="3" t="str">
        <f>HYPERLINK("https://www.boe.es/gazeta/dias/1816/09/21/pdfs/GMD-1816-117.pdf#page=8","Abrir facsímil")</f>
        <v>Abrir facsímil</v>
      </c>
      <c r="K2588" s="3" t="s">
        <v>23</v>
      </c>
    </row>
    <row r="2589" spans="1:11" ht="42" customHeight="1">
      <c r="A2589" s="2" t="s">
        <v>5986</v>
      </c>
      <c r="B2589" s="2" t="s">
        <v>5987</v>
      </c>
      <c r="C2589" s="2" t="s">
        <v>26</v>
      </c>
      <c r="D2589" s="2" t="s">
        <v>18</v>
      </c>
      <c r="E2589" s="5">
        <v>-30415</v>
      </c>
      <c r="F2589" s="3" t="s">
        <v>585</v>
      </c>
      <c r="G2589" s="3" t="s">
        <v>92</v>
      </c>
      <c r="H2589" s="2" t="s">
        <v>21</v>
      </c>
      <c r="I2589" s="2" t="s">
        <v>6017</v>
      </c>
      <c r="J2589" s="3" t="str">
        <f>HYPERLINK("https://www.boe.es/gazeta/dias/1816/09/21/pdfs/GMD-1816-117.pdf#page=9","Abrir facsímil")</f>
        <v>Abrir facsímil</v>
      </c>
      <c r="K2589" s="3" t="s">
        <v>23</v>
      </c>
    </row>
    <row r="2590" spans="1:11" ht="42" customHeight="1">
      <c r="A2590" s="2" t="s">
        <v>5986</v>
      </c>
      <c r="B2590" s="2" t="s">
        <v>5987</v>
      </c>
      <c r="C2590" s="2" t="s">
        <v>387</v>
      </c>
      <c r="D2590" s="2" t="s">
        <v>18</v>
      </c>
      <c r="E2590" s="5">
        <v>-30410</v>
      </c>
      <c r="F2590" s="3" t="s">
        <v>1259</v>
      </c>
      <c r="G2590" s="3" t="s">
        <v>1260</v>
      </c>
      <c r="H2590" s="2" t="s">
        <v>21</v>
      </c>
      <c r="I2590" s="2" t="s">
        <v>6018</v>
      </c>
      <c r="J2590" s="3" t="str">
        <f>HYPERLINK("https://www.boe.es/gazeta/dias/1816/09/26/pdfs/GMD-1816-119.pdf#page=7","Abrir facsímil")</f>
        <v>Abrir facsímil</v>
      </c>
      <c r="K2590" s="3" t="s">
        <v>23</v>
      </c>
    </row>
    <row r="2591" spans="1:11" ht="42" customHeight="1">
      <c r="A2591" s="2" t="s">
        <v>5986</v>
      </c>
      <c r="B2591" s="2" t="s">
        <v>5987</v>
      </c>
      <c r="C2591" s="2" t="s">
        <v>26</v>
      </c>
      <c r="D2591" s="2" t="s">
        <v>18</v>
      </c>
      <c r="E2591" s="5">
        <v>-30408</v>
      </c>
      <c r="F2591" s="3" t="s">
        <v>295</v>
      </c>
      <c r="G2591" s="3" t="s">
        <v>103</v>
      </c>
      <c r="H2591" s="2" t="s">
        <v>21</v>
      </c>
      <c r="I2591" s="2" t="s">
        <v>6019</v>
      </c>
      <c r="J2591" s="3" t="str">
        <f>HYPERLINK("https://www.boe.es/gazeta/dias/1816/09/28/pdfs/GMD-1816-120.pdf#page=4","Abrir facsímil")</f>
        <v>Abrir facsímil</v>
      </c>
      <c r="K2591" s="3" t="s">
        <v>23</v>
      </c>
    </row>
    <row r="2592" spans="1:11" ht="42" customHeight="1">
      <c r="A2592" s="2" t="s">
        <v>5986</v>
      </c>
      <c r="B2592" s="2" t="s">
        <v>5987</v>
      </c>
      <c r="C2592" s="2" t="s">
        <v>67</v>
      </c>
      <c r="D2592" s="2" t="s">
        <v>18</v>
      </c>
      <c r="E2592" s="5">
        <v>-30408</v>
      </c>
      <c r="F2592" s="3" t="s">
        <v>295</v>
      </c>
      <c r="G2592" s="3" t="s">
        <v>47</v>
      </c>
      <c r="H2592" s="2" t="s">
        <v>21</v>
      </c>
      <c r="I2592" s="2" t="s">
        <v>6020</v>
      </c>
      <c r="J2592" s="3" t="str">
        <f>HYPERLINK("https://www.boe.es/gazeta/dias/1816/09/28/pdfs/GMD-1816-120.pdf#page=5","Abrir facsímil")</f>
        <v>Abrir facsímil</v>
      </c>
      <c r="K2592" s="3" t="s">
        <v>23</v>
      </c>
    </row>
    <row r="2593" spans="1:11" ht="42" customHeight="1">
      <c r="A2593" s="2" t="s">
        <v>5986</v>
      </c>
      <c r="B2593" s="2" t="s">
        <v>5987</v>
      </c>
      <c r="C2593" s="2" t="s">
        <v>26</v>
      </c>
      <c r="D2593" s="2" t="s">
        <v>18</v>
      </c>
      <c r="E2593" s="5">
        <v>-30394</v>
      </c>
      <c r="F2593" s="3" t="s">
        <v>589</v>
      </c>
      <c r="G2593" s="3" t="s">
        <v>1306</v>
      </c>
      <c r="H2593" s="2" t="s">
        <v>21</v>
      </c>
      <c r="I2593" s="2" t="s">
        <v>6021</v>
      </c>
      <c r="J2593" s="3" t="str">
        <f>HYPERLINK("https://www.boe.es/gazeta/dias/1816/10/12/pdfs/GMD-1816-127.pdf#page=4","Abrir facsímil")</f>
        <v>Abrir facsímil</v>
      </c>
      <c r="K2593" s="3" t="s">
        <v>23</v>
      </c>
    </row>
    <row r="2594" spans="1:11" ht="42" customHeight="1">
      <c r="A2594" s="2" t="s">
        <v>5986</v>
      </c>
      <c r="B2594" s="2" t="s">
        <v>5987</v>
      </c>
      <c r="C2594" s="2" t="s">
        <v>41</v>
      </c>
      <c r="D2594" s="2" t="s">
        <v>18</v>
      </c>
      <c r="E2594" s="5">
        <v>-30394</v>
      </c>
      <c r="F2594" s="3" t="s">
        <v>589</v>
      </c>
      <c r="G2594" s="3" t="s">
        <v>28</v>
      </c>
      <c r="H2594" s="2" t="s">
        <v>21</v>
      </c>
      <c r="I2594" s="2" t="s">
        <v>6022</v>
      </c>
      <c r="J2594" s="3" t="str">
        <f>HYPERLINK("https://www.boe.es/gazeta/dias/1816/10/12/pdfs/GMD-1816-127.pdf#page=6","Abrir facsímil")</f>
        <v>Abrir facsímil</v>
      </c>
      <c r="K2594" s="3" t="s">
        <v>23</v>
      </c>
    </row>
    <row r="2595" spans="1:11" ht="42" customHeight="1">
      <c r="A2595" s="2" t="s">
        <v>5986</v>
      </c>
      <c r="B2595" s="2" t="s">
        <v>5987</v>
      </c>
      <c r="C2595" s="2" t="s">
        <v>111</v>
      </c>
      <c r="D2595" s="2" t="s">
        <v>112</v>
      </c>
      <c r="E2595" s="5">
        <v>-30380</v>
      </c>
      <c r="F2595" s="3" t="s">
        <v>819</v>
      </c>
      <c r="G2595" s="3" t="s">
        <v>47</v>
      </c>
      <c r="H2595" s="2" t="s">
        <v>21</v>
      </c>
      <c r="I2595" s="2" t="s">
        <v>6023</v>
      </c>
      <c r="J2595" s="3" t="str">
        <f>HYPERLINK("https://www.boe.es/gazeta/dias/1816/10/26/pdfs/GMD-1816-134.pdf#page=5","Abrir facsímil")</f>
        <v>Abrir facsímil</v>
      </c>
      <c r="K2595" s="3" t="s">
        <v>23</v>
      </c>
    </row>
    <row r="2596" spans="1:11" ht="42" customHeight="1">
      <c r="A2596" s="2" t="s">
        <v>5986</v>
      </c>
      <c r="B2596" s="2" t="s">
        <v>5987</v>
      </c>
      <c r="C2596" s="2" t="s">
        <v>67</v>
      </c>
      <c r="D2596" s="2" t="s">
        <v>18</v>
      </c>
      <c r="E2596" s="5">
        <v>-30368</v>
      </c>
      <c r="F2596" s="3" t="s">
        <v>531</v>
      </c>
      <c r="G2596" s="3" t="s">
        <v>42</v>
      </c>
      <c r="H2596" s="2" t="s">
        <v>21</v>
      </c>
      <c r="I2596" s="2" t="s">
        <v>6024</v>
      </c>
      <c r="J2596" s="3" t="str">
        <f>HYPERLINK("https://www.boe.es/gazeta/dias/1816/11/07/pdfs/GMD-1816-139.pdf#page=8","Abrir facsímil")</f>
        <v>Abrir facsímil</v>
      </c>
      <c r="K2596" s="3" t="s">
        <v>23</v>
      </c>
    </row>
    <row r="2597" spans="1:11" ht="42" customHeight="1">
      <c r="A2597" s="2" t="s">
        <v>5986</v>
      </c>
      <c r="B2597" s="2" t="s">
        <v>5987</v>
      </c>
      <c r="C2597" s="2" t="s">
        <v>26</v>
      </c>
      <c r="D2597" s="2" t="s">
        <v>18</v>
      </c>
      <c r="E2597" s="5">
        <v>-30366</v>
      </c>
      <c r="F2597" s="3" t="s">
        <v>179</v>
      </c>
      <c r="G2597" s="3" t="s">
        <v>72</v>
      </c>
      <c r="H2597" s="2" t="s">
        <v>21</v>
      </c>
      <c r="I2597" s="2" t="s">
        <v>6025</v>
      </c>
      <c r="J2597" s="3" t="str">
        <f>HYPERLINK("https://www.boe.es/gazeta/dias/1816/11/09/pdfs/GMD-1816-140.pdf#page=7","Abrir facsímil")</f>
        <v>Abrir facsímil</v>
      </c>
      <c r="K2597" s="3" t="s">
        <v>23</v>
      </c>
    </row>
    <row r="2598" spans="1:11" ht="42" customHeight="1">
      <c r="A2598" s="2" t="s">
        <v>5986</v>
      </c>
      <c r="B2598" s="2" t="s">
        <v>5987</v>
      </c>
      <c r="C2598" s="2" t="s">
        <v>26</v>
      </c>
      <c r="D2598" s="2" t="s">
        <v>18</v>
      </c>
      <c r="E2598" s="5">
        <v>-30359</v>
      </c>
      <c r="F2598" s="3" t="s">
        <v>812</v>
      </c>
      <c r="G2598" s="3" t="s">
        <v>28</v>
      </c>
      <c r="H2598" s="2" t="s">
        <v>21</v>
      </c>
      <c r="I2598" s="2" t="s">
        <v>6026</v>
      </c>
      <c r="J2598" s="3" t="str">
        <f>HYPERLINK("https://www.boe.es/gazeta/dias/1816/11/16/pdfs/GMD-1816-143.pdf#page=6","Abrir facsímil")</f>
        <v>Abrir facsímil</v>
      </c>
      <c r="K2598" s="3" t="s">
        <v>23</v>
      </c>
    </row>
    <row r="2599" spans="1:11" ht="42" customHeight="1">
      <c r="A2599" s="2" t="s">
        <v>5986</v>
      </c>
      <c r="B2599" s="2" t="s">
        <v>5987</v>
      </c>
      <c r="C2599" s="2" t="s">
        <v>111</v>
      </c>
      <c r="D2599" s="2" t="s">
        <v>112</v>
      </c>
      <c r="E2599" s="5">
        <v>-30349</v>
      </c>
      <c r="F2599" s="3" t="s">
        <v>360</v>
      </c>
      <c r="G2599" s="3" t="s">
        <v>47</v>
      </c>
      <c r="H2599" s="2" t="s">
        <v>21</v>
      </c>
      <c r="I2599" s="2" t="s">
        <v>6027</v>
      </c>
      <c r="J2599" s="3" t="str">
        <f>HYPERLINK("https://www.boe.es/gazeta/dias/1816/11/26/pdfs/GMD-1816-147.pdf#page=5","Abrir facsímil")</f>
        <v>Abrir facsímil</v>
      </c>
      <c r="K2599" s="3" t="s">
        <v>23</v>
      </c>
    </row>
    <row r="2600" spans="1:11" ht="42" customHeight="1">
      <c r="A2600" s="2" t="s">
        <v>5986</v>
      </c>
      <c r="B2600" s="2" t="s">
        <v>5987</v>
      </c>
      <c r="C2600" s="2" t="s">
        <v>111</v>
      </c>
      <c r="D2600" s="2" t="s">
        <v>112</v>
      </c>
      <c r="E2600" s="5">
        <v>-30345</v>
      </c>
      <c r="F2600" s="3" t="s">
        <v>1382</v>
      </c>
      <c r="G2600" s="3" t="s">
        <v>103</v>
      </c>
      <c r="H2600" s="2" t="s">
        <v>21</v>
      </c>
      <c r="I2600" s="2" t="s">
        <v>6028</v>
      </c>
      <c r="J2600" s="3" t="str">
        <f>HYPERLINK("https://www.boe.es/gazeta/dias/1816/11/30/pdfs/GMD-1816-149.pdf#page=4","Abrir facsímil")</f>
        <v>Abrir facsímil</v>
      </c>
      <c r="K2600" s="3" t="s">
        <v>23</v>
      </c>
    </row>
    <row r="2601" spans="1:11" ht="42" customHeight="1">
      <c r="A2601" s="2" t="s">
        <v>5986</v>
      </c>
      <c r="B2601" s="2" t="s">
        <v>5987</v>
      </c>
      <c r="C2601" s="2" t="s">
        <v>26</v>
      </c>
      <c r="D2601" s="2" t="s">
        <v>18</v>
      </c>
      <c r="E2601" s="5">
        <v>-30338</v>
      </c>
      <c r="F2601" s="3" t="s">
        <v>464</v>
      </c>
      <c r="G2601" s="3" t="s">
        <v>72</v>
      </c>
      <c r="H2601" s="2" t="s">
        <v>21</v>
      </c>
      <c r="I2601" s="2" t="s">
        <v>6029</v>
      </c>
      <c r="J2601" s="3" t="str">
        <f>HYPERLINK("https://www.boe.es/gazeta/dias/1816/12/07/pdfs/GMD-1816-152.pdf#page=7","Abrir facsímil")</f>
        <v>Abrir facsímil</v>
      </c>
      <c r="K2601" s="3" t="s">
        <v>23</v>
      </c>
    </row>
    <row r="2602" spans="1:11" ht="42" customHeight="1">
      <c r="A2602" s="2" t="s">
        <v>5986</v>
      </c>
      <c r="B2602" s="2" t="s">
        <v>5987</v>
      </c>
      <c r="C2602" s="2" t="s">
        <v>26</v>
      </c>
      <c r="D2602" s="2" t="s">
        <v>18</v>
      </c>
      <c r="E2602" s="5">
        <v>-30324</v>
      </c>
      <c r="F2602" s="3" t="s">
        <v>46</v>
      </c>
      <c r="G2602" s="3" t="s">
        <v>103</v>
      </c>
      <c r="H2602" s="2" t="s">
        <v>21</v>
      </c>
      <c r="I2602" s="2" t="s">
        <v>6030</v>
      </c>
      <c r="J2602" s="3" t="str">
        <f>HYPERLINK("https://www.boe.es/gazeta/dias/1816/12/21/pdfs/GMD-1816-158.pdf#page=4","Abrir facsímil")</f>
        <v>Abrir facsímil</v>
      </c>
      <c r="K2602" s="3" t="s">
        <v>23</v>
      </c>
    </row>
    <row r="2603" spans="1:11" ht="42" customHeight="1">
      <c r="A2603" s="2" t="s">
        <v>6031</v>
      </c>
      <c r="B2603" s="2" t="s">
        <v>6032</v>
      </c>
      <c r="C2603" s="2" t="s">
        <v>26</v>
      </c>
      <c r="D2603" s="2" t="s">
        <v>18</v>
      </c>
      <c r="E2603" s="5">
        <v>-30487</v>
      </c>
      <c r="F2603" s="3" t="s">
        <v>397</v>
      </c>
      <c r="G2603" s="3" t="s">
        <v>47</v>
      </c>
      <c r="H2603" s="2" t="s">
        <v>21</v>
      </c>
      <c r="I2603" s="2" t="s">
        <v>6033</v>
      </c>
      <c r="J2603" s="3" t="str">
        <f>HYPERLINK("https://www.boe.es/gazeta/dias/1816/07/11/pdfs/GMD-1816-86.pdf#page=5","Abrir facsímil")</f>
        <v>Abrir facsímil</v>
      </c>
      <c r="K2603" s="3" t="s">
        <v>23</v>
      </c>
    </row>
    <row r="2604" spans="1:11" ht="42" customHeight="1">
      <c r="A2604" s="2" t="s">
        <v>6034</v>
      </c>
      <c r="B2604" s="2" t="s">
        <v>6035</v>
      </c>
      <c r="C2604" s="2" t="s">
        <v>26</v>
      </c>
      <c r="D2604" s="2" t="s">
        <v>18</v>
      </c>
      <c r="E2604" s="5">
        <v>-30489</v>
      </c>
      <c r="F2604" s="3" t="s">
        <v>1120</v>
      </c>
      <c r="G2604" s="3" t="s">
        <v>28</v>
      </c>
      <c r="H2604" s="2" t="s">
        <v>21</v>
      </c>
      <c r="I2604" s="2" t="s">
        <v>6036</v>
      </c>
      <c r="J2604" s="3" t="str">
        <f>HYPERLINK("https://www.boe.es/gazeta/dias/1816/07/09/pdfs/GMD-1816-85.pdf#page=6","Abrir facsímil")</f>
        <v>Abrir facsímil</v>
      </c>
      <c r="K2604" s="3" t="s">
        <v>23</v>
      </c>
    </row>
    <row r="2605" spans="1:11" ht="42" customHeight="1">
      <c r="A2605" s="2" t="s">
        <v>6037</v>
      </c>
      <c r="B2605" s="2" t="s">
        <v>6038</v>
      </c>
      <c r="C2605" s="2" t="s">
        <v>26</v>
      </c>
      <c r="D2605" s="2" t="s">
        <v>18</v>
      </c>
      <c r="E2605" s="5">
        <v>-30499</v>
      </c>
      <c r="F2605" s="3" t="s">
        <v>971</v>
      </c>
      <c r="G2605" s="3" t="s">
        <v>2505</v>
      </c>
      <c r="H2605" s="2" t="s">
        <v>21</v>
      </c>
      <c r="I2605" s="2" t="s">
        <v>6039</v>
      </c>
      <c r="J2605" s="3" t="str">
        <f>HYPERLINK("https://www.boe.es/gazeta/dias/1816/06/29/pdfs/GMD-1816-81.pdf#page=4","Abrir facsímil")</f>
        <v>Abrir facsímil</v>
      </c>
      <c r="K2605" s="3" t="s">
        <v>23</v>
      </c>
    </row>
    <row r="2606" spans="1:11" ht="42" customHeight="1">
      <c r="A2606" s="2" t="s">
        <v>6040</v>
      </c>
      <c r="B2606" s="2" t="s">
        <v>6041</v>
      </c>
      <c r="C2606" s="2" t="s">
        <v>26</v>
      </c>
      <c r="D2606" s="2" t="s">
        <v>18</v>
      </c>
      <c r="E2606" s="5">
        <v>-30482</v>
      </c>
      <c r="F2606" s="3" t="s">
        <v>370</v>
      </c>
      <c r="G2606" s="3" t="s">
        <v>47</v>
      </c>
      <c r="H2606" s="2" t="s">
        <v>21</v>
      </c>
      <c r="I2606" s="2" t="s">
        <v>6042</v>
      </c>
      <c r="J2606" s="3" t="str">
        <f>HYPERLINK("https://www.boe.es/gazeta/dias/1816/07/16/pdfs/GMD-1816-88.pdf#page=5","Abrir facsímil")</f>
        <v>Abrir facsímil</v>
      </c>
      <c r="K2606" s="3" t="s">
        <v>23</v>
      </c>
    </row>
    <row r="2607" spans="1:11" ht="42" customHeight="1">
      <c r="A2607" s="2" t="s">
        <v>6043</v>
      </c>
      <c r="B2607" s="2" t="s">
        <v>6044</v>
      </c>
      <c r="C2607" s="2" t="s">
        <v>26</v>
      </c>
      <c r="D2607" s="2" t="s">
        <v>18</v>
      </c>
      <c r="E2607" s="5">
        <v>-30522</v>
      </c>
      <c r="F2607" s="3" t="s">
        <v>282</v>
      </c>
      <c r="G2607" s="3" t="s">
        <v>5310</v>
      </c>
      <c r="H2607" s="2" t="s">
        <v>21</v>
      </c>
      <c r="I2607" s="2" t="s">
        <v>6045</v>
      </c>
      <c r="J2607" s="3" t="str">
        <f>HYPERLINK("https://www.boe.es/gazeta/dias/1816/06/06/pdfs/GMD-1816-71.pdf#page=4","Abrir facsímil")</f>
        <v>Abrir facsímil</v>
      </c>
      <c r="K2607" s="3" t="s">
        <v>23</v>
      </c>
    </row>
    <row r="2608" spans="1:11" ht="42" customHeight="1">
      <c r="A2608" s="2" t="s">
        <v>6046</v>
      </c>
      <c r="B2608" s="2" t="s">
        <v>6047</v>
      </c>
      <c r="C2608" s="2" t="s">
        <v>67</v>
      </c>
      <c r="D2608" s="2" t="s">
        <v>18</v>
      </c>
      <c r="E2608" s="5">
        <v>-30419</v>
      </c>
      <c r="F2608" s="3" t="s">
        <v>1256</v>
      </c>
      <c r="G2608" s="3" t="s">
        <v>2162</v>
      </c>
      <c r="H2608" s="2" t="s">
        <v>21</v>
      </c>
      <c r="I2608" s="2" t="s">
        <v>6048</v>
      </c>
      <c r="J2608" s="3" t="str">
        <f>HYPERLINK("https://www.boe.es/gazeta/dias/1816/09/17/pdfs/GMD-1816-115.pdf#page=8","Abrir facsímil")</f>
        <v>Abrir facsímil</v>
      </c>
      <c r="K2608" s="3" t="s">
        <v>23</v>
      </c>
    </row>
    <row r="2609" spans="1:11" ht="42" customHeight="1">
      <c r="A2609" s="2" t="s">
        <v>6049</v>
      </c>
      <c r="B2609" s="2" t="s">
        <v>6049</v>
      </c>
      <c r="C2609" s="2" t="s">
        <v>26</v>
      </c>
      <c r="D2609" s="2" t="s">
        <v>18</v>
      </c>
      <c r="E2609" s="5">
        <v>-30443</v>
      </c>
      <c r="F2609" s="3" t="s">
        <v>259</v>
      </c>
      <c r="G2609" s="3" t="s">
        <v>47</v>
      </c>
      <c r="H2609" s="2" t="s">
        <v>21</v>
      </c>
      <c r="I2609" s="2" t="s">
        <v>6050</v>
      </c>
      <c r="J2609" s="3" t="str">
        <f>HYPERLINK("https://www.boe.es/gazeta/dias/1816/08/24/pdfs/GMD-1816-105.pdf#page=5","Abrir facsímil")</f>
        <v>Abrir facsímil</v>
      </c>
      <c r="K2609" s="3" t="s">
        <v>23</v>
      </c>
    </row>
    <row r="2610" spans="1:11" ht="42" customHeight="1">
      <c r="A2610" s="2" t="s">
        <v>6051</v>
      </c>
      <c r="B2610" s="2" t="s">
        <v>6052</v>
      </c>
      <c r="C2610" s="2" t="s">
        <v>41</v>
      </c>
      <c r="D2610" s="2" t="s">
        <v>18</v>
      </c>
      <c r="E2610" s="5">
        <v>-30494</v>
      </c>
      <c r="F2610" s="3" t="s">
        <v>174</v>
      </c>
      <c r="G2610" s="3" t="s">
        <v>28</v>
      </c>
      <c r="H2610" s="2" t="s">
        <v>29</v>
      </c>
      <c r="I2610" s="2" t="s">
        <v>6053</v>
      </c>
      <c r="J2610" s="3" t="str">
        <f>HYPERLINK("https://www.boe.es/gazeta/dias/1816/07/04/pdfs/GMD-1816-83.pdf#page=6","Abrir facsímil")</f>
        <v>Abrir facsímil</v>
      </c>
      <c r="K2610" s="3" t="s">
        <v>31</v>
      </c>
    </row>
    <row r="2611" spans="1:11" ht="42" customHeight="1">
      <c r="A2611" s="2" t="s">
        <v>6054</v>
      </c>
      <c r="B2611" s="2" t="s">
        <v>6055</v>
      </c>
      <c r="C2611" s="2" t="s">
        <v>26</v>
      </c>
      <c r="D2611" s="2" t="s">
        <v>18</v>
      </c>
      <c r="E2611" s="5">
        <v>-30524</v>
      </c>
      <c r="F2611" s="3" t="s">
        <v>98</v>
      </c>
      <c r="G2611" s="3" t="s">
        <v>47</v>
      </c>
      <c r="H2611" s="2" t="s">
        <v>21</v>
      </c>
      <c r="I2611" s="2" t="s">
        <v>6056</v>
      </c>
      <c r="J2611" s="3" t="str">
        <f>HYPERLINK("https://www.boe.es/gazeta/dias/1816/06/04/pdfs/GMD-1816-70.pdf#page=5","Abrir facsímil")</f>
        <v>Abrir facsímil</v>
      </c>
      <c r="K2611" s="3" t="s">
        <v>23</v>
      </c>
    </row>
    <row r="2612" spans="1:11" ht="42" customHeight="1">
      <c r="A2612" s="2" t="s">
        <v>6057</v>
      </c>
      <c r="B2612" s="2" t="s">
        <v>6058</v>
      </c>
      <c r="C2612" s="2" t="s">
        <v>26</v>
      </c>
      <c r="D2612" s="2" t="s">
        <v>18</v>
      </c>
      <c r="E2612" s="5">
        <v>-30454</v>
      </c>
      <c r="F2612" s="3" t="s">
        <v>188</v>
      </c>
      <c r="G2612" s="3" t="s">
        <v>52</v>
      </c>
      <c r="H2612" s="2" t="s">
        <v>29</v>
      </c>
      <c r="I2612" s="2" t="s">
        <v>6059</v>
      </c>
      <c r="J2612" s="3" t="str">
        <f>HYPERLINK("https://www.boe.es/gazeta/dias/1816/08/13/pdfs/GMD-1816-100.pdf#page=12","Abrir facsímil")</f>
        <v>Abrir facsímil</v>
      </c>
      <c r="K2612" s="3" t="s">
        <v>31</v>
      </c>
    </row>
    <row r="2613" spans="1:11" ht="42" customHeight="1">
      <c r="A2613" s="2" t="s">
        <v>6060</v>
      </c>
      <c r="B2613" s="2" t="s">
        <v>6060</v>
      </c>
      <c r="C2613" s="2" t="s">
        <v>34</v>
      </c>
      <c r="D2613" s="2" t="s">
        <v>35</v>
      </c>
      <c r="E2613" s="5">
        <v>-30534</v>
      </c>
      <c r="F2613" s="3" t="s">
        <v>274</v>
      </c>
      <c r="G2613" s="3" t="s">
        <v>28</v>
      </c>
      <c r="H2613" s="2" t="s">
        <v>21</v>
      </c>
      <c r="I2613" s="2" t="s">
        <v>6061</v>
      </c>
      <c r="J2613" s="3" t="str">
        <f>HYPERLINK("https://www.boe.es/gazeta/dias/1816/05/25/pdfs/GMD-1816-66.pdf#page=6","Abrir facsímil")</f>
        <v>Abrir facsímil</v>
      </c>
      <c r="K2613" s="3" t="s">
        <v>23</v>
      </c>
    </row>
    <row r="2614" spans="1:11" ht="42" customHeight="1">
      <c r="A2614" s="2" t="s">
        <v>6062</v>
      </c>
      <c r="B2614" s="2" t="s">
        <v>6063</v>
      </c>
      <c r="C2614" s="2" t="s">
        <v>111</v>
      </c>
      <c r="D2614" s="2" t="s">
        <v>112</v>
      </c>
      <c r="E2614" s="5">
        <v>-30485</v>
      </c>
      <c r="F2614" s="3" t="s">
        <v>156</v>
      </c>
      <c r="G2614" s="3" t="s">
        <v>42</v>
      </c>
      <c r="H2614" s="2" t="s">
        <v>21</v>
      </c>
      <c r="I2614" s="2" t="s">
        <v>6064</v>
      </c>
      <c r="J2614" s="3" t="str">
        <f>HYPERLINK("https://www.boe.es/gazeta/dias/1816/07/13/pdfs/GMD-1816-87.pdf#page=8","Abrir facsímil")</f>
        <v>Abrir facsímil</v>
      </c>
      <c r="K2614" s="3" t="s">
        <v>23</v>
      </c>
    </row>
    <row r="2615" spans="1:11" ht="42" customHeight="1">
      <c r="A2615" s="2" t="s">
        <v>6065</v>
      </c>
      <c r="B2615" s="2" t="s">
        <v>6066</v>
      </c>
      <c r="C2615" s="2" t="s">
        <v>34</v>
      </c>
      <c r="D2615" s="2" t="s">
        <v>35</v>
      </c>
      <c r="E2615" s="5">
        <v>-30445</v>
      </c>
      <c r="F2615" s="3" t="s">
        <v>51</v>
      </c>
      <c r="G2615" s="3" t="s">
        <v>180</v>
      </c>
      <c r="H2615" s="2" t="s">
        <v>21</v>
      </c>
      <c r="I2615" s="2" t="s">
        <v>6067</v>
      </c>
      <c r="J2615" s="3" t="str">
        <f>HYPERLINK("https://www.boe.es/gazeta/dias/1816/08/22/pdfs/GMD-1816-104.pdf#page=10","Abrir facsímil")</f>
        <v>Abrir facsímil</v>
      </c>
      <c r="K2615" s="3" t="s">
        <v>23</v>
      </c>
    </row>
    <row r="2616" spans="1:11" ht="42" customHeight="1">
      <c r="A2616" s="2" t="s">
        <v>6068</v>
      </c>
      <c r="B2616" s="2" t="s">
        <v>6068</v>
      </c>
      <c r="C2616" s="2" t="s">
        <v>17</v>
      </c>
      <c r="D2616" s="2" t="s">
        <v>18</v>
      </c>
      <c r="E2616" s="5">
        <v>-30674</v>
      </c>
      <c r="F2616" s="3" t="s">
        <v>19</v>
      </c>
      <c r="G2616" s="3" t="s">
        <v>47</v>
      </c>
      <c r="H2616" s="2" t="s">
        <v>21</v>
      </c>
      <c r="I2616" s="2" t="s">
        <v>6069</v>
      </c>
      <c r="J2616" s="3" t="str">
        <f>HYPERLINK("https://www.boe.es/gazeta/dias/1816/01/06/pdfs/GMD-1816-3.pdf#page=5","Abrir facsímil")</f>
        <v>Abrir facsímil</v>
      </c>
      <c r="K2616" s="3" t="s">
        <v>23</v>
      </c>
    </row>
    <row r="2617" spans="1:11" ht="42" customHeight="1">
      <c r="A2617" s="2" t="s">
        <v>6070</v>
      </c>
      <c r="B2617" s="2" t="s">
        <v>6071</v>
      </c>
      <c r="C2617" s="2" t="s">
        <v>34</v>
      </c>
      <c r="D2617" s="2" t="s">
        <v>35</v>
      </c>
      <c r="E2617" s="5">
        <v>-30669</v>
      </c>
      <c r="F2617" s="3" t="s">
        <v>3499</v>
      </c>
      <c r="G2617" s="3" t="s">
        <v>42</v>
      </c>
      <c r="H2617" s="2" t="s">
        <v>21</v>
      </c>
      <c r="I2617" s="2" t="s">
        <v>6072</v>
      </c>
      <c r="J2617" s="3" t="str">
        <f>HYPERLINK("https://www.boe.es/gazeta/dias/1816/01/11/pdfs/GMD-1816-5.pdf#page=8","Abrir facsímil")</f>
        <v>Abrir facsímil</v>
      </c>
      <c r="K2617" s="3" t="s">
        <v>23</v>
      </c>
    </row>
    <row r="2618" spans="1:11" ht="42" customHeight="1">
      <c r="A2618" s="2" t="s">
        <v>6073</v>
      </c>
      <c r="B2618" s="2" t="s">
        <v>6074</v>
      </c>
      <c r="C2618" s="2" t="s">
        <v>111</v>
      </c>
      <c r="D2618" s="2" t="s">
        <v>56</v>
      </c>
      <c r="E2618" s="5">
        <v>-30393</v>
      </c>
      <c r="F2618" s="3" t="s">
        <v>202</v>
      </c>
      <c r="G2618" s="3" t="s">
        <v>270</v>
      </c>
      <c r="H2618" s="2" t="s">
        <v>21</v>
      </c>
      <c r="I2618" s="2" t="s">
        <v>6075</v>
      </c>
      <c r="J2618" s="3" t="str">
        <f>HYPERLINK("https://www.boe.es/gazeta/dias/1816/10/13/pdfs/GMD-1816-128E.pdf#page=2","Abrir facsímil")</f>
        <v>Abrir facsímil</v>
      </c>
      <c r="K2618" s="3" t="s">
        <v>23</v>
      </c>
    </row>
    <row r="2619" spans="1:11" ht="42" customHeight="1">
      <c r="A2619" s="2" t="s">
        <v>6076</v>
      </c>
      <c r="B2619" s="2" t="s">
        <v>6077</v>
      </c>
      <c r="C2619" s="2" t="s">
        <v>34</v>
      </c>
      <c r="D2619" s="2" t="s">
        <v>35</v>
      </c>
      <c r="E2619" s="5">
        <v>-30622</v>
      </c>
      <c r="F2619" s="3" t="s">
        <v>27</v>
      </c>
      <c r="G2619" s="3" t="s">
        <v>2083</v>
      </c>
      <c r="H2619" s="2" t="s">
        <v>21</v>
      </c>
      <c r="I2619" s="2" t="s">
        <v>6078</v>
      </c>
      <c r="J2619" s="3" t="str">
        <f>HYPERLINK("https://www.boe.es/gazeta/dias/1816/02/27/pdfs/GMD-1816-26.pdf#page=4","Abrir facsímil")</f>
        <v>Abrir facsímil</v>
      </c>
      <c r="K2619" s="3" t="s">
        <v>23</v>
      </c>
    </row>
    <row r="2620" spans="1:11" ht="42" customHeight="1">
      <c r="A2620" s="2" t="s">
        <v>6079</v>
      </c>
      <c r="B2620" s="2" t="s">
        <v>6080</v>
      </c>
      <c r="C2620" s="2" t="s">
        <v>111</v>
      </c>
      <c r="D2620" s="2" t="s">
        <v>56</v>
      </c>
      <c r="E2620" s="5">
        <v>-30393</v>
      </c>
      <c r="F2620" s="3" t="s">
        <v>202</v>
      </c>
      <c r="G2620" s="3" t="s">
        <v>184</v>
      </c>
      <c r="H2620" s="2" t="s">
        <v>21</v>
      </c>
      <c r="I2620" s="2" t="s">
        <v>6081</v>
      </c>
      <c r="J2620" s="3" t="str">
        <f>HYPERLINK("https://www.boe.es/gazeta/dias/1816/10/13/pdfs/GMD-1816-128E.pdf#page=3","Abrir facsímil")</f>
        <v>Abrir facsímil</v>
      </c>
      <c r="K2620" s="3" t="s">
        <v>23</v>
      </c>
    </row>
    <row r="2621" spans="1:11" ht="42" customHeight="1">
      <c r="A2621" s="2" t="s">
        <v>6082</v>
      </c>
      <c r="B2621" s="2" t="s">
        <v>6083</v>
      </c>
      <c r="C2621" s="2" t="s">
        <v>111</v>
      </c>
      <c r="D2621" s="2" t="s">
        <v>112</v>
      </c>
      <c r="E2621" s="5">
        <v>-30359</v>
      </c>
      <c r="F2621" s="3" t="s">
        <v>812</v>
      </c>
      <c r="G2621" s="3" t="s">
        <v>72</v>
      </c>
      <c r="H2621" s="2" t="s">
        <v>21</v>
      </c>
      <c r="I2621" s="2" t="s">
        <v>6084</v>
      </c>
      <c r="J2621" s="3" t="str">
        <f>HYPERLINK("https://www.boe.es/gazeta/dias/1816/11/16/pdfs/GMD-1816-143.pdf#page=7","Abrir facsímil")</f>
        <v>Abrir facsímil</v>
      </c>
      <c r="K2621" s="3" t="s">
        <v>23</v>
      </c>
    </row>
    <row r="2622" spans="1:11" ht="42" customHeight="1">
      <c r="A2622" s="2" t="s">
        <v>6085</v>
      </c>
      <c r="B2622" s="2" t="s">
        <v>6086</v>
      </c>
      <c r="C2622" s="2" t="s">
        <v>81</v>
      </c>
      <c r="D2622" s="2" t="s">
        <v>18</v>
      </c>
      <c r="E2622" s="5">
        <v>-30492</v>
      </c>
      <c r="F2622" s="3" t="s">
        <v>248</v>
      </c>
      <c r="G2622" s="3" t="s">
        <v>443</v>
      </c>
      <c r="H2622" s="2" t="s">
        <v>29</v>
      </c>
      <c r="I2622" s="2" t="s">
        <v>6087</v>
      </c>
      <c r="J2622" s="3" t="str">
        <f>HYPERLINK("https://www.boe.es/gazeta/dias/1816/07/06/pdfs/GMD-1816-84.pdf#page=12","Abrir facsímil")</f>
        <v>Abrir facsímil</v>
      </c>
      <c r="K2622" s="3" t="s">
        <v>31</v>
      </c>
    </row>
    <row r="2623" spans="1:11" ht="42" customHeight="1">
      <c r="A2623" s="2" t="s">
        <v>6088</v>
      </c>
      <c r="B2623" s="2" t="s">
        <v>6089</v>
      </c>
      <c r="C2623" s="2" t="s">
        <v>34</v>
      </c>
      <c r="D2623" s="2" t="s">
        <v>35</v>
      </c>
      <c r="E2623" s="5">
        <v>-30391</v>
      </c>
      <c r="F2623" s="3" t="s">
        <v>482</v>
      </c>
      <c r="G2623" s="3" t="s">
        <v>28</v>
      </c>
      <c r="H2623" s="2" t="s">
        <v>29</v>
      </c>
      <c r="I2623" s="2" t="s">
        <v>6090</v>
      </c>
      <c r="J2623" s="3" t="str">
        <f>HYPERLINK("https://www.boe.es/gazeta/dias/1816/10/15/pdfs/GMD-1816-129.pdf#page=6","Abrir facsímil")</f>
        <v>Abrir facsímil</v>
      </c>
      <c r="K2623" s="3" t="s">
        <v>31</v>
      </c>
    </row>
    <row r="2624" spans="1:11" ht="42" customHeight="1">
      <c r="A2624" s="2" t="s">
        <v>6091</v>
      </c>
      <c r="B2624" s="2" t="s">
        <v>6091</v>
      </c>
      <c r="C2624" s="2" t="s">
        <v>111</v>
      </c>
      <c r="D2624" s="2" t="s">
        <v>112</v>
      </c>
      <c r="E2624" s="5">
        <v>-30324</v>
      </c>
      <c r="F2624" s="3" t="s">
        <v>46</v>
      </c>
      <c r="G2624" s="3" t="s">
        <v>42</v>
      </c>
      <c r="H2624" s="2" t="s">
        <v>21</v>
      </c>
      <c r="I2624" s="2" t="s">
        <v>6092</v>
      </c>
      <c r="J2624" s="3" t="str">
        <f>HYPERLINK("https://www.boe.es/gazeta/dias/1816/12/21/pdfs/GMD-1816-158.pdf#page=8","Abrir facsímil")</f>
        <v>Abrir facsímil</v>
      </c>
      <c r="K2624" s="3" t="s">
        <v>23</v>
      </c>
    </row>
    <row r="2625" spans="1:11" ht="42" customHeight="1">
      <c r="A2625" s="2" t="s">
        <v>6093</v>
      </c>
      <c r="B2625" s="2" t="s">
        <v>6094</v>
      </c>
      <c r="C2625" s="2" t="s">
        <v>111</v>
      </c>
      <c r="D2625" s="2" t="s">
        <v>56</v>
      </c>
      <c r="E2625" s="5">
        <v>-30393</v>
      </c>
      <c r="F2625" s="3" t="s">
        <v>202</v>
      </c>
      <c r="G2625" s="3" t="s">
        <v>270</v>
      </c>
      <c r="H2625" s="2" t="s">
        <v>21</v>
      </c>
      <c r="I2625" s="2" t="s">
        <v>6095</v>
      </c>
      <c r="J2625" s="3" t="str">
        <f>HYPERLINK("https://www.boe.es/gazeta/dias/1816/10/13/pdfs/GMD-1816-128E.pdf#page=2","Abrir facsímil")</f>
        <v>Abrir facsímil</v>
      </c>
      <c r="K2625" s="3" t="s">
        <v>23</v>
      </c>
    </row>
    <row r="2626" spans="1:11" ht="42" customHeight="1">
      <c r="A2626" s="2" t="s">
        <v>6096</v>
      </c>
      <c r="B2626" s="2" t="s">
        <v>6096</v>
      </c>
      <c r="C2626" s="2" t="s">
        <v>26</v>
      </c>
      <c r="D2626" s="2" t="s">
        <v>18</v>
      </c>
      <c r="E2626" s="5">
        <v>-30424</v>
      </c>
      <c r="F2626" s="3" t="s">
        <v>142</v>
      </c>
      <c r="G2626" s="3" t="s">
        <v>175</v>
      </c>
      <c r="H2626" s="2" t="s">
        <v>21</v>
      </c>
      <c r="I2626" s="2" t="s">
        <v>6097</v>
      </c>
      <c r="J2626" s="3" t="str">
        <f>HYPERLINK("https://www.boe.es/gazeta/dias/1816/09/12/pdfs/GMD-1816-113.pdf#page=11","Abrir facsímil")</f>
        <v>Abrir facsímil</v>
      </c>
      <c r="K2626" s="3" t="s">
        <v>23</v>
      </c>
    </row>
    <row r="2627" spans="1:11" ht="42" customHeight="1">
      <c r="A2627" s="2" t="s">
        <v>6098</v>
      </c>
      <c r="B2627" s="2" t="s">
        <v>6098</v>
      </c>
      <c r="C2627" s="2" t="s">
        <v>111</v>
      </c>
      <c r="D2627" s="2" t="s">
        <v>112</v>
      </c>
      <c r="E2627" s="5">
        <v>-30450</v>
      </c>
      <c r="F2627" s="3" t="s">
        <v>349</v>
      </c>
      <c r="G2627" s="3" t="s">
        <v>42</v>
      </c>
      <c r="H2627" s="2" t="s">
        <v>21</v>
      </c>
      <c r="I2627" s="2" t="s">
        <v>6099</v>
      </c>
      <c r="J2627" s="3" t="str">
        <f>HYPERLINK("https://www.boe.es/gazeta/dias/1816/08/17/pdfs/GMD-1816-102.pdf#page=8","Abrir facsímil")</f>
        <v>Abrir facsímil</v>
      </c>
      <c r="K2627" s="3" t="s">
        <v>23</v>
      </c>
    </row>
    <row r="2628" spans="1:11" ht="42" customHeight="1">
      <c r="A2628" s="2" t="s">
        <v>6100</v>
      </c>
      <c r="B2628" s="2" t="s">
        <v>6101</v>
      </c>
      <c r="C2628" s="2" t="s">
        <v>41</v>
      </c>
      <c r="D2628" s="2" t="s">
        <v>18</v>
      </c>
      <c r="E2628" s="5">
        <v>-30527</v>
      </c>
      <c r="F2628" s="3" t="s">
        <v>304</v>
      </c>
      <c r="G2628" s="3" t="s">
        <v>103</v>
      </c>
      <c r="H2628" s="2" t="s">
        <v>21</v>
      </c>
      <c r="I2628" s="2" t="s">
        <v>6102</v>
      </c>
      <c r="J2628" s="3" t="str">
        <f>HYPERLINK("https://www.boe.es/gazeta/dias/1816/06/01/pdfs/GMD-1816-69.pdf#page=4","Abrir facsímil")</f>
        <v>Abrir facsímil</v>
      </c>
      <c r="K2628" s="3" t="s">
        <v>23</v>
      </c>
    </row>
    <row r="2629" spans="1:11" ht="42" customHeight="1">
      <c r="A2629" s="2" t="s">
        <v>6103</v>
      </c>
      <c r="B2629" s="2" t="s">
        <v>6104</v>
      </c>
      <c r="C2629" s="2" t="s">
        <v>81</v>
      </c>
      <c r="D2629" s="2" t="s">
        <v>18</v>
      </c>
      <c r="E2629" s="5">
        <v>-30475</v>
      </c>
      <c r="F2629" s="3" t="s">
        <v>319</v>
      </c>
      <c r="G2629" s="3" t="s">
        <v>103</v>
      </c>
      <c r="H2629" s="2" t="s">
        <v>21</v>
      </c>
      <c r="I2629" s="2" t="s">
        <v>6105</v>
      </c>
      <c r="J2629" s="3" t="str">
        <f>HYPERLINK("https://www.boe.es/gazeta/dias/1816/07/23/pdfs/GMD-1816-91.pdf#page=4","Abrir facsímil")</f>
        <v>Abrir facsímil</v>
      </c>
      <c r="K2629" s="3" t="s">
        <v>23</v>
      </c>
    </row>
    <row r="2630" spans="1:11" ht="42" customHeight="1">
      <c r="A2630" s="2" t="s">
        <v>6106</v>
      </c>
      <c r="B2630" s="2" t="s">
        <v>6107</v>
      </c>
      <c r="C2630" s="2" t="s">
        <v>17</v>
      </c>
      <c r="D2630" s="2" t="s">
        <v>18</v>
      </c>
      <c r="E2630" s="5">
        <v>-30333</v>
      </c>
      <c r="F2630" s="3" t="s">
        <v>1005</v>
      </c>
      <c r="G2630" s="3" t="s">
        <v>72</v>
      </c>
      <c r="H2630" s="2" t="s">
        <v>21</v>
      </c>
      <c r="I2630" s="2" t="s">
        <v>6108</v>
      </c>
      <c r="J2630" s="3" t="str">
        <f>HYPERLINK("https://www.boe.es/gazeta/dias/1816/12/12/pdfs/GMD-1816-154.pdf#page=7","Abrir facsímil")</f>
        <v>Abrir facsímil</v>
      </c>
      <c r="K2630" s="3" t="s">
        <v>23</v>
      </c>
    </row>
    <row r="2631" spans="1:11" ht="42" customHeight="1">
      <c r="A2631" s="2" t="s">
        <v>6109</v>
      </c>
      <c r="B2631" s="2" t="s">
        <v>6110</v>
      </c>
      <c r="C2631" s="2" t="s">
        <v>67</v>
      </c>
      <c r="D2631" s="2" t="s">
        <v>18</v>
      </c>
      <c r="E2631" s="5">
        <v>-30426</v>
      </c>
      <c r="F2631" s="3" t="s">
        <v>779</v>
      </c>
      <c r="G2631" s="3" t="s">
        <v>28</v>
      </c>
      <c r="H2631" s="2" t="s">
        <v>21</v>
      </c>
      <c r="I2631" s="2" t="s">
        <v>6111</v>
      </c>
      <c r="J2631" s="3" t="str">
        <f>HYPERLINK("https://www.boe.es/gazeta/dias/1816/09/10/pdfs/GMD-1816-112.pdf#page=6","Abrir facsímil")</f>
        <v>Abrir facsímil</v>
      </c>
      <c r="K2631" s="3" t="s">
        <v>23</v>
      </c>
    </row>
    <row r="2632" spans="1:11" ht="42" customHeight="1">
      <c r="A2632" s="2" t="s">
        <v>6112</v>
      </c>
      <c r="B2632" s="2" t="s">
        <v>6113</v>
      </c>
      <c r="C2632" s="2" t="s">
        <v>34</v>
      </c>
      <c r="D2632" s="2" t="s">
        <v>35</v>
      </c>
      <c r="E2632" s="5">
        <v>-30475</v>
      </c>
      <c r="F2632" s="3" t="s">
        <v>319</v>
      </c>
      <c r="G2632" s="3" t="s">
        <v>270</v>
      </c>
      <c r="H2632" s="2" t="s">
        <v>21</v>
      </c>
      <c r="I2632" s="2" t="s">
        <v>6114</v>
      </c>
      <c r="J2632" s="3" t="str">
        <f>HYPERLINK("https://www.boe.es/gazeta/dias/1816/07/23/pdfs/GMD-1816-91.pdf#page=2","Abrir facsímil")</f>
        <v>Abrir facsímil</v>
      </c>
      <c r="K2632" s="3" t="s">
        <v>23</v>
      </c>
    </row>
    <row r="2633" spans="1:11" ht="42" customHeight="1">
      <c r="A2633" s="2" t="s">
        <v>6115</v>
      </c>
      <c r="B2633" s="2" t="s">
        <v>6115</v>
      </c>
      <c r="C2633" s="2" t="s">
        <v>17</v>
      </c>
      <c r="D2633" s="2" t="s">
        <v>18</v>
      </c>
      <c r="E2633" s="5">
        <v>-30639</v>
      </c>
      <c r="F2633" s="3" t="s">
        <v>87</v>
      </c>
      <c r="G2633" s="3" t="s">
        <v>42</v>
      </c>
      <c r="H2633" s="2" t="s">
        <v>21</v>
      </c>
      <c r="I2633" s="2" t="s">
        <v>6116</v>
      </c>
      <c r="J2633" s="3" t="str">
        <f>HYPERLINK("https://www.boe.es/gazeta/dias/1816/02/10/pdfs/GMD-1816-19.pdf#page=8","Abrir facsímil")</f>
        <v>Abrir facsímil</v>
      </c>
      <c r="K2633" s="3" t="s">
        <v>23</v>
      </c>
    </row>
    <row r="2634" spans="1:11" ht="42" customHeight="1">
      <c r="A2634" s="2" t="s">
        <v>6117</v>
      </c>
      <c r="B2634" s="2" t="s">
        <v>6118</v>
      </c>
      <c r="C2634" s="2" t="s">
        <v>34</v>
      </c>
      <c r="D2634" s="2" t="s">
        <v>35</v>
      </c>
      <c r="E2634" s="5">
        <v>-30389</v>
      </c>
      <c r="F2634" s="3" t="s">
        <v>522</v>
      </c>
      <c r="G2634" s="3" t="s">
        <v>47</v>
      </c>
      <c r="H2634" s="2" t="s">
        <v>29</v>
      </c>
      <c r="I2634" s="2" t="s">
        <v>6119</v>
      </c>
      <c r="J2634" s="3" t="str">
        <f>HYPERLINK("https://www.boe.es/gazeta/dias/1816/10/17/pdfs/GMD-1816-130.pdf#page=5","Abrir facsímil")</f>
        <v>Abrir facsímil</v>
      </c>
      <c r="K2634" s="3" t="s">
        <v>31</v>
      </c>
    </row>
    <row r="2635" spans="1:11" ht="42" customHeight="1">
      <c r="A2635" s="2" t="s">
        <v>6120</v>
      </c>
      <c r="B2635" s="2" t="s">
        <v>6120</v>
      </c>
      <c r="C2635" s="2" t="s">
        <v>26</v>
      </c>
      <c r="D2635" s="2" t="s">
        <v>18</v>
      </c>
      <c r="E2635" s="5">
        <v>-30592</v>
      </c>
      <c r="F2635" s="3" t="s">
        <v>236</v>
      </c>
      <c r="G2635" s="3" t="s">
        <v>42</v>
      </c>
      <c r="H2635" s="2" t="s">
        <v>21</v>
      </c>
      <c r="I2635" s="2" t="s">
        <v>6121</v>
      </c>
      <c r="J2635" s="3" t="str">
        <f>HYPERLINK("https://www.boe.es/gazeta/dias/1816/03/28/pdfs/GMD-1816-41.pdf#page=8","Abrir facsímil")</f>
        <v>Abrir facsímil</v>
      </c>
      <c r="K2635" s="3" t="s">
        <v>23</v>
      </c>
    </row>
    <row r="2636" spans="1:11" ht="42" customHeight="1">
      <c r="A2636" s="2" t="s">
        <v>6120</v>
      </c>
      <c r="B2636" s="2" t="s">
        <v>6120</v>
      </c>
      <c r="C2636" s="2" t="s">
        <v>26</v>
      </c>
      <c r="D2636" s="2" t="s">
        <v>18</v>
      </c>
      <c r="E2636" s="5">
        <v>-30436</v>
      </c>
      <c r="F2636" s="3" t="s">
        <v>102</v>
      </c>
      <c r="G2636" s="3" t="s">
        <v>184</v>
      </c>
      <c r="H2636" s="2" t="s">
        <v>21</v>
      </c>
      <c r="I2636" s="2" t="s">
        <v>6122</v>
      </c>
      <c r="J2636" s="3" t="str">
        <f>HYPERLINK("https://www.boe.es/gazeta/dias/1816/08/31/pdfs/GMD-1816-108.pdf#page=3","Abrir facsímil")</f>
        <v>Abrir facsímil</v>
      </c>
      <c r="K2636" s="3" t="s">
        <v>23</v>
      </c>
    </row>
    <row r="2637" spans="1:11" ht="42" customHeight="1">
      <c r="A2637" s="2" t="s">
        <v>6123</v>
      </c>
      <c r="B2637" s="2" t="s">
        <v>6123</v>
      </c>
      <c r="C2637" s="2" t="s">
        <v>387</v>
      </c>
      <c r="D2637" s="2" t="s">
        <v>18</v>
      </c>
      <c r="E2637" s="5">
        <v>-30597</v>
      </c>
      <c r="F2637" s="3" t="s">
        <v>696</v>
      </c>
      <c r="G2637" s="3" t="s">
        <v>5227</v>
      </c>
      <c r="H2637" s="2" t="s">
        <v>21</v>
      </c>
      <c r="I2637" s="2" t="s">
        <v>6124</v>
      </c>
      <c r="J2637" s="3" t="str">
        <f>HYPERLINK("https://www.boe.es/gazeta/dias/1816/03/23/pdfs/GMD-1816-39.pdf#page=8","Abrir facsímil")</f>
        <v>Abrir facsímil</v>
      </c>
      <c r="K2637" s="3" t="s">
        <v>23</v>
      </c>
    </row>
    <row r="2638" spans="1:11" ht="42" customHeight="1">
      <c r="A2638" s="2" t="s">
        <v>6123</v>
      </c>
      <c r="B2638" s="2" t="s">
        <v>6123</v>
      </c>
      <c r="C2638" s="2" t="s">
        <v>41</v>
      </c>
      <c r="D2638" s="2" t="s">
        <v>18</v>
      </c>
      <c r="E2638" s="5">
        <v>-30590</v>
      </c>
      <c r="F2638" s="3" t="s">
        <v>195</v>
      </c>
      <c r="G2638" s="3" t="s">
        <v>42</v>
      </c>
      <c r="H2638" s="2" t="s">
        <v>21</v>
      </c>
      <c r="I2638" s="2" t="s">
        <v>6125</v>
      </c>
      <c r="J2638" s="3" t="str">
        <f>HYPERLINK("https://www.boe.es/gazeta/dias/1816/03/30/pdfs/GMD-1816-42.pdf#page=8","Abrir facsímil")</f>
        <v>Abrir facsímil</v>
      </c>
      <c r="K2638" s="3" t="s">
        <v>23</v>
      </c>
    </row>
    <row r="2639" spans="1:11" ht="42" customHeight="1">
      <c r="A2639" s="2" t="s">
        <v>6123</v>
      </c>
      <c r="B2639" s="2" t="s">
        <v>6123</v>
      </c>
      <c r="C2639" s="2" t="s">
        <v>111</v>
      </c>
      <c r="D2639" s="2" t="s">
        <v>112</v>
      </c>
      <c r="E2639" s="5">
        <v>-30583</v>
      </c>
      <c r="F2639" s="3" t="s">
        <v>241</v>
      </c>
      <c r="G2639" s="3" t="s">
        <v>42</v>
      </c>
      <c r="H2639" s="2" t="s">
        <v>21</v>
      </c>
      <c r="I2639" s="2" t="s">
        <v>6126</v>
      </c>
      <c r="J2639" s="3" t="str">
        <f>HYPERLINK("https://www.boe.es/gazeta/dias/1816/04/06/pdfs/GMD-1816-45.pdf#page=8","Abrir facsímil")</f>
        <v>Abrir facsímil</v>
      </c>
      <c r="K2639" s="3" t="s">
        <v>23</v>
      </c>
    </row>
    <row r="2640" spans="1:11" ht="42" customHeight="1">
      <c r="A2640" s="2" t="s">
        <v>6123</v>
      </c>
      <c r="B2640" s="2" t="s">
        <v>6123</v>
      </c>
      <c r="C2640" s="2" t="s">
        <v>81</v>
      </c>
      <c r="D2640" s="2" t="s">
        <v>18</v>
      </c>
      <c r="E2640" s="5">
        <v>-30571</v>
      </c>
      <c r="F2640" s="3" t="s">
        <v>738</v>
      </c>
      <c r="G2640" s="3" t="s">
        <v>42</v>
      </c>
      <c r="H2640" s="2" t="s">
        <v>21</v>
      </c>
      <c r="I2640" s="2" t="s">
        <v>6127</v>
      </c>
      <c r="J2640" s="3" t="str">
        <f>HYPERLINK("https://www.boe.es/gazeta/dias/1816/04/18/pdfs/GMD-1816-50.pdf#page=8","Abrir facsímil")</f>
        <v>Abrir facsímil</v>
      </c>
      <c r="K2640" s="3" t="s">
        <v>23</v>
      </c>
    </row>
    <row r="2641" spans="1:11" ht="42" customHeight="1">
      <c r="A2641" s="2" t="s">
        <v>6128</v>
      </c>
      <c r="B2641" s="2" t="s">
        <v>6129</v>
      </c>
      <c r="C2641" s="2" t="s">
        <v>81</v>
      </c>
      <c r="D2641" s="2" t="s">
        <v>18</v>
      </c>
      <c r="E2641" s="5">
        <v>-30319</v>
      </c>
      <c r="F2641" s="3" t="s">
        <v>131</v>
      </c>
      <c r="G2641" s="3" t="s">
        <v>2122</v>
      </c>
      <c r="H2641" s="2" t="s">
        <v>21</v>
      </c>
      <c r="I2641" s="2" t="s">
        <v>6130</v>
      </c>
      <c r="J2641" s="3" t="str">
        <f>HYPERLINK("https://www.boe.es/gazeta/dias/1816/12/26/pdfs/GMD-1816-160.pdf#page=7","Abrir facsímil")</f>
        <v>Abrir facsímil</v>
      </c>
      <c r="K2641" s="3" t="s">
        <v>23</v>
      </c>
    </row>
    <row r="2642" spans="1:11" ht="42" customHeight="1">
      <c r="A2642" s="2" t="s">
        <v>6131</v>
      </c>
      <c r="B2642" s="2" t="s">
        <v>6132</v>
      </c>
      <c r="C2642" s="2" t="s">
        <v>111</v>
      </c>
      <c r="D2642" s="2" t="s">
        <v>112</v>
      </c>
      <c r="E2642" s="5">
        <v>-30515</v>
      </c>
      <c r="F2642" s="3" t="s">
        <v>2452</v>
      </c>
      <c r="G2642" s="3" t="s">
        <v>3166</v>
      </c>
      <c r="H2642" s="2" t="s">
        <v>21</v>
      </c>
      <c r="I2642" s="2" t="s">
        <v>6133</v>
      </c>
      <c r="J2642" s="3" t="str">
        <f>HYPERLINK("https://www.boe.es/gazeta/dias/1816/06/13/pdfs/GMD-1816-74.pdf#page=6","Abrir facsímil")</f>
        <v>Abrir facsímil</v>
      </c>
      <c r="K2642" s="3" t="s">
        <v>23</v>
      </c>
    </row>
    <row r="2643" spans="1:11" ht="42" customHeight="1">
      <c r="A2643" s="2" t="s">
        <v>6134</v>
      </c>
      <c r="B2643" s="2" t="s">
        <v>6135</v>
      </c>
      <c r="C2643" s="2" t="s">
        <v>81</v>
      </c>
      <c r="D2643" s="2" t="s">
        <v>18</v>
      </c>
      <c r="E2643" s="5">
        <v>-30636</v>
      </c>
      <c r="F2643" s="3" t="s">
        <v>82</v>
      </c>
      <c r="G2643" s="3" t="s">
        <v>83</v>
      </c>
      <c r="H2643" s="2" t="s">
        <v>29</v>
      </c>
      <c r="I2643" s="2" t="s">
        <v>6136</v>
      </c>
      <c r="J2643" s="3" t="str">
        <f>HYPERLINK("https://www.boe.es/gazeta/dias/1816/02/13/pdfs/GMD-1816-20.pdf#page=8","Abrir facsímil")</f>
        <v>Abrir facsímil</v>
      </c>
      <c r="K2643" s="3" t="s">
        <v>31</v>
      </c>
    </row>
    <row r="2644" spans="1:11" ht="42" customHeight="1">
      <c r="A2644" s="2" t="s">
        <v>6137</v>
      </c>
      <c r="B2644" s="2" t="s">
        <v>6137</v>
      </c>
      <c r="C2644" s="2" t="s">
        <v>67</v>
      </c>
      <c r="D2644" s="2" t="s">
        <v>18</v>
      </c>
      <c r="E2644" s="5">
        <v>-30436</v>
      </c>
      <c r="F2644" s="3" t="s">
        <v>102</v>
      </c>
      <c r="G2644" s="3" t="s">
        <v>52</v>
      </c>
      <c r="H2644" s="2" t="s">
        <v>21</v>
      </c>
      <c r="I2644" s="2" t="s">
        <v>6138</v>
      </c>
      <c r="J2644" s="3" t="str">
        <f>HYPERLINK("https://www.boe.es/gazeta/dias/1816/08/31/pdfs/GMD-1816-108.pdf#page=12","Abrir facsímil")</f>
        <v>Abrir facsímil</v>
      </c>
      <c r="K2644" s="3" t="s">
        <v>23</v>
      </c>
    </row>
    <row r="2645" spans="1:11" ht="42" customHeight="1">
      <c r="A2645" s="2" t="s">
        <v>6139</v>
      </c>
      <c r="B2645" s="2" t="s">
        <v>6140</v>
      </c>
      <c r="C2645" s="2" t="s">
        <v>26</v>
      </c>
      <c r="D2645" s="2" t="s">
        <v>18</v>
      </c>
      <c r="E2645" s="5">
        <v>-30450</v>
      </c>
      <c r="F2645" s="3" t="s">
        <v>349</v>
      </c>
      <c r="G2645" s="3" t="s">
        <v>28</v>
      </c>
      <c r="H2645" s="2" t="s">
        <v>21</v>
      </c>
      <c r="I2645" s="2" t="s">
        <v>6141</v>
      </c>
      <c r="J2645" s="3" t="str">
        <f>HYPERLINK("https://www.boe.es/gazeta/dias/1816/08/17/pdfs/GMD-1816-102.pdf#page=6","Abrir facsímil")</f>
        <v>Abrir facsímil</v>
      </c>
      <c r="K2645" s="3" t="s">
        <v>23</v>
      </c>
    </row>
    <row r="2646" spans="1:11" ht="42" customHeight="1">
      <c r="A2646" s="2" t="s">
        <v>6142</v>
      </c>
      <c r="B2646" s="2" t="s">
        <v>6143</v>
      </c>
      <c r="C2646" s="2" t="s">
        <v>26</v>
      </c>
      <c r="D2646" s="2" t="s">
        <v>18</v>
      </c>
      <c r="E2646" s="5">
        <v>-30354</v>
      </c>
      <c r="F2646" s="3" t="s">
        <v>68</v>
      </c>
      <c r="G2646" s="3" t="s">
        <v>72</v>
      </c>
      <c r="H2646" s="2" t="s">
        <v>21</v>
      </c>
      <c r="I2646" s="2" t="s">
        <v>6144</v>
      </c>
      <c r="J2646" s="3" t="str">
        <f>HYPERLINK("https://www.boe.es/gazeta/dias/1816/11/21/pdfs/GMD-1816-145.pdf#page=7","Abrir facsímil")</f>
        <v>Abrir facsímil</v>
      </c>
      <c r="K2646" s="3" t="s">
        <v>23</v>
      </c>
    </row>
    <row r="2647" spans="1:11" ht="42" customHeight="1">
      <c r="A2647" s="2" t="s">
        <v>6145</v>
      </c>
      <c r="B2647" s="2" t="s">
        <v>6145</v>
      </c>
      <c r="C2647" s="2" t="s">
        <v>111</v>
      </c>
      <c r="D2647" s="2" t="s">
        <v>112</v>
      </c>
      <c r="E2647" s="5">
        <v>-30366</v>
      </c>
      <c r="F2647" s="3" t="s">
        <v>179</v>
      </c>
      <c r="G2647" s="3" t="s">
        <v>28</v>
      </c>
      <c r="H2647" s="2" t="s">
        <v>21</v>
      </c>
      <c r="I2647" s="2" t="s">
        <v>6146</v>
      </c>
      <c r="J2647" s="3" t="str">
        <f>HYPERLINK("https://www.boe.es/gazeta/dias/1816/11/09/pdfs/GMD-1816-140.pdf#page=6","Abrir facsímil")</f>
        <v>Abrir facsímil</v>
      </c>
      <c r="K2647" s="3" t="s">
        <v>23</v>
      </c>
    </row>
    <row r="2648" spans="1:11" ht="42" customHeight="1">
      <c r="A2648" s="2" t="s">
        <v>6147</v>
      </c>
      <c r="B2648" s="2" t="s">
        <v>6147</v>
      </c>
      <c r="C2648" s="2" t="s">
        <v>34</v>
      </c>
      <c r="D2648" s="2" t="s">
        <v>35</v>
      </c>
      <c r="E2648" s="5">
        <v>-30587</v>
      </c>
      <c r="F2648" s="3" t="s">
        <v>341</v>
      </c>
      <c r="G2648" s="3" t="s">
        <v>72</v>
      </c>
      <c r="H2648" s="2" t="s">
        <v>21</v>
      </c>
      <c r="I2648" s="2" t="s">
        <v>6148</v>
      </c>
      <c r="J2648" s="3" t="str">
        <f>HYPERLINK("https://www.boe.es/gazeta/dias/1816/04/02/pdfs/GMD-1816-43.pdf#page=7","Abrir facsímil")</f>
        <v>Abrir facsímil</v>
      </c>
      <c r="K2648" s="3" t="s">
        <v>23</v>
      </c>
    </row>
    <row r="2649" spans="1:11" ht="42" customHeight="1">
      <c r="A2649" s="2" t="s">
        <v>6147</v>
      </c>
      <c r="B2649" s="2" t="s">
        <v>6147</v>
      </c>
      <c r="C2649" s="2" t="s">
        <v>34</v>
      </c>
      <c r="D2649" s="2" t="s">
        <v>35</v>
      </c>
      <c r="E2649" s="5">
        <v>-30510</v>
      </c>
      <c r="F2649" s="3" t="s">
        <v>450</v>
      </c>
      <c r="G2649" s="3" t="s">
        <v>451</v>
      </c>
      <c r="H2649" s="2" t="s">
        <v>21</v>
      </c>
      <c r="I2649" s="2" t="s">
        <v>6149</v>
      </c>
      <c r="J2649" s="3" t="str">
        <f>HYPERLINK("https://www.boe.es/gazeta/dias/1816/06/18/pdfs/GMD-1816-76.pdf#page=8","Abrir facsímil")</f>
        <v>Abrir facsímil</v>
      </c>
      <c r="K2649" s="3" t="s">
        <v>23</v>
      </c>
    </row>
    <row r="2650" spans="1:11" ht="42" customHeight="1">
      <c r="A2650" s="2" t="s">
        <v>6147</v>
      </c>
      <c r="B2650" s="2" t="s">
        <v>6147</v>
      </c>
      <c r="C2650" s="2" t="s">
        <v>34</v>
      </c>
      <c r="D2650" s="2" t="s">
        <v>35</v>
      </c>
      <c r="E2650" s="5">
        <v>-30499</v>
      </c>
      <c r="F2650" s="3" t="s">
        <v>971</v>
      </c>
      <c r="G2650" s="3" t="s">
        <v>972</v>
      </c>
      <c r="H2650" s="2" t="s">
        <v>21</v>
      </c>
      <c r="I2650" s="2" t="s">
        <v>6150</v>
      </c>
      <c r="J2650" s="3" t="str">
        <f>HYPERLINK("https://www.boe.es/gazeta/dias/1816/06/29/pdfs/GMD-1816-81.pdf#page=11","Abrir facsímil")</f>
        <v>Abrir facsímil</v>
      </c>
      <c r="K2650" s="3" t="s">
        <v>23</v>
      </c>
    </row>
    <row r="2651" spans="1:11" ht="42" customHeight="1">
      <c r="A2651" s="2" t="s">
        <v>6147</v>
      </c>
      <c r="B2651" s="2" t="s">
        <v>6147</v>
      </c>
      <c r="C2651" s="2" t="s">
        <v>17</v>
      </c>
      <c r="D2651" s="2" t="s">
        <v>18</v>
      </c>
      <c r="E2651" s="5">
        <v>-30499</v>
      </c>
      <c r="F2651" s="3" t="s">
        <v>971</v>
      </c>
      <c r="G2651" s="3" t="s">
        <v>92</v>
      </c>
      <c r="H2651" s="2" t="s">
        <v>21</v>
      </c>
      <c r="I2651" s="2" t="s">
        <v>6151</v>
      </c>
      <c r="J2651" s="3" t="str">
        <f>HYPERLINK("https://www.boe.es/gazeta/dias/1816/06/29/pdfs/GMD-1816-81.pdf#page=9","Abrir facsímil")</f>
        <v>Abrir facsímil</v>
      </c>
      <c r="K2651" s="3" t="s">
        <v>23</v>
      </c>
    </row>
    <row r="2652" spans="1:11" ht="42" customHeight="1">
      <c r="A2652" s="2" t="s">
        <v>6147</v>
      </c>
      <c r="B2652" s="2" t="s">
        <v>6147</v>
      </c>
      <c r="C2652" s="2" t="s">
        <v>26</v>
      </c>
      <c r="D2652" s="2" t="s">
        <v>18</v>
      </c>
      <c r="E2652" s="5">
        <v>-30438</v>
      </c>
      <c r="F2652" s="3" t="s">
        <v>299</v>
      </c>
      <c r="G2652" s="3" t="s">
        <v>300</v>
      </c>
      <c r="H2652" s="2" t="s">
        <v>21</v>
      </c>
      <c r="I2652" s="2" t="s">
        <v>6152</v>
      </c>
      <c r="J2652" s="3" t="str">
        <f>HYPERLINK("https://www.boe.es/gazeta/dias/1816/08/29/pdfs/GMD-1816-107.pdf#page=12","Abrir facsímil")</f>
        <v>Abrir facsímil</v>
      </c>
      <c r="K2652" s="3" t="s">
        <v>23</v>
      </c>
    </row>
    <row r="2653" spans="1:11" ht="42" customHeight="1">
      <c r="A2653" s="2" t="s">
        <v>6147</v>
      </c>
      <c r="B2653" s="2" t="s">
        <v>6147</v>
      </c>
      <c r="C2653" s="2" t="s">
        <v>34</v>
      </c>
      <c r="D2653" s="2" t="s">
        <v>35</v>
      </c>
      <c r="E2653" s="5">
        <v>-30431</v>
      </c>
      <c r="F2653" s="3" t="s">
        <v>756</v>
      </c>
      <c r="G2653" s="3" t="s">
        <v>72</v>
      </c>
      <c r="H2653" s="2" t="s">
        <v>21</v>
      </c>
      <c r="I2653" s="2" t="s">
        <v>6153</v>
      </c>
      <c r="J2653" s="3" t="str">
        <f>HYPERLINK("https://www.boe.es/gazeta/dias/1816/09/05/pdfs/GMD-1816-110.pdf#page=7","Abrir facsímil")</f>
        <v>Abrir facsímil</v>
      </c>
      <c r="K2653" s="3" t="s">
        <v>23</v>
      </c>
    </row>
    <row r="2654" spans="1:11" ht="42" customHeight="1">
      <c r="A2654" s="2" t="s">
        <v>6147</v>
      </c>
      <c r="B2654" s="2" t="s">
        <v>6147</v>
      </c>
      <c r="C2654" s="2" t="s">
        <v>111</v>
      </c>
      <c r="D2654" s="2" t="s">
        <v>112</v>
      </c>
      <c r="E2654" s="5">
        <v>-30403</v>
      </c>
      <c r="F2654" s="3" t="s">
        <v>1264</v>
      </c>
      <c r="G2654" s="3" t="s">
        <v>2883</v>
      </c>
      <c r="H2654" s="2" t="s">
        <v>21</v>
      </c>
      <c r="I2654" s="2" t="s">
        <v>6154</v>
      </c>
      <c r="J2654" s="3" t="str">
        <f>HYPERLINK("https://www.boe.es/gazeta/dias/1816/10/03/pdfs/GMD-1816-122.pdf#page=8","Abrir facsímil")</f>
        <v>Abrir facsímil</v>
      </c>
      <c r="K2654" s="3" t="s">
        <v>23</v>
      </c>
    </row>
    <row r="2655" spans="1:11" ht="42" customHeight="1">
      <c r="A2655" s="2" t="s">
        <v>6147</v>
      </c>
      <c r="B2655" s="2" t="s">
        <v>6147</v>
      </c>
      <c r="C2655" s="2" t="s">
        <v>41</v>
      </c>
      <c r="D2655" s="2" t="s">
        <v>18</v>
      </c>
      <c r="E2655" s="5">
        <v>-30366</v>
      </c>
      <c r="F2655" s="3" t="s">
        <v>179</v>
      </c>
      <c r="G2655" s="3" t="s">
        <v>180</v>
      </c>
      <c r="H2655" s="2" t="s">
        <v>21</v>
      </c>
      <c r="I2655" s="2" t="s">
        <v>6155</v>
      </c>
      <c r="J2655" s="3" t="str">
        <f>HYPERLINK("https://www.boe.es/gazeta/dias/1816/11/09/pdfs/GMD-1816-140.pdf#page=10","Abrir facsímil")</f>
        <v>Abrir facsímil</v>
      </c>
      <c r="K2655" s="3" t="s">
        <v>23</v>
      </c>
    </row>
    <row r="2656" spans="1:11" ht="42" customHeight="1">
      <c r="A2656" s="2" t="s">
        <v>6147</v>
      </c>
      <c r="B2656" s="2" t="s">
        <v>6147</v>
      </c>
      <c r="C2656" s="2" t="s">
        <v>41</v>
      </c>
      <c r="D2656" s="2" t="s">
        <v>18</v>
      </c>
      <c r="E2656" s="5">
        <v>-30363</v>
      </c>
      <c r="F2656" s="3" t="s">
        <v>570</v>
      </c>
      <c r="G2656" s="3" t="s">
        <v>42</v>
      </c>
      <c r="H2656" s="2" t="s">
        <v>21</v>
      </c>
      <c r="I2656" s="2" t="s">
        <v>6156</v>
      </c>
      <c r="J2656" s="3" t="str">
        <f>HYPERLINK("https://www.boe.es/gazeta/dias/1816/11/12/pdfs/GMD-1816-141.pdf#page=8","Abrir facsímil")</f>
        <v>Abrir facsímil</v>
      </c>
      <c r="K2656" s="3" t="s">
        <v>23</v>
      </c>
    </row>
    <row r="2657" spans="1:11" ht="42" customHeight="1">
      <c r="A2657" s="2" t="s">
        <v>6157</v>
      </c>
      <c r="B2657" s="2" t="s">
        <v>6158</v>
      </c>
      <c r="C2657" s="2" t="s">
        <v>26</v>
      </c>
      <c r="D2657" s="2" t="s">
        <v>18</v>
      </c>
      <c r="E2657" s="5">
        <v>-30387</v>
      </c>
      <c r="F2657" s="3" t="s">
        <v>224</v>
      </c>
      <c r="G2657" s="3" t="s">
        <v>72</v>
      </c>
      <c r="H2657" s="2" t="s">
        <v>21</v>
      </c>
      <c r="I2657" s="2" t="s">
        <v>6159</v>
      </c>
      <c r="J2657" s="3" t="str">
        <f>HYPERLINK("https://www.boe.es/gazeta/dias/1816/10/19/pdfs/GMD-1816-131.pdf#page=7","Abrir facsímil")</f>
        <v>Abrir facsímil</v>
      </c>
      <c r="K2657" s="3" t="s">
        <v>23</v>
      </c>
    </row>
    <row r="2658" spans="1:11" ht="42" customHeight="1">
      <c r="A2658" s="2" t="s">
        <v>6160</v>
      </c>
      <c r="B2658" s="2" t="s">
        <v>6161</v>
      </c>
      <c r="C2658" s="2" t="s">
        <v>34</v>
      </c>
      <c r="D2658" s="2" t="s">
        <v>35</v>
      </c>
      <c r="E2658" s="5">
        <v>-30464</v>
      </c>
      <c r="F2658" s="3" t="s">
        <v>215</v>
      </c>
      <c r="G2658" s="3" t="s">
        <v>175</v>
      </c>
      <c r="H2658" s="2" t="s">
        <v>21</v>
      </c>
      <c r="I2658" s="2" t="s">
        <v>6162</v>
      </c>
      <c r="J2658" s="3" t="str">
        <f>HYPERLINK("https://www.boe.es/gazeta/dias/1816/08/03/pdfs/GMD-1816-96.pdf#page=11","Abrir facsímil")</f>
        <v>Abrir facsímil</v>
      </c>
      <c r="K2658" s="3" t="s">
        <v>23</v>
      </c>
    </row>
    <row r="2659" spans="1:11" ht="42" customHeight="1">
      <c r="A2659" s="2" t="s">
        <v>6163</v>
      </c>
      <c r="B2659" s="2" t="s">
        <v>6163</v>
      </c>
      <c r="C2659" s="2" t="s">
        <v>26</v>
      </c>
      <c r="D2659" s="2" t="s">
        <v>18</v>
      </c>
      <c r="E2659" s="5">
        <v>-30354</v>
      </c>
      <c r="F2659" s="3" t="s">
        <v>68</v>
      </c>
      <c r="G2659" s="3" t="s">
        <v>72</v>
      </c>
      <c r="H2659" s="2" t="s">
        <v>21</v>
      </c>
      <c r="I2659" s="2" t="s">
        <v>6164</v>
      </c>
      <c r="J2659" s="3" t="str">
        <f>HYPERLINK("https://www.boe.es/gazeta/dias/1816/11/21/pdfs/GMD-1816-145.pdf#page=7","Abrir facsímil")</f>
        <v>Abrir facsímil</v>
      </c>
      <c r="K2659" s="3" t="s">
        <v>23</v>
      </c>
    </row>
    <row r="2660" spans="1:11" ht="42" customHeight="1">
      <c r="A2660" s="2" t="s">
        <v>6165</v>
      </c>
      <c r="B2660" s="2" t="s">
        <v>6165</v>
      </c>
      <c r="C2660" s="2" t="s">
        <v>34</v>
      </c>
      <c r="D2660" s="2" t="s">
        <v>35</v>
      </c>
      <c r="E2660" s="5">
        <v>-30660</v>
      </c>
      <c r="F2660" s="3" t="s">
        <v>809</v>
      </c>
      <c r="G2660" s="3" t="s">
        <v>28</v>
      </c>
      <c r="H2660" s="2" t="s">
        <v>21</v>
      </c>
      <c r="I2660" s="2" t="s">
        <v>6166</v>
      </c>
      <c r="J2660" s="3" t="str">
        <f>HYPERLINK("https://www.boe.es/gazeta/dias/1816/01/20/pdfs/GMD-1816-9.pdf#page=6","Abrir facsímil")</f>
        <v>Abrir facsímil</v>
      </c>
      <c r="K2660" s="3" t="s">
        <v>23</v>
      </c>
    </row>
    <row r="2661" spans="1:11" ht="42" customHeight="1">
      <c r="A2661" s="2" t="s">
        <v>6165</v>
      </c>
      <c r="B2661" s="2" t="s">
        <v>6165</v>
      </c>
      <c r="C2661" s="2" t="s">
        <v>17</v>
      </c>
      <c r="D2661" s="2" t="s">
        <v>18</v>
      </c>
      <c r="E2661" s="5">
        <v>-30520</v>
      </c>
      <c r="F2661" s="3" t="s">
        <v>731</v>
      </c>
      <c r="G2661" s="3" t="s">
        <v>47</v>
      </c>
      <c r="H2661" s="2" t="s">
        <v>21</v>
      </c>
      <c r="I2661" s="2" t="s">
        <v>6167</v>
      </c>
      <c r="J2661" s="3" t="str">
        <f>HYPERLINK("https://www.boe.es/gazeta/dias/1816/06/08/pdfs/GMD-1816-72.pdf#page=5","Abrir facsímil")</f>
        <v>Abrir facsímil</v>
      </c>
      <c r="K2661" s="3" t="s">
        <v>23</v>
      </c>
    </row>
    <row r="2662" spans="1:11" ht="42" customHeight="1">
      <c r="A2662" s="2" t="s">
        <v>6165</v>
      </c>
      <c r="B2662" s="2" t="s">
        <v>6165</v>
      </c>
      <c r="C2662" s="2" t="s">
        <v>111</v>
      </c>
      <c r="D2662" s="2" t="s">
        <v>112</v>
      </c>
      <c r="E2662" s="5">
        <v>-30464</v>
      </c>
      <c r="F2662" s="3" t="s">
        <v>215</v>
      </c>
      <c r="G2662" s="3" t="s">
        <v>175</v>
      </c>
      <c r="H2662" s="2" t="s">
        <v>21</v>
      </c>
      <c r="I2662" s="2" t="s">
        <v>6168</v>
      </c>
      <c r="J2662" s="3" t="str">
        <f>HYPERLINK("https://www.boe.es/gazeta/dias/1816/08/03/pdfs/GMD-1816-96.pdf#page=11","Abrir facsímil")</f>
        <v>Abrir facsímil</v>
      </c>
      <c r="K2662" s="3" t="s">
        <v>23</v>
      </c>
    </row>
    <row r="2663" spans="1:11" ht="42" customHeight="1">
      <c r="A2663" s="2" t="s">
        <v>6165</v>
      </c>
      <c r="B2663" s="2" t="s">
        <v>6165</v>
      </c>
      <c r="C2663" s="2" t="s">
        <v>26</v>
      </c>
      <c r="D2663" s="2" t="s">
        <v>18</v>
      </c>
      <c r="E2663" s="5">
        <v>-30438</v>
      </c>
      <c r="F2663" s="3" t="s">
        <v>299</v>
      </c>
      <c r="G2663" s="3" t="s">
        <v>1250</v>
      </c>
      <c r="H2663" s="2" t="s">
        <v>21</v>
      </c>
      <c r="I2663" s="2" t="s">
        <v>6169</v>
      </c>
      <c r="J2663" s="3" t="str">
        <f>HYPERLINK("https://www.boe.es/gazeta/dias/1816/08/29/pdfs/GMD-1816-107.pdf#page=6","Abrir facsímil")</f>
        <v>Abrir facsímil</v>
      </c>
      <c r="K2663" s="3" t="s">
        <v>23</v>
      </c>
    </row>
    <row r="2664" spans="1:11" ht="42" customHeight="1">
      <c r="A2664" s="2" t="s">
        <v>6165</v>
      </c>
      <c r="B2664" s="2" t="s">
        <v>6165</v>
      </c>
      <c r="C2664" s="2" t="s">
        <v>17</v>
      </c>
      <c r="D2664" s="2" t="s">
        <v>18</v>
      </c>
      <c r="E2664" s="5">
        <v>-30431</v>
      </c>
      <c r="F2664" s="3" t="s">
        <v>756</v>
      </c>
      <c r="G2664" s="3" t="s">
        <v>2277</v>
      </c>
      <c r="H2664" s="2" t="s">
        <v>21</v>
      </c>
      <c r="I2664" s="2" t="s">
        <v>6170</v>
      </c>
      <c r="J2664" s="3" t="str">
        <f>HYPERLINK("https://www.boe.es/gazeta/dias/1816/09/05/pdfs/GMD-1816-110.pdf#page=8","Abrir facsímil")</f>
        <v>Abrir facsímil</v>
      </c>
      <c r="K2664" s="3" t="s">
        <v>23</v>
      </c>
    </row>
    <row r="2665" spans="1:11" ht="42" customHeight="1">
      <c r="A2665" s="2" t="s">
        <v>6165</v>
      </c>
      <c r="B2665" s="2" t="s">
        <v>6165</v>
      </c>
      <c r="C2665" s="2" t="s">
        <v>17</v>
      </c>
      <c r="D2665" s="2" t="s">
        <v>18</v>
      </c>
      <c r="E2665" s="5">
        <v>-30403</v>
      </c>
      <c r="F2665" s="3" t="s">
        <v>1264</v>
      </c>
      <c r="G2665" s="3" t="s">
        <v>2883</v>
      </c>
      <c r="H2665" s="2" t="s">
        <v>21</v>
      </c>
      <c r="I2665" s="2" t="s">
        <v>6171</v>
      </c>
      <c r="J2665" s="3" t="str">
        <f>HYPERLINK("https://www.boe.es/gazeta/dias/1816/10/03/pdfs/GMD-1816-122.pdf#page=8","Abrir facsímil")</f>
        <v>Abrir facsímil</v>
      </c>
      <c r="K2665" s="3" t="s">
        <v>23</v>
      </c>
    </row>
    <row r="2666" spans="1:11" ht="42" customHeight="1">
      <c r="A2666" s="2" t="s">
        <v>6172</v>
      </c>
      <c r="B2666" s="2" t="s">
        <v>6172</v>
      </c>
      <c r="C2666" s="2" t="s">
        <v>34</v>
      </c>
      <c r="D2666" s="2" t="s">
        <v>35</v>
      </c>
      <c r="E2666" s="5">
        <v>-30464</v>
      </c>
      <c r="F2666" s="3" t="s">
        <v>215</v>
      </c>
      <c r="G2666" s="3" t="s">
        <v>180</v>
      </c>
      <c r="H2666" s="2" t="s">
        <v>21</v>
      </c>
      <c r="I2666" s="2" t="s">
        <v>6173</v>
      </c>
      <c r="J2666" s="3" t="str">
        <f>HYPERLINK("https://www.boe.es/gazeta/dias/1816/08/03/pdfs/GMD-1816-96.pdf#page=10","Abrir facsímil")</f>
        <v>Abrir facsímil</v>
      </c>
      <c r="K2666" s="3" t="s">
        <v>23</v>
      </c>
    </row>
    <row r="2667" spans="1:11" ht="42" customHeight="1">
      <c r="A2667" s="2" t="s">
        <v>6174</v>
      </c>
      <c r="B2667" s="2" t="s">
        <v>6175</v>
      </c>
      <c r="C2667" s="2" t="s">
        <v>41</v>
      </c>
      <c r="D2667" s="2" t="s">
        <v>18</v>
      </c>
      <c r="E2667" s="5">
        <v>-30671</v>
      </c>
      <c r="F2667" s="3" t="s">
        <v>2049</v>
      </c>
      <c r="G2667" s="3" t="s">
        <v>47</v>
      </c>
      <c r="H2667" s="2" t="s">
        <v>21</v>
      </c>
      <c r="I2667" s="2" t="s">
        <v>6176</v>
      </c>
      <c r="J2667" s="3" t="str">
        <f>HYPERLINK("https://www.boe.es/gazeta/dias/1816/01/09/pdfs/GMD-1816-4.pdf#page=5","Abrir facsímil")</f>
        <v>Abrir facsímil</v>
      </c>
      <c r="K2667" s="3" t="s">
        <v>23</v>
      </c>
    </row>
    <row r="2668" spans="1:11" ht="42" customHeight="1">
      <c r="A2668" s="2" t="s">
        <v>6177</v>
      </c>
      <c r="B2668" s="2" t="s">
        <v>6177</v>
      </c>
      <c r="C2668" s="2" t="s">
        <v>111</v>
      </c>
      <c r="D2668" s="2" t="s">
        <v>112</v>
      </c>
      <c r="E2668" s="5">
        <v>-30464</v>
      </c>
      <c r="F2668" s="3" t="s">
        <v>215</v>
      </c>
      <c r="G2668" s="3" t="s">
        <v>175</v>
      </c>
      <c r="H2668" s="2" t="s">
        <v>21</v>
      </c>
      <c r="I2668" s="2" t="s">
        <v>6178</v>
      </c>
      <c r="J2668" s="3" t="str">
        <f>HYPERLINK("https://www.boe.es/gazeta/dias/1816/08/03/pdfs/GMD-1816-96.pdf#page=11","Abrir facsímil")</f>
        <v>Abrir facsímil</v>
      </c>
      <c r="K2668" s="3" t="s">
        <v>23</v>
      </c>
    </row>
    <row r="2669" spans="1:11" ht="42" customHeight="1">
      <c r="A2669" s="2" t="s">
        <v>6179</v>
      </c>
      <c r="B2669" s="2" t="s">
        <v>6179</v>
      </c>
      <c r="C2669" s="2" t="s">
        <v>111</v>
      </c>
      <c r="D2669" s="2" t="s">
        <v>112</v>
      </c>
      <c r="E2669" s="5">
        <v>-30648</v>
      </c>
      <c r="F2669" s="3" t="s">
        <v>872</v>
      </c>
      <c r="G2669" s="3" t="s">
        <v>42</v>
      </c>
      <c r="H2669" s="2" t="s">
        <v>21</v>
      </c>
      <c r="I2669" s="2" t="s">
        <v>6180</v>
      </c>
      <c r="J2669" s="3" t="str">
        <f>HYPERLINK("https://www.boe.es/gazeta/dias/1816/02/01/pdfs/GMD-1816-15.pdf#page=8","Abrir facsímil")</f>
        <v>Abrir facsímil</v>
      </c>
      <c r="K2669" s="3" t="s">
        <v>23</v>
      </c>
    </row>
    <row r="2670" spans="1:11" ht="42" customHeight="1">
      <c r="A2670" s="2" t="s">
        <v>6179</v>
      </c>
      <c r="B2670" s="2" t="s">
        <v>6179</v>
      </c>
      <c r="C2670" s="2" t="s">
        <v>387</v>
      </c>
      <c r="D2670" s="2" t="s">
        <v>18</v>
      </c>
      <c r="E2670" s="5">
        <v>-30627</v>
      </c>
      <c r="F2670" s="3" t="s">
        <v>136</v>
      </c>
      <c r="G2670" s="3" t="s">
        <v>103</v>
      </c>
      <c r="H2670" s="2" t="s">
        <v>21</v>
      </c>
      <c r="I2670" s="2" t="s">
        <v>6181</v>
      </c>
      <c r="J2670" s="3" t="str">
        <f>HYPERLINK("https://www.boe.es/gazeta/dias/1816/02/22/pdfs/GMD-1816-24.pdf#page=4","Abrir facsímil")</f>
        <v>Abrir facsímil</v>
      </c>
      <c r="K2670" s="3" t="s">
        <v>23</v>
      </c>
    </row>
    <row r="2671" spans="1:11" ht="42" customHeight="1">
      <c r="A2671" s="2" t="s">
        <v>6179</v>
      </c>
      <c r="B2671" s="2" t="s">
        <v>6179</v>
      </c>
      <c r="C2671" s="2" t="s">
        <v>34</v>
      </c>
      <c r="D2671" s="2" t="s">
        <v>35</v>
      </c>
      <c r="E2671" s="5">
        <v>-30576</v>
      </c>
      <c r="F2671" s="3" t="s">
        <v>353</v>
      </c>
      <c r="G2671" s="3" t="s">
        <v>72</v>
      </c>
      <c r="H2671" s="2" t="s">
        <v>21</v>
      </c>
      <c r="I2671" s="2" t="s">
        <v>6182</v>
      </c>
      <c r="J2671" s="3" t="str">
        <f>HYPERLINK("https://www.boe.es/gazeta/dias/1816/04/13/pdfs/GMD-1816-48.pdf#page=7","Abrir facsímil")</f>
        <v>Abrir facsímil</v>
      </c>
      <c r="K2671" s="3" t="s">
        <v>23</v>
      </c>
    </row>
    <row r="2672" spans="1:11" ht="42" customHeight="1">
      <c r="A2672" s="2" t="s">
        <v>6179</v>
      </c>
      <c r="B2672" s="2" t="s">
        <v>6179</v>
      </c>
      <c r="C2672" s="2" t="s">
        <v>34</v>
      </c>
      <c r="D2672" s="2" t="s">
        <v>35</v>
      </c>
      <c r="E2672" s="5">
        <v>-30573</v>
      </c>
      <c r="F2672" s="3" t="s">
        <v>840</v>
      </c>
      <c r="G2672" s="3" t="s">
        <v>72</v>
      </c>
      <c r="H2672" s="2" t="s">
        <v>21</v>
      </c>
      <c r="I2672" s="2" t="s">
        <v>6183</v>
      </c>
      <c r="J2672" s="3" t="str">
        <f>HYPERLINK("https://www.boe.es/gazeta/dias/1816/04/16/pdfs/GMD-1816-49.pdf#page=7","Abrir facsímil")</f>
        <v>Abrir facsímil</v>
      </c>
      <c r="K2672" s="3" t="s">
        <v>23</v>
      </c>
    </row>
    <row r="2673" spans="1:11" ht="42" customHeight="1">
      <c r="A2673" s="2" t="s">
        <v>6179</v>
      </c>
      <c r="B2673" s="2" t="s">
        <v>6179</v>
      </c>
      <c r="C2673" s="2" t="s">
        <v>34</v>
      </c>
      <c r="D2673" s="2" t="s">
        <v>35</v>
      </c>
      <c r="E2673" s="5">
        <v>-30569</v>
      </c>
      <c r="F2673" s="3" t="s">
        <v>1859</v>
      </c>
      <c r="G2673" s="3" t="s">
        <v>72</v>
      </c>
      <c r="H2673" s="2" t="s">
        <v>21</v>
      </c>
      <c r="I2673" s="2" t="s">
        <v>6184</v>
      </c>
      <c r="J2673" s="3" t="str">
        <f>HYPERLINK("https://www.boe.es/gazeta/dias/1816/04/20/pdfs/GMD-1816-51.pdf#page=7","Abrir facsímil")</f>
        <v>Abrir facsímil</v>
      </c>
      <c r="K2673" s="3" t="s">
        <v>23</v>
      </c>
    </row>
    <row r="2674" spans="1:11" ht="42" customHeight="1">
      <c r="A2674" s="2" t="s">
        <v>6179</v>
      </c>
      <c r="B2674" s="2" t="s">
        <v>6179</v>
      </c>
      <c r="C2674" s="2" t="s">
        <v>34</v>
      </c>
      <c r="D2674" s="2" t="s">
        <v>35</v>
      </c>
      <c r="E2674" s="5">
        <v>-30564</v>
      </c>
      <c r="F2674" s="3" t="s">
        <v>963</v>
      </c>
      <c r="G2674" s="3" t="s">
        <v>964</v>
      </c>
      <c r="H2674" s="2" t="s">
        <v>21</v>
      </c>
      <c r="I2674" s="2" t="s">
        <v>6185</v>
      </c>
      <c r="J2674" s="3" t="str">
        <f>HYPERLINK("https://www.boe.es/gazeta/dias/1816/04/25/pdfs/GMD-1816-53.pdf#page=6","Abrir facsímil")</f>
        <v>Abrir facsímil</v>
      </c>
      <c r="K2674" s="3" t="s">
        <v>23</v>
      </c>
    </row>
    <row r="2675" spans="1:11" ht="42" customHeight="1">
      <c r="A2675" s="2" t="s">
        <v>6179</v>
      </c>
      <c r="B2675" s="2" t="s">
        <v>6179</v>
      </c>
      <c r="C2675" s="2" t="s">
        <v>34</v>
      </c>
      <c r="D2675" s="2" t="s">
        <v>35</v>
      </c>
      <c r="E2675" s="5">
        <v>-30564</v>
      </c>
      <c r="F2675" s="3" t="s">
        <v>963</v>
      </c>
      <c r="G2675" s="3" t="s">
        <v>184</v>
      </c>
      <c r="H2675" s="2" t="s">
        <v>21</v>
      </c>
      <c r="I2675" s="2" t="s">
        <v>6186</v>
      </c>
      <c r="J2675" s="3" t="str">
        <f>HYPERLINK("https://www.boe.es/gazeta/dias/1816/04/25/pdfs/GMD-1816-53.pdf#page=3","Abrir facsímil")</f>
        <v>Abrir facsímil</v>
      </c>
      <c r="K2675" s="3" t="s">
        <v>23</v>
      </c>
    </row>
    <row r="2676" spans="1:11" ht="42" customHeight="1">
      <c r="A2676" s="2" t="s">
        <v>6179</v>
      </c>
      <c r="B2676" s="2" t="s">
        <v>6179</v>
      </c>
      <c r="C2676" s="2" t="s">
        <v>17</v>
      </c>
      <c r="D2676" s="2" t="s">
        <v>18</v>
      </c>
      <c r="E2676" s="5">
        <v>-30555</v>
      </c>
      <c r="F2676" s="3" t="s">
        <v>345</v>
      </c>
      <c r="G2676" s="3" t="s">
        <v>42</v>
      </c>
      <c r="H2676" s="2" t="s">
        <v>21</v>
      </c>
      <c r="I2676" s="2" t="s">
        <v>6187</v>
      </c>
      <c r="J2676" s="3" t="str">
        <f>HYPERLINK("https://www.boe.es/gazeta/dias/1816/05/04/pdfs/GMD-1816-57.pdf#page=8","Abrir facsímil")</f>
        <v>Abrir facsímil</v>
      </c>
      <c r="K2676" s="3" t="s">
        <v>23</v>
      </c>
    </row>
    <row r="2677" spans="1:11" ht="42" customHeight="1">
      <c r="A2677" s="2" t="s">
        <v>6188</v>
      </c>
      <c r="B2677" s="2" t="s">
        <v>6188</v>
      </c>
      <c r="C2677" s="2" t="s">
        <v>111</v>
      </c>
      <c r="D2677" s="2" t="s">
        <v>112</v>
      </c>
      <c r="E2677" s="5">
        <v>-30520</v>
      </c>
      <c r="F2677" s="3" t="s">
        <v>731</v>
      </c>
      <c r="G2677" s="3" t="s">
        <v>103</v>
      </c>
      <c r="H2677" s="2" t="s">
        <v>21</v>
      </c>
      <c r="I2677" s="2" t="s">
        <v>6189</v>
      </c>
      <c r="J2677" s="3" t="str">
        <f>HYPERLINK("https://www.boe.es/gazeta/dias/1816/06/08/pdfs/GMD-1816-72.pdf#page=4","Abrir facsímil")</f>
        <v>Abrir facsímil</v>
      </c>
      <c r="K2677" s="3" t="s">
        <v>23</v>
      </c>
    </row>
    <row r="2678" spans="1:11" ht="42" customHeight="1">
      <c r="A2678" s="2" t="s">
        <v>6188</v>
      </c>
      <c r="B2678" s="2" t="s">
        <v>6188</v>
      </c>
      <c r="C2678" s="2" t="s">
        <v>34</v>
      </c>
      <c r="D2678" s="2" t="s">
        <v>35</v>
      </c>
      <c r="E2678" s="5">
        <v>-30478</v>
      </c>
      <c r="F2678" s="3" t="s">
        <v>123</v>
      </c>
      <c r="G2678" s="3" t="s">
        <v>72</v>
      </c>
      <c r="H2678" s="2" t="s">
        <v>21</v>
      </c>
      <c r="I2678" s="2" t="s">
        <v>6190</v>
      </c>
      <c r="J2678" s="3" t="str">
        <f>HYPERLINK("https://www.boe.es/gazeta/dias/1816/07/20/pdfs/GMD-1816-90.pdf#page=7","Abrir facsímil")</f>
        <v>Abrir facsímil</v>
      </c>
      <c r="K2678" s="3" t="s">
        <v>23</v>
      </c>
    </row>
    <row r="2679" spans="1:11" ht="42" customHeight="1">
      <c r="A2679" s="2" t="s">
        <v>6188</v>
      </c>
      <c r="B2679" s="2" t="s">
        <v>6188</v>
      </c>
      <c r="C2679" s="2" t="s">
        <v>34</v>
      </c>
      <c r="D2679" s="2" t="s">
        <v>35</v>
      </c>
      <c r="E2679" s="5">
        <v>-30438</v>
      </c>
      <c r="F2679" s="3" t="s">
        <v>299</v>
      </c>
      <c r="G2679" s="3" t="s">
        <v>92</v>
      </c>
      <c r="H2679" s="2" t="s">
        <v>21</v>
      </c>
      <c r="I2679" s="2" t="s">
        <v>6191</v>
      </c>
      <c r="J2679" s="3" t="str">
        <f>HYPERLINK("https://www.boe.es/gazeta/dias/1816/08/29/pdfs/GMD-1816-107.pdf#page=9","Abrir facsímil")</f>
        <v>Abrir facsímil</v>
      </c>
      <c r="K2679" s="3" t="s">
        <v>23</v>
      </c>
    </row>
    <row r="2680" spans="1:11" ht="42" customHeight="1">
      <c r="A2680" s="2" t="s">
        <v>6179</v>
      </c>
      <c r="B2680" s="2" t="s">
        <v>6179</v>
      </c>
      <c r="C2680" s="2" t="s">
        <v>34</v>
      </c>
      <c r="D2680" s="2" t="s">
        <v>35</v>
      </c>
      <c r="E2680" s="5">
        <v>-30436</v>
      </c>
      <c r="F2680" s="3" t="s">
        <v>102</v>
      </c>
      <c r="G2680" s="3" t="s">
        <v>103</v>
      </c>
      <c r="H2680" s="2" t="s">
        <v>21</v>
      </c>
      <c r="I2680" s="2" t="s">
        <v>6192</v>
      </c>
      <c r="J2680" s="3" t="str">
        <f>HYPERLINK("https://www.boe.es/gazeta/dias/1816/08/31/pdfs/GMD-1816-108.pdf#page=4","Abrir facsímil")</f>
        <v>Abrir facsímil</v>
      </c>
      <c r="K2680" s="3" t="s">
        <v>23</v>
      </c>
    </row>
    <row r="2681" spans="1:11" ht="42" customHeight="1">
      <c r="A2681" s="2" t="s">
        <v>6179</v>
      </c>
      <c r="B2681" s="2" t="s">
        <v>6179</v>
      </c>
      <c r="C2681" s="2" t="s">
        <v>34</v>
      </c>
      <c r="D2681" s="2" t="s">
        <v>35</v>
      </c>
      <c r="E2681" s="5">
        <v>-30436</v>
      </c>
      <c r="F2681" s="3" t="s">
        <v>102</v>
      </c>
      <c r="G2681" s="3" t="s">
        <v>47</v>
      </c>
      <c r="H2681" s="2" t="s">
        <v>21</v>
      </c>
      <c r="I2681" s="2" t="s">
        <v>6193</v>
      </c>
      <c r="J2681" s="3" t="str">
        <f>HYPERLINK("https://www.boe.es/gazeta/dias/1816/08/31/pdfs/GMD-1816-108.pdf#page=5","Abrir facsímil")</f>
        <v>Abrir facsímil</v>
      </c>
      <c r="K2681" s="3" t="s">
        <v>23</v>
      </c>
    </row>
    <row r="2682" spans="1:11" ht="42" customHeight="1">
      <c r="A2682" s="2" t="s">
        <v>6179</v>
      </c>
      <c r="B2682" s="2" t="s">
        <v>6179</v>
      </c>
      <c r="C2682" s="2" t="s">
        <v>34</v>
      </c>
      <c r="D2682" s="2" t="s">
        <v>35</v>
      </c>
      <c r="E2682" s="5">
        <v>-30433</v>
      </c>
      <c r="F2682" s="3" t="s">
        <v>954</v>
      </c>
      <c r="G2682" s="3" t="s">
        <v>184</v>
      </c>
      <c r="H2682" s="2" t="s">
        <v>21</v>
      </c>
      <c r="I2682" s="2" t="s">
        <v>6194</v>
      </c>
      <c r="J2682" s="3" t="str">
        <f>HYPERLINK("https://www.boe.es/gazeta/dias/1816/09/03/pdfs/GMD-1816-109.pdf#page=3","Abrir facsímil")</f>
        <v>Abrir facsímil</v>
      </c>
      <c r="K2682" s="3" t="s">
        <v>23</v>
      </c>
    </row>
    <row r="2683" spans="1:11" ht="42" customHeight="1">
      <c r="A2683" s="2" t="s">
        <v>6179</v>
      </c>
      <c r="B2683" s="2" t="s">
        <v>6179</v>
      </c>
      <c r="C2683" s="2" t="s">
        <v>111</v>
      </c>
      <c r="D2683" s="2" t="s">
        <v>112</v>
      </c>
      <c r="E2683" s="5">
        <v>-30410</v>
      </c>
      <c r="F2683" s="3" t="s">
        <v>1259</v>
      </c>
      <c r="G2683" s="3" t="s">
        <v>1769</v>
      </c>
      <c r="H2683" s="2" t="s">
        <v>21</v>
      </c>
      <c r="I2683" s="2" t="s">
        <v>6195</v>
      </c>
      <c r="J2683" s="3" t="str">
        <f>HYPERLINK("https://www.boe.es/gazeta/dias/1816/09/26/pdfs/GMD-1816-119.pdf#page=12","Abrir facsímil")</f>
        <v>Abrir facsímil</v>
      </c>
      <c r="K2683" s="3" t="s">
        <v>23</v>
      </c>
    </row>
    <row r="2684" spans="1:11" ht="42" customHeight="1">
      <c r="A2684" s="2" t="s">
        <v>6179</v>
      </c>
      <c r="B2684" s="2" t="s">
        <v>6179</v>
      </c>
      <c r="C2684" s="2" t="s">
        <v>34</v>
      </c>
      <c r="D2684" s="2" t="s">
        <v>35</v>
      </c>
      <c r="E2684" s="5">
        <v>-30342</v>
      </c>
      <c r="F2684" s="3" t="s">
        <v>116</v>
      </c>
      <c r="G2684" s="3" t="s">
        <v>103</v>
      </c>
      <c r="H2684" s="2" t="s">
        <v>21</v>
      </c>
      <c r="I2684" s="2" t="s">
        <v>6196</v>
      </c>
      <c r="J2684" s="3" t="str">
        <f>HYPERLINK("https://www.boe.es/gazeta/dias/1816/12/03/pdfs/GMD-1816-150.pdf#page=4","Abrir facsímil")</f>
        <v>Abrir facsímil</v>
      </c>
      <c r="K2684" s="3" t="s">
        <v>23</v>
      </c>
    </row>
    <row r="2685" spans="1:11" ht="42" customHeight="1">
      <c r="A2685" s="2" t="s">
        <v>6179</v>
      </c>
      <c r="B2685" s="2" t="s">
        <v>6179</v>
      </c>
      <c r="C2685" s="2" t="s">
        <v>26</v>
      </c>
      <c r="D2685" s="2" t="s">
        <v>18</v>
      </c>
      <c r="E2685" s="5">
        <v>-30340</v>
      </c>
      <c r="F2685" s="3" t="s">
        <v>1618</v>
      </c>
      <c r="G2685" s="3" t="s">
        <v>184</v>
      </c>
      <c r="H2685" s="2" t="s">
        <v>21</v>
      </c>
      <c r="I2685" s="2" t="s">
        <v>6197</v>
      </c>
      <c r="J2685" s="3" t="str">
        <f>HYPERLINK("https://www.boe.es/gazeta/dias/1816/12/05/pdfs/GMD-1816-151.pdf#page=3","Abrir facsímil")</f>
        <v>Abrir facsímil</v>
      </c>
      <c r="K2685" s="3" t="s">
        <v>23</v>
      </c>
    </row>
    <row r="2686" spans="1:11" ht="42" customHeight="1">
      <c r="A2686" s="2" t="s">
        <v>6188</v>
      </c>
      <c r="B2686" s="2" t="s">
        <v>6188</v>
      </c>
      <c r="C2686" s="2" t="s">
        <v>34</v>
      </c>
      <c r="D2686" s="2" t="s">
        <v>35</v>
      </c>
      <c r="E2686" s="5">
        <v>-30338</v>
      </c>
      <c r="F2686" s="3" t="s">
        <v>464</v>
      </c>
      <c r="G2686" s="3" t="s">
        <v>103</v>
      </c>
      <c r="H2686" s="2" t="s">
        <v>21</v>
      </c>
      <c r="I2686" s="2" t="s">
        <v>6198</v>
      </c>
      <c r="J2686" s="3" t="str">
        <f>HYPERLINK("https://www.boe.es/gazeta/dias/1816/12/07/pdfs/GMD-1816-152.pdf#page=4","Abrir facsímil")</f>
        <v>Abrir facsímil</v>
      </c>
      <c r="K2686" s="3" t="s">
        <v>23</v>
      </c>
    </row>
    <row r="2687" spans="1:11" ht="42" customHeight="1">
      <c r="A2687" s="2" t="s">
        <v>6199</v>
      </c>
      <c r="B2687" s="2" t="s">
        <v>6200</v>
      </c>
      <c r="C2687" s="2" t="s">
        <v>26</v>
      </c>
      <c r="D2687" s="2" t="s">
        <v>18</v>
      </c>
      <c r="E2687" s="5">
        <v>-30468</v>
      </c>
      <c r="F2687" s="3" t="s">
        <v>383</v>
      </c>
      <c r="G2687" s="3" t="s">
        <v>6201</v>
      </c>
      <c r="H2687" s="2" t="s">
        <v>21</v>
      </c>
      <c r="I2687" s="2" t="s">
        <v>6202</v>
      </c>
      <c r="J2687" s="3" t="str">
        <f>HYPERLINK("https://www.boe.es/gazeta/dias/1816/07/30/pdfs/GMD-1816-94.pdf#page=4","Abrir facsímil")</f>
        <v>Abrir facsímil</v>
      </c>
      <c r="K2687" s="3" t="s">
        <v>23</v>
      </c>
    </row>
    <row r="2688" spans="1:11" ht="42" customHeight="1">
      <c r="A2688" s="2" t="s">
        <v>6203</v>
      </c>
      <c r="B2688" s="2" t="s">
        <v>6204</v>
      </c>
      <c r="C2688" s="2" t="s">
        <v>81</v>
      </c>
      <c r="D2688" s="2" t="s">
        <v>18</v>
      </c>
      <c r="E2688" s="5">
        <v>-30632</v>
      </c>
      <c r="F2688" s="3" t="s">
        <v>89</v>
      </c>
      <c r="G2688" s="3" t="s">
        <v>103</v>
      </c>
      <c r="H2688" s="2" t="s">
        <v>21</v>
      </c>
      <c r="I2688" s="2" t="s">
        <v>6205</v>
      </c>
      <c r="J2688" s="3" t="str">
        <f>HYPERLINK("https://www.boe.es/gazeta/dias/1816/02/17/pdfs/GMD-1816-22.pdf#page=4","Abrir facsímil")</f>
        <v>Abrir facsímil</v>
      </c>
      <c r="K2688" s="3" t="s">
        <v>23</v>
      </c>
    </row>
    <row r="2689" spans="1:11" ht="42" customHeight="1">
      <c r="A2689" s="2" t="s">
        <v>6203</v>
      </c>
      <c r="B2689" s="2" t="s">
        <v>6204</v>
      </c>
      <c r="C2689" s="2" t="s">
        <v>26</v>
      </c>
      <c r="D2689" s="2" t="s">
        <v>18</v>
      </c>
      <c r="E2689" s="5">
        <v>-30583</v>
      </c>
      <c r="F2689" s="3" t="s">
        <v>241</v>
      </c>
      <c r="G2689" s="3" t="s">
        <v>47</v>
      </c>
      <c r="H2689" s="2" t="s">
        <v>21</v>
      </c>
      <c r="I2689" s="2" t="s">
        <v>6206</v>
      </c>
      <c r="J2689" s="3" t="str">
        <f>HYPERLINK("https://www.boe.es/gazeta/dias/1816/04/06/pdfs/GMD-1816-45.pdf#page=5","Abrir facsímil")</f>
        <v>Abrir facsímil</v>
      </c>
      <c r="K2689" s="3" t="s">
        <v>23</v>
      </c>
    </row>
    <row r="2690" spans="1:11" ht="42" customHeight="1">
      <c r="A2690" s="2" t="s">
        <v>6203</v>
      </c>
      <c r="B2690" s="2" t="s">
        <v>6204</v>
      </c>
      <c r="C2690" s="2" t="s">
        <v>26</v>
      </c>
      <c r="D2690" s="2" t="s">
        <v>18</v>
      </c>
      <c r="E2690" s="5">
        <v>-30557</v>
      </c>
      <c r="F2690" s="3" t="s">
        <v>508</v>
      </c>
      <c r="G2690" s="3" t="s">
        <v>103</v>
      </c>
      <c r="H2690" s="2" t="s">
        <v>21</v>
      </c>
      <c r="I2690" s="2" t="s">
        <v>6207</v>
      </c>
      <c r="J2690" s="3" t="str">
        <f>HYPERLINK("https://www.boe.es/gazeta/dias/1816/05/02/pdfs/GMD-1816-56.pdf#page=4","Abrir facsímil")</f>
        <v>Abrir facsímil</v>
      </c>
      <c r="K2690" s="3" t="s">
        <v>23</v>
      </c>
    </row>
    <row r="2691" spans="1:11" ht="42" customHeight="1">
      <c r="A2691" s="2" t="s">
        <v>6203</v>
      </c>
      <c r="B2691" s="2" t="s">
        <v>6204</v>
      </c>
      <c r="C2691" s="2" t="s">
        <v>26</v>
      </c>
      <c r="D2691" s="2" t="s">
        <v>18</v>
      </c>
      <c r="E2691" s="5">
        <v>-30513</v>
      </c>
      <c r="F2691" s="3" t="s">
        <v>582</v>
      </c>
      <c r="G2691" s="3" t="s">
        <v>28</v>
      </c>
      <c r="H2691" s="2" t="s">
        <v>21</v>
      </c>
      <c r="I2691" s="2" t="s">
        <v>6208</v>
      </c>
      <c r="J2691" s="3" t="str">
        <f>HYPERLINK("https://www.boe.es/gazeta/dias/1816/06/15/pdfs/GMD-1816-75.pdf#page=6","Abrir facsímil")</f>
        <v>Abrir facsímil</v>
      </c>
      <c r="K2691" s="3" t="s">
        <v>23</v>
      </c>
    </row>
    <row r="2692" spans="1:11" ht="42" customHeight="1">
      <c r="A2692" s="2" t="s">
        <v>6209</v>
      </c>
      <c r="B2692" s="2" t="s">
        <v>6210</v>
      </c>
      <c r="C2692" s="2" t="s">
        <v>26</v>
      </c>
      <c r="D2692" s="2" t="s">
        <v>18</v>
      </c>
      <c r="E2692" s="5">
        <v>-30548</v>
      </c>
      <c r="F2692" s="3" t="s">
        <v>472</v>
      </c>
      <c r="G2692" s="3" t="s">
        <v>47</v>
      </c>
      <c r="H2692" s="2" t="s">
        <v>29</v>
      </c>
      <c r="I2692" s="2" t="s">
        <v>6211</v>
      </c>
      <c r="J2692" s="3" t="str">
        <f>HYPERLINK("https://www.boe.es/gazeta/dias/1816/05/11/pdfs/GMD-1816-60.pdf#page=5","Abrir facsímil")</f>
        <v>Abrir facsímil</v>
      </c>
      <c r="K2692" s="3" t="s">
        <v>31</v>
      </c>
    </row>
    <row r="2693" spans="1:11" ht="42" customHeight="1">
      <c r="A2693" s="2" t="s">
        <v>6212</v>
      </c>
      <c r="B2693" s="2" t="s">
        <v>6213</v>
      </c>
      <c r="C2693" s="2" t="s">
        <v>67</v>
      </c>
      <c r="D2693" s="2" t="s">
        <v>18</v>
      </c>
      <c r="E2693" s="5">
        <v>-30676</v>
      </c>
      <c r="F2693" s="3" t="s">
        <v>1932</v>
      </c>
      <c r="G2693" s="3" t="s">
        <v>2724</v>
      </c>
      <c r="H2693" s="2" t="s">
        <v>21</v>
      </c>
      <c r="I2693" s="2" t="s">
        <v>6214</v>
      </c>
      <c r="J2693" s="3" t="str">
        <f>HYPERLINK("https://www.boe.es/gazeta/dias/1816/01/04/pdfs/GMD-1816-2.pdf#page=8","Abrir facsímil")</f>
        <v>Abrir facsímil</v>
      </c>
      <c r="K2693" s="3" t="s">
        <v>23</v>
      </c>
    </row>
    <row r="2694" spans="1:11" ht="42" customHeight="1">
      <c r="A2694" s="2" t="s">
        <v>6215</v>
      </c>
      <c r="B2694" s="2" t="s">
        <v>6216</v>
      </c>
      <c r="C2694" s="2" t="s">
        <v>26</v>
      </c>
      <c r="D2694" s="2" t="s">
        <v>18</v>
      </c>
      <c r="E2694" s="5">
        <v>-30503</v>
      </c>
      <c r="F2694" s="3" t="s">
        <v>1600</v>
      </c>
      <c r="G2694" s="3" t="s">
        <v>42</v>
      </c>
      <c r="H2694" s="2" t="s">
        <v>21</v>
      </c>
      <c r="I2694" s="2" t="s">
        <v>6217</v>
      </c>
      <c r="J2694" s="3" t="str">
        <f>HYPERLINK("https://www.boe.es/gazeta/dias/1816/06/25/pdfs/GMD-1816-79.pdf#page=8","Abrir facsímil")</f>
        <v>Abrir facsímil</v>
      </c>
      <c r="K2694" s="3" t="s">
        <v>23</v>
      </c>
    </row>
    <row r="2695" spans="1:11" ht="42" customHeight="1">
      <c r="A2695" s="2" t="s">
        <v>6218</v>
      </c>
      <c r="B2695" s="2" t="s">
        <v>6218</v>
      </c>
      <c r="C2695" s="2" t="s">
        <v>34</v>
      </c>
      <c r="D2695" s="2" t="s">
        <v>35</v>
      </c>
      <c r="E2695" s="5">
        <v>-30662</v>
      </c>
      <c r="F2695" s="3" t="s">
        <v>485</v>
      </c>
      <c r="G2695" s="3" t="s">
        <v>72</v>
      </c>
      <c r="H2695" s="2" t="s">
        <v>21</v>
      </c>
      <c r="I2695" s="2" t="s">
        <v>6219</v>
      </c>
      <c r="J2695" s="3" t="str">
        <f>HYPERLINK("https://www.boe.es/gazeta/dias/1816/01/18/pdfs/GMD-1816-8.pdf#page=7","Abrir facsímil")</f>
        <v>Abrir facsímil</v>
      </c>
      <c r="K2695" s="3" t="s">
        <v>23</v>
      </c>
    </row>
    <row r="2696" spans="1:11" ht="42" customHeight="1">
      <c r="A2696" s="2" t="s">
        <v>6220</v>
      </c>
      <c r="B2696" s="2" t="s">
        <v>6220</v>
      </c>
      <c r="C2696" s="2" t="s">
        <v>111</v>
      </c>
      <c r="D2696" s="2" t="s">
        <v>112</v>
      </c>
      <c r="E2696" s="5">
        <v>-30601</v>
      </c>
      <c r="F2696" s="3" t="s">
        <v>308</v>
      </c>
      <c r="G2696" s="3" t="s">
        <v>72</v>
      </c>
      <c r="H2696" s="2" t="s">
        <v>21</v>
      </c>
      <c r="I2696" s="2" t="s">
        <v>6221</v>
      </c>
      <c r="J2696" s="3" t="str">
        <f>HYPERLINK("https://www.boe.es/gazeta/dias/1816/03/19/pdfs/GMD-1816-37.pdf#page=7","Abrir facsímil")</f>
        <v>Abrir facsímil</v>
      </c>
      <c r="K2696" s="3" t="s">
        <v>23</v>
      </c>
    </row>
    <row r="2697" spans="1:11" ht="42" customHeight="1">
      <c r="A2697" s="2" t="s">
        <v>6220</v>
      </c>
      <c r="B2697" s="2" t="s">
        <v>6220</v>
      </c>
      <c r="C2697" s="2" t="s">
        <v>81</v>
      </c>
      <c r="D2697" s="2" t="s">
        <v>18</v>
      </c>
      <c r="E2697" s="5">
        <v>-30597</v>
      </c>
      <c r="F2697" s="3" t="s">
        <v>696</v>
      </c>
      <c r="G2697" s="3" t="s">
        <v>5227</v>
      </c>
      <c r="H2697" s="2" t="s">
        <v>21</v>
      </c>
      <c r="I2697" s="2" t="s">
        <v>6222</v>
      </c>
      <c r="J2697" s="3" t="str">
        <f>HYPERLINK("https://www.boe.es/gazeta/dias/1816/03/23/pdfs/GMD-1816-39.pdf#page=8","Abrir facsímil")</f>
        <v>Abrir facsímil</v>
      </c>
      <c r="K2697" s="3" t="s">
        <v>23</v>
      </c>
    </row>
    <row r="2698" spans="1:11" ht="42" customHeight="1">
      <c r="A2698" s="2" t="s">
        <v>6220</v>
      </c>
      <c r="B2698" s="2" t="s">
        <v>6220</v>
      </c>
      <c r="C2698" s="2" t="s">
        <v>26</v>
      </c>
      <c r="D2698" s="2" t="s">
        <v>18</v>
      </c>
      <c r="E2698" s="5">
        <v>-30594</v>
      </c>
      <c r="F2698" s="3" t="s">
        <v>234</v>
      </c>
      <c r="G2698" s="3" t="s">
        <v>42</v>
      </c>
      <c r="H2698" s="2" t="s">
        <v>21</v>
      </c>
      <c r="I2698" s="2" t="s">
        <v>6223</v>
      </c>
      <c r="J2698" s="3" t="str">
        <f>HYPERLINK("https://www.boe.es/gazeta/dias/1816/03/26/pdfs/GMD-1816-40.pdf#page=8","Abrir facsímil")</f>
        <v>Abrir facsímil</v>
      </c>
      <c r="K2698" s="3" t="s">
        <v>23</v>
      </c>
    </row>
    <row r="2699" spans="1:11" ht="42" customHeight="1">
      <c r="A2699" s="2" t="s">
        <v>6220</v>
      </c>
      <c r="B2699" s="2" t="s">
        <v>6220</v>
      </c>
      <c r="C2699" s="2" t="s">
        <v>111</v>
      </c>
      <c r="D2699" s="2" t="s">
        <v>112</v>
      </c>
      <c r="E2699" s="5">
        <v>-30592</v>
      </c>
      <c r="F2699" s="3" t="s">
        <v>236</v>
      </c>
      <c r="G2699" s="3" t="s">
        <v>47</v>
      </c>
      <c r="H2699" s="2" t="s">
        <v>21</v>
      </c>
      <c r="I2699" s="2" t="s">
        <v>6224</v>
      </c>
      <c r="J2699" s="3" t="str">
        <f>HYPERLINK("https://www.boe.es/gazeta/dias/1816/03/28/pdfs/GMD-1816-41.pdf#page=5","Abrir facsímil")</f>
        <v>Abrir facsímil</v>
      </c>
      <c r="K2699" s="3" t="s">
        <v>23</v>
      </c>
    </row>
    <row r="2700" spans="1:11" ht="42" customHeight="1">
      <c r="A2700" s="2" t="s">
        <v>6225</v>
      </c>
      <c r="B2700" s="2" t="s">
        <v>6225</v>
      </c>
      <c r="C2700" s="2" t="s">
        <v>26</v>
      </c>
      <c r="D2700" s="2" t="s">
        <v>18</v>
      </c>
      <c r="E2700" s="5">
        <v>-30590</v>
      </c>
      <c r="F2700" s="3" t="s">
        <v>195</v>
      </c>
      <c r="G2700" s="3" t="s">
        <v>6226</v>
      </c>
      <c r="H2700" s="2" t="s">
        <v>21</v>
      </c>
      <c r="I2700" s="2" t="s">
        <v>6227</v>
      </c>
      <c r="J2700" s="3" t="str">
        <f>HYPERLINK("https://www.boe.es/gazeta/dias/1816/03/30/pdfs/GMD-1816-42.pdf#page=7","Abrir facsímil")</f>
        <v>Abrir facsímil</v>
      </c>
      <c r="K2700" s="3" t="s">
        <v>23</v>
      </c>
    </row>
    <row r="2701" spans="1:11" ht="42" customHeight="1">
      <c r="A2701" s="2" t="s">
        <v>6225</v>
      </c>
      <c r="B2701" s="2" t="s">
        <v>6225</v>
      </c>
      <c r="C2701" s="2" t="s">
        <v>26</v>
      </c>
      <c r="D2701" s="2" t="s">
        <v>18</v>
      </c>
      <c r="E2701" s="5">
        <v>-30583</v>
      </c>
      <c r="F2701" s="3" t="s">
        <v>241</v>
      </c>
      <c r="G2701" s="3" t="s">
        <v>42</v>
      </c>
      <c r="H2701" s="2" t="s">
        <v>21</v>
      </c>
      <c r="I2701" s="2" t="s">
        <v>6228</v>
      </c>
      <c r="J2701" s="3" t="str">
        <f>HYPERLINK("https://www.boe.es/gazeta/dias/1816/04/06/pdfs/GMD-1816-45.pdf#page=8","Abrir facsímil")</f>
        <v>Abrir facsímil</v>
      </c>
      <c r="K2701" s="3" t="s">
        <v>23</v>
      </c>
    </row>
    <row r="2702" spans="1:11" ht="42" customHeight="1">
      <c r="A2702" s="2" t="s">
        <v>6220</v>
      </c>
      <c r="B2702" s="2" t="s">
        <v>6220</v>
      </c>
      <c r="C2702" s="2" t="s">
        <v>34</v>
      </c>
      <c r="D2702" s="2" t="s">
        <v>35</v>
      </c>
      <c r="E2702" s="5">
        <v>-30559</v>
      </c>
      <c r="F2702" s="3" t="s">
        <v>165</v>
      </c>
      <c r="G2702" s="3" t="s">
        <v>103</v>
      </c>
      <c r="H2702" s="2" t="s">
        <v>21</v>
      </c>
      <c r="I2702" s="2" t="s">
        <v>6229</v>
      </c>
      <c r="J2702" s="3" t="str">
        <f>HYPERLINK("https://www.boe.es/gazeta/dias/1816/04/30/pdfs/GMD-1816-55.pdf#page=4","Abrir facsímil")</f>
        <v>Abrir facsímil</v>
      </c>
      <c r="K2702" s="3" t="s">
        <v>23</v>
      </c>
    </row>
    <row r="2703" spans="1:11" ht="42" customHeight="1">
      <c r="A2703" s="2" t="s">
        <v>6220</v>
      </c>
      <c r="B2703" s="2" t="s">
        <v>6220</v>
      </c>
      <c r="C2703" s="2" t="s">
        <v>26</v>
      </c>
      <c r="D2703" s="2" t="s">
        <v>18</v>
      </c>
      <c r="E2703" s="5">
        <v>-30548</v>
      </c>
      <c r="F2703" s="3" t="s">
        <v>472</v>
      </c>
      <c r="G2703" s="3" t="s">
        <v>47</v>
      </c>
      <c r="H2703" s="2" t="s">
        <v>21</v>
      </c>
      <c r="I2703" s="2" t="s">
        <v>6230</v>
      </c>
      <c r="J2703" s="3" t="str">
        <f>HYPERLINK("https://www.boe.es/gazeta/dias/1816/05/11/pdfs/GMD-1816-60.pdf#page=5","Abrir facsímil")</f>
        <v>Abrir facsímil</v>
      </c>
      <c r="K2703" s="3" t="s">
        <v>23</v>
      </c>
    </row>
    <row r="2704" spans="1:11" ht="42" customHeight="1">
      <c r="A2704" s="2" t="s">
        <v>6220</v>
      </c>
      <c r="B2704" s="2" t="s">
        <v>6220</v>
      </c>
      <c r="C2704" s="2" t="s">
        <v>67</v>
      </c>
      <c r="D2704" s="2" t="s">
        <v>18</v>
      </c>
      <c r="E2704" s="5">
        <v>-30524</v>
      </c>
      <c r="F2704" s="3" t="s">
        <v>98</v>
      </c>
      <c r="G2704" s="3" t="s">
        <v>184</v>
      </c>
      <c r="H2704" s="2" t="s">
        <v>21</v>
      </c>
      <c r="I2704" s="2" t="s">
        <v>6231</v>
      </c>
      <c r="J2704" s="3" t="str">
        <f>HYPERLINK("https://www.boe.es/gazeta/dias/1816/06/04/pdfs/GMD-1816-70.pdf#page=3","Abrir facsímil")</f>
        <v>Abrir facsímil</v>
      </c>
      <c r="K2704" s="3" t="s">
        <v>23</v>
      </c>
    </row>
    <row r="2705" spans="1:11" ht="42" customHeight="1">
      <c r="A2705" s="2" t="s">
        <v>6220</v>
      </c>
      <c r="B2705" s="2" t="s">
        <v>6220</v>
      </c>
      <c r="C2705" s="2" t="s">
        <v>26</v>
      </c>
      <c r="D2705" s="2" t="s">
        <v>18</v>
      </c>
      <c r="E2705" s="5">
        <v>-30478</v>
      </c>
      <c r="F2705" s="3" t="s">
        <v>123</v>
      </c>
      <c r="G2705" s="3" t="s">
        <v>2092</v>
      </c>
      <c r="H2705" s="2" t="s">
        <v>21</v>
      </c>
      <c r="I2705" s="2" t="s">
        <v>6232</v>
      </c>
      <c r="J2705" s="3" t="str">
        <f>HYPERLINK("https://www.boe.es/gazeta/dias/1816/07/20/pdfs/GMD-1816-90.pdf#page=5","Abrir facsímil")</f>
        <v>Abrir facsímil</v>
      </c>
      <c r="K2705" s="3" t="s">
        <v>23</v>
      </c>
    </row>
    <row r="2706" spans="1:11" ht="42" customHeight="1">
      <c r="A2706" s="2" t="s">
        <v>6220</v>
      </c>
      <c r="B2706" s="2" t="s">
        <v>6220</v>
      </c>
      <c r="C2706" s="2" t="s">
        <v>34</v>
      </c>
      <c r="D2706" s="2" t="s">
        <v>35</v>
      </c>
      <c r="E2706" s="5">
        <v>-30466</v>
      </c>
      <c r="F2706" s="3" t="s">
        <v>2138</v>
      </c>
      <c r="G2706" s="3" t="s">
        <v>72</v>
      </c>
      <c r="H2706" s="2" t="s">
        <v>21</v>
      </c>
      <c r="I2706" s="2" t="s">
        <v>6233</v>
      </c>
      <c r="J2706" s="3" t="str">
        <f>HYPERLINK("https://www.boe.es/gazeta/dias/1816/08/01/pdfs/GMD-1816-95.pdf#page=7","Abrir facsímil")</f>
        <v>Abrir facsímil</v>
      </c>
      <c r="K2706" s="3" t="s">
        <v>23</v>
      </c>
    </row>
    <row r="2707" spans="1:11" ht="42" customHeight="1">
      <c r="A2707" s="2" t="s">
        <v>6220</v>
      </c>
      <c r="B2707" s="2" t="s">
        <v>6220</v>
      </c>
      <c r="C2707" s="2" t="s">
        <v>34</v>
      </c>
      <c r="D2707" s="2" t="s">
        <v>35</v>
      </c>
      <c r="E2707" s="5">
        <v>-30391</v>
      </c>
      <c r="F2707" s="3" t="s">
        <v>482</v>
      </c>
      <c r="G2707" s="3" t="s">
        <v>47</v>
      </c>
      <c r="H2707" s="2" t="s">
        <v>21</v>
      </c>
      <c r="I2707" s="2" t="s">
        <v>6234</v>
      </c>
      <c r="J2707" s="3" t="str">
        <f>HYPERLINK("https://www.boe.es/gazeta/dias/1816/10/15/pdfs/GMD-1816-129.pdf#page=5","Abrir facsímil")</f>
        <v>Abrir facsímil</v>
      </c>
      <c r="K2707" s="3" t="s">
        <v>23</v>
      </c>
    </row>
    <row r="2708" spans="1:11" ht="42" customHeight="1">
      <c r="A2708" s="2" t="s">
        <v>6220</v>
      </c>
      <c r="B2708" s="2" t="s">
        <v>6220</v>
      </c>
      <c r="C2708" s="2" t="s">
        <v>34</v>
      </c>
      <c r="D2708" s="2" t="s">
        <v>35</v>
      </c>
      <c r="E2708" s="5">
        <v>-30380</v>
      </c>
      <c r="F2708" s="3" t="s">
        <v>819</v>
      </c>
      <c r="G2708" s="3" t="s">
        <v>28</v>
      </c>
      <c r="H2708" s="2" t="s">
        <v>21</v>
      </c>
      <c r="I2708" s="2" t="s">
        <v>6235</v>
      </c>
      <c r="J2708" s="3" t="str">
        <f>HYPERLINK("https://www.boe.es/gazeta/dias/1816/10/26/pdfs/GMD-1816-134.pdf#page=6","Abrir facsímil")</f>
        <v>Abrir facsímil</v>
      </c>
      <c r="K2708" s="3" t="s">
        <v>23</v>
      </c>
    </row>
    <row r="2709" spans="1:11" ht="42" customHeight="1">
      <c r="A2709" s="2" t="s">
        <v>6220</v>
      </c>
      <c r="B2709" s="2" t="s">
        <v>6220</v>
      </c>
      <c r="C2709" s="2" t="s">
        <v>67</v>
      </c>
      <c r="D2709" s="2" t="s">
        <v>18</v>
      </c>
      <c r="E2709" s="5">
        <v>-30363</v>
      </c>
      <c r="F2709" s="3" t="s">
        <v>570</v>
      </c>
      <c r="G2709" s="3" t="s">
        <v>942</v>
      </c>
      <c r="H2709" s="2" t="s">
        <v>21</v>
      </c>
      <c r="I2709" s="2" t="s">
        <v>6236</v>
      </c>
      <c r="J2709" s="3" t="str">
        <f>HYPERLINK("https://www.boe.es/gazeta/dias/1816/11/12/pdfs/GMD-1816-141.pdf#page=6","Abrir facsímil")</f>
        <v>Abrir facsímil</v>
      </c>
      <c r="K2709" s="3" t="s">
        <v>23</v>
      </c>
    </row>
    <row r="2710" spans="1:11" ht="42" customHeight="1">
      <c r="A2710" s="2" t="s">
        <v>6220</v>
      </c>
      <c r="B2710" s="2" t="s">
        <v>6220</v>
      </c>
      <c r="C2710" s="2" t="s">
        <v>111</v>
      </c>
      <c r="D2710" s="2" t="s">
        <v>112</v>
      </c>
      <c r="E2710" s="5">
        <v>-30356</v>
      </c>
      <c r="F2710" s="3" t="s">
        <v>824</v>
      </c>
      <c r="G2710" s="3" t="s">
        <v>1826</v>
      </c>
      <c r="H2710" s="2" t="s">
        <v>21</v>
      </c>
      <c r="I2710" s="2" t="s">
        <v>6237</v>
      </c>
      <c r="J2710" s="3" t="str">
        <f>HYPERLINK("https://www.boe.es/gazeta/dias/1816/11/19/pdfs/GMD-1816-144.pdf#page=5","Abrir facsímil")</f>
        <v>Abrir facsímil</v>
      </c>
      <c r="K2710" s="3" t="s">
        <v>23</v>
      </c>
    </row>
    <row r="2711" spans="1:11" ht="42" customHeight="1">
      <c r="A2711" s="2" t="s">
        <v>6238</v>
      </c>
      <c r="B2711" s="2" t="s">
        <v>6239</v>
      </c>
      <c r="C2711" s="2" t="s">
        <v>111</v>
      </c>
      <c r="D2711" s="2" t="s">
        <v>112</v>
      </c>
      <c r="E2711" s="5">
        <v>-30384</v>
      </c>
      <c r="F2711" s="3" t="s">
        <v>460</v>
      </c>
      <c r="G2711" s="3" t="s">
        <v>103</v>
      </c>
      <c r="H2711" s="2" t="s">
        <v>21</v>
      </c>
      <c r="I2711" s="2" t="s">
        <v>6240</v>
      </c>
      <c r="J2711" s="3" t="str">
        <f>HYPERLINK("https://www.boe.es/gazeta/dias/1816/10/22/pdfs/GMD-1816-132.pdf#page=4","Abrir facsímil")</f>
        <v>Abrir facsímil</v>
      </c>
      <c r="K2711" s="3" t="s">
        <v>23</v>
      </c>
    </row>
    <row r="2712" spans="1:11" ht="42" customHeight="1">
      <c r="A2712" s="2" t="s">
        <v>6241</v>
      </c>
      <c r="B2712" s="2" t="s">
        <v>6241</v>
      </c>
      <c r="C2712" s="2" t="s">
        <v>34</v>
      </c>
      <c r="D2712" s="2" t="s">
        <v>35</v>
      </c>
      <c r="E2712" s="5">
        <v>-30473</v>
      </c>
      <c r="F2712" s="3" t="s">
        <v>336</v>
      </c>
      <c r="G2712" s="3" t="s">
        <v>562</v>
      </c>
      <c r="H2712" s="2" t="s">
        <v>21</v>
      </c>
      <c r="I2712" s="2" t="s">
        <v>6242</v>
      </c>
      <c r="J2712" s="3" t="str">
        <f>HYPERLINK("https://www.boe.es/gazeta/dias/1816/07/25/pdfs/GMD-1816-92.pdf#page=16","Abrir facsímil")</f>
        <v>Abrir facsímil</v>
      </c>
      <c r="K2712" s="3" t="s">
        <v>23</v>
      </c>
    </row>
    <row r="2713" spans="1:11" ht="42" customHeight="1">
      <c r="A2713" s="2" t="s">
        <v>6243</v>
      </c>
      <c r="B2713" s="2" t="s">
        <v>6244</v>
      </c>
      <c r="C2713" s="2" t="s">
        <v>17</v>
      </c>
      <c r="D2713" s="2" t="s">
        <v>18</v>
      </c>
      <c r="E2713" s="5">
        <v>-30669</v>
      </c>
      <c r="F2713" s="3" t="s">
        <v>3499</v>
      </c>
      <c r="G2713" s="3" t="s">
        <v>42</v>
      </c>
      <c r="H2713" s="2" t="s">
        <v>21</v>
      </c>
      <c r="I2713" s="2" t="s">
        <v>6245</v>
      </c>
      <c r="J2713" s="3" t="str">
        <f>HYPERLINK("https://www.boe.es/gazeta/dias/1816/01/11/pdfs/GMD-1816-5.pdf#page=8","Abrir facsímil")</f>
        <v>Abrir facsímil</v>
      </c>
      <c r="K2713" s="3" t="s">
        <v>23</v>
      </c>
    </row>
    <row r="2714" spans="1:11" ht="42" customHeight="1">
      <c r="A2714" s="2" t="s">
        <v>6246</v>
      </c>
      <c r="B2714" s="2" t="s">
        <v>6246</v>
      </c>
      <c r="C2714" s="2" t="s">
        <v>26</v>
      </c>
      <c r="D2714" s="2" t="s">
        <v>18</v>
      </c>
      <c r="E2714" s="5">
        <v>-30606</v>
      </c>
      <c r="F2714" s="3" t="s">
        <v>761</v>
      </c>
      <c r="G2714" s="3" t="s">
        <v>47</v>
      </c>
      <c r="H2714" s="2" t="s">
        <v>21</v>
      </c>
      <c r="I2714" s="2" t="s">
        <v>6247</v>
      </c>
      <c r="J2714" s="3" t="str">
        <f>HYPERLINK("https://www.boe.es/gazeta/dias/1816/03/14/pdfs/GMD-1816-34.pdf#page=5","Abrir facsímil")</f>
        <v>Abrir facsímil</v>
      </c>
      <c r="K2714" s="3" t="s">
        <v>23</v>
      </c>
    </row>
    <row r="2715" spans="1:11" ht="42" customHeight="1">
      <c r="A2715" s="2" t="s">
        <v>6248</v>
      </c>
      <c r="B2715" s="2" t="s">
        <v>6248</v>
      </c>
      <c r="C2715" s="2" t="s">
        <v>111</v>
      </c>
      <c r="D2715" s="2" t="s">
        <v>112</v>
      </c>
      <c r="E2715" s="5">
        <v>-30431</v>
      </c>
      <c r="F2715" s="3" t="s">
        <v>756</v>
      </c>
      <c r="G2715" s="3" t="s">
        <v>184</v>
      </c>
      <c r="H2715" s="2" t="s">
        <v>21</v>
      </c>
      <c r="I2715" s="2" t="s">
        <v>6249</v>
      </c>
      <c r="J2715" s="3" t="str">
        <f>HYPERLINK("https://www.boe.es/gazeta/dias/1816/09/05/pdfs/GMD-1816-110.pdf#page=3","Abrir facsímil")</f>
        <v>Abrir facsímil</v>
      </c>
      <c r="K2715" s="3" t="s">
        <v>23</v>
      </c>
    </row>
    <row r="2716" spans="1:11" ht="42" customHeight="1">
      <c r="A2716" s="2" t="s">
        <v>6250</v>
      </c>
      <c r="B2716" s="2" t="s">
        <v>6250</v>
      </c>
      <c r="C2716" s="2" t="s">
        <v>34</v>
      </c>
      <c r="D2716" s="2" t="s">
        <v>35</v>
      </c>
      <c r="E2716" s="5">
        <v>-30480</v>
      </c>
      <c r="F2716" s="3" t="s">
        <v>147</v>
      </c>
      <c r="G2716" s="3" t="s">
        <v>28</v>
      </c>
      <c r="H2716" s="2" t="s">
        <v>21</v>
      </c>
      <c r="I2716" s="2" t="s">
        <v>6251</v>
      </c>
      <c r="J2716" s="3" t="str">
        <f>HYPERLINK("https://www.boe.es/gazeta/dias/1816/07/18/pdfs/GMD-1816-89.pdf#page=6","Abrir facsímil")</f>
        <v>Abrir facsímil</v>
      </c>
      <c r="K2716" s="3" t="s">
        <v>23</v>
      </c>
    </row>
    <row r="2717" spans="1:11" ht="42" customHeight="1">
      <c r="A2717" s="2" t="s">
        <v>6252</v>
      </c>
      <c r="B2717" s="2" t="s">
        <v>6252</v>
      </c>
      <c r="C2717" s="2" t="s">
        <v>26</v>
      </c>
      <c r="D2717" s="2" t="s">
        <v>18</v>
      </c>
      <c r="E2717" s="5">
        <v>-30464</v>
      </c>
      <c r="F2717" s="3" t="s">
        <v>215</v>
      </c>
      <c r="G2717" s="3" t="s">
        <v>175</v>
      </c>
      <c r="H2717" s="2" t="s">
        <v>21</v>
      </c>
      <c r="I2717" s="2" t="s">
        <v>6253</v>
      </c>
      <c r="J2717" s="3" t="str">
        <f>HYPERLINK("https://www.boe.es/gazeta/dias/1816/08/03/pdfs/GMD-1816-96.pdf#page=11","Abrir facsímil")</f>
        <v>Abrir facsímil</v>
      </c>
      <c r="K2717" s="3" t="s">
        <v>23</v>
      </c>
    </row>
    <row r="2718" spans="1:11" ht="42" customHeight="1">
      <c r="A2718" s="2" t="s">
        <v>6254</v>
      </c>
      <c r="B2718" s="2" t="s">
        <v>6255</v>
      </c>
      <c r="C2718" s="2" t="s">
        <v>17</v>
      </c>
      <c r="D2718" s="2" t="s">
        <v>18</v>
      </c>
      <c r="E2718" s="5">
        <v>-30527</v>
      </c>
      <c r="F2718" s="3" t="s">
        <v>304</v>
      </c>
      <c r="G2718" s="3" t="s">
        <v>103</v>
      </c>
      <c r="H2718" s="2" t="s">
        <v>21</v>
      </c>
      <c r="I2718" s="2" t="s">
        <v>6256</v>
      </c>
      <c r="J2718" s="3" t="str">
        <f>HYPERLINK("https://www.boe.es/gazeta/dias/1816/06/01/pdfs/GMD-1816-69.pdf#page=4","Abrir facsímil")</f>
        <v>Abrir facsímil</v>
      </c>
      <c r="K2718" s="3" t="s">
        <v>23</v>
      </c>
    </row>
    <row r="2719" spans="1:11" ht="42" customHeight="1">
      <c r="A2719" s="2" t="s">
        <v>6257</v>
      </c>
      <c r="B2719" s="2" t="s">
        <v>6257</v>
      </c>
      <c r="C2719" s="2" t="s">
        <v>34</v>
      </c>
      <c r="D2719" s="2" t="s">
        <v>35</v>
      </c>
      <c r="E2719" s="5">
        <v>-30678</v>
      </c>
      <c r="F2719" s="3" t="s">
        <v>76</v>
      </c>
      <c r="G2719" s="3" t="s">
        <v>2221</v>
      </c>
      <c r="H2719" s="2" t="s">
        <v>21</v>
      </c>
      <c r="I2719" s="2" t="s">
        <v>6258</v>
      </c>
      <c r="J2719" s="3" t="str">
        <f>HYPERLINK("https://www.boe.es/gazeta/dias/1816/01/02/pdfs/GMD-1816-1.pdf#page=7","Abrir facsímil")</f>
        <v>Abrir facsímil</v>
      </c>
      <c r="K2719" s="3" t="s">
        <v>23</v>
      </c>
    </row>
    <row r="2720" spans="1:11" ht="42" customHeight="1">
      <c r="A2720" s="2" t="s">
        <v>6257</v>
      </c>
      <c r="B2720" s="2" t="s">
        <v>6257</v>
      </c>
      <c r="C2720" s="2" t="s">
        <v>67</v>
      </c>
      <c r="D2720" s="2" t="s">
        <v>18</v>
      </c>
      <c r="E2720" s="5">
        <v>-30517</v>
      </c>
      <c r="F2720" s="3" t="s">
        <v>557</v>
      </c>
      <c r="G2720" s="3" t="s">
        <v>42</v>
      </c>
      <c r="H2720" s="2" t="s">
        <v>21</v>
      </c>
      <c r="I2720" s="2" t="s">
        <v>6259</v>
      </c>
      <c r="J2720" s="3" t="str">
        <f>HYPERLINK("https://www.boe.es/gazeta/dias/1816/06/11/pdfs/GMD-1816-73.pdf#page=8","Abrir facsímil")</f>
        <v>Abrir facsímil</v>
      </c>
      <c r="K2720" s="3" t="s">
        <v>23</v>
      </c>
    </row>
    <row r="2721" spans="1:11" ht="42" customHeight="1">
      <c r="A2721" s="2" t="s">
        <v>6257</v>
      </c>
      <c r="B2721" s="2" t="s">
        <v>6257</v>
      </c>
      <c r="C2721" s="2" t="s">
        <v>67</v>
      </c>
      <c r="D2721" s="2" t="s">
        <v>18</v>
      </c>
      <c r="E2721" s="5">
        <v>-30471</v>
      </c>
      <c r="F2721" s="3" t="s">
        <v>639</v>
      </c>
      <c r="G2721" s="3" t="s">
        <v>42</v>
      </c>
      <c r="H2721" s="2" t="s">
        <v>21</v>
      </c>
      <c r="I2721" s="2" t="s">
        <v>6260</v>
      </c>
      <c r="J2721" s="3" t="str">
        <f>HYPERLINK("https://www.boe.es/gazeta/dias/1816/07/27/pdfs/GMD-1816-93.pdf#page=8","Abrir facsímil")</f>
        <v>Abrir facsímil</v>
      </c>
      <c r="K2721" s="3" t="s">
        <v>23</v>
      </c>
    </row>
    <row r="2722" spans="1:11" ht="42" customHeight="1">
      <c r="A2722" s="2" t="s">
        <v>6257</v>
      </c>
      <c r="B2722" s="2" t="s">
        <v>6257</v>
      </c>
      <c r="C2722" s="2" t="s">
        <v>26</v>
      </c>
      <c r="D2722" s="2" t="s">
        <v>18</v>
      </c>
      <c r="E2722" s="5">
        <v>-30391</v>
      </c>
      <c r="F2722" s="3" t="s">
        <v>482</v>
      </c>
      <c r="G2722" s="3" t="s">
        <v>72</v>
      </c>
      <c r="H2722" s="2" t="s">
        <v>21</v>
      </c>
      <c r="I2722" s="2" t="s">
        <v>6261</v>
      </c>
      <c r="J2722" s="3" t="str">
        <f>HYPERLINK("https://www.boe.es/gazeta/dias/1816/10/15/pdfs/GMD-1816-129.pdf#page=7","Abrir facsímil")</f>
        <v>Abrir facsímil</v>
      </c>
      <c r="K2722" s="3" t="s">
        <v>23</v>
      </c>
    </row>
    <row r="2723" spans="1:11" ht="42" customHeight="1">
      <c r="A2723" s="2" t="s">
        <v>6262</v>
      </c>
      <c r="B2723" s="2" t="s">
        <v>6262</v>
      </c>
      <c r="C2723" s="2" t="s">
        <v>26</v>
      </c>
      <c r="D2723" s="2" t="s">
        <v>18</v>
      </c>
      <c r="E2723" s="5">
        <v>-30655</v>
      </c>
      <c r="F2723" s="3" t="s">
        <v>170</v>
      </c>
      <c r="G2723" s="3" t="s">
        <v>72</v>
      </c>
      <c r="H2723" s="2" t="s">
        <v>21</v>
      </c>
      <c r="I2723" s="2" t="s">
        <v>6263</v>
      </c>
      <c r="J2723" s="3" t="str">
        <f>HYPERLINK("https://www.boe.es/gazeta/dias/1816/01/25/pdfs/GMD-1816-11.pdf#page=7","Abrir facsímil")</f>
        <v>Abrir facsímil</v>
      </c>
      <c r="K2723" s="3" t="s">
        <v>23</v>
      </c>
    </row>
    <row r="2724" spans="1:11" ht="42" customHeight="1">
      <c r="A2724" s="2" t="s">
        <v>6262</v>
      </c>
      <c r="B2724" s="2" t="s">
        <v>6262</v>
      </c>
      <c r="C2724" s="2" t="s">
        <v>81</v>
      </c>
      <c r="D2724" s="2" t="s">
        <v>18</v>
      </c>
      <c r="E2724" s="5">
        <v>-30632</v>
      </c>
      <c r="F2724" s="3" t="s">
        <v>89</v>
      </c>
      <c r="G2724" s="3" t="s">
        <v>103</v>
      </c>
      <c r="H2724" s="2" t="s">
        <v>21</v>
      </c>
      <c r="I2724" s="2" t="s">
        <v>6264</v>
      </c>
      <c r="J2724" s="3" t="str">
        <f>HYPERLINK("https://www.boe.es/gazeta/dias/1816/02/17/pdfs/GMD-1816-22.pdf#page=4","Abrir facsímil")</f>
        <v>Abrir facsímil</v>
      </c>
      <c r="K2724" s="3" t="s">
        <v>23</v>
      </c>
    </row>
    <row r="2725" spans="1:11" ht="42" customHeight="1">
      <c r="A2725" s="2" t="s">
        <v>6262</v>
      </c>
      <c r="B2725" s="2" t="s">
        <v>6262</v>
      </c>
      <c r="C2725" s="2" t="s">
        <v>26</v>
      </c>
      <c r="D2725" s="2" t="s">
        <v>56</v>
      </c>
      <c r="E2725" s="5">
        <v>-30622</v>
      </c>
      <c r="F2725" s="3" t="s">
        <v>907</v>
      </c>
      <c r="G2725" s="3" t="s">
        <v>58</v>
      </c>
      <c r="H2725" s="2" t="s">
        <v>21</v>
      </c>
      <c r="I2725" s="2" t="s">
        <v>6265</v>
      </c>
      <c r="J2725" s="3" t="str">
        <f>HYPERLINK("https://www.boe.es/gazeta/dias/1816/02/27/pdfs/GMD-1816-27E.pdf#page=1","Abrir facsímil")</f>
        <v>Abrir facsímil</v>
      </c>
      <c r="K2725" s="3" t="s">
        <v>23</v>
      </c>
    </row>
    <row r="2726" spans="1:11" ht="42" customHeight="1">
      <c r="A2726" s="2" t="s">
        <v>6262</v>
      </c>
      <c r="B2726" s="2" t="s">
        <v>6262</v>
      </c>
      <c r="C2726" s="2" t="s">
        <v>111</v>
      </c>
      <c r="D2726" s="2" t="s">
        <v>112</v>
      </c>
      <c r="E2726" s="5">
        <v>-30601</v>
      </c>
      <c r="F2726" s="3" t="s">
        <v>308</v>
      </c>
      <c r="G2726" s="3" t="s">
        <v>72</v>
      </c>
      <c r="H2726" s="2" t="s">
        <v>21</v>
      </c>
      <c r="I2726" s="2" t="s">
        <v>6266</v>
      </c>
      <c r="J2726" s="3" t="str">
        <f>HYPERLINK("https://www.boe.es/gazeta/dias/1816/03/19/pdfs/GMD-1816-37.pdf#page=7","Abrir facsímil")</f>
        <v>Abrir facsímil</v>
      </c>
      <c r="K2726" s="3" t="s">
        <v>23</v>
      </c>
    </row>
    <row r="2727" spans="1:11" ht="42" customHeight="1">
      <c r="A2727" s="2" t="s">
        <v>6262</v>
      </c>
      <c r="B2727" s="2" t="s">
        <v>6262</v>
      </c>
      <c r="C2727" s="2" t="s">
        <v>34</v>
      </c>
      <c r="D2727" s="2" t="s">
        <v>35</v>
      </c>
      <c r="E2727" s="5">
        <v>-30599</v>
      </c>
      <c r="F2727" s="3" t="s">
        <v>552</v>
      </c>
      <c r="G2727" s="3" t="s">
        <v>103</v>
      </c>
      <c r="H2727" s="2" t="s">
        <v>21</v>
      </c>
      <c r="I2727" s="2" t="s">
        <v>6267</v>
      </c>
      <c r="J2727" s="3" t="str">
        <f>HYPERLINK("https://www.boe.es/gazeta/dias/1816/03/21/pdfs/GMD-1816-38.pdf#page=4","Abrir facsímil")</f>
        <v>Abrir facsímil</v>
      </c>
      <c r="K2727" s="3" t="s">
        <v>23</v>
      </c>
    </row>
    <row r="2728" spans="1:11" ht="42" customHeight="1">
      <c r="A2728" s="2" t="s">
        <v>6262</v>
      </c>
      <c r="B2728" s="2" t="s">
        <v>6262</v>
      </c>
      <c r="C2728" s="2" t="s">
        <v>111</v>
      </c>
      <c r="D2728" s="2" t="s">
        <v>112</v>
      </c>
      <c r="E2728" s="5">
        <v>-30557</v>
      </c>
      <c r="F2728" s="3" t="s">
        <v>508</v>
      </c>
      <c r="G2728" s="3" t="s">
        <v>103</v>
      </c>
      <c r="H2728" s="2" t="s">
        <v>21</v>
      </c>
      <c r="I2728" s="2" t="s">
        <v>6268</v>
      </c>
      <c r="J2728" s="3" t="str">
        <f>HYPERLINK("https://www.boe.es/gazeta/dias/1816/05/02/pdfs/GMD-1816-56.pdf#page=4","Abrir facsímil")</f>
        <v>Abrir facsímil</v>
      </c>
      <c r="K2728" s="3" t="s">
        <v>23</v>
      </c>
    </row>
    <row r="2729" spans="1:11" ht="42" customHeight="1">
      <c r="A2729" s="2" t="s">
        <v>6262</v>
      </c>
      <c r="B2729" s="2" t="s">
        <v>6262</v>
      </c>
      <c r="C2729" s="2" t="s">
        <v>17</v>
      </c>
      <c r="D2729" s="2" t="s">
        <v>18</v>
      </c>
      <c r="E2729" s="5">
        <v>-30464</v>
      </c>
      <c r="F2729" s="3" t="s">
        <v>215</v>
      </c>
      <c r="G2729" s="3" t="s">
        <v>184</v>
      </c>
      <c r="H2729" s="2" t="s">
        <v>21</v>
      </c>
      <c r="I2729" s="2" t="s">
        <v>6269</v>
      </c>
      <c r="J2729" s="3" t="str">
        <f>HYPERLINK("https://www.boe.es/gazeta/dias/1816/08/03/pdfs/GMD-1816-96.pdf#page=3","Abrir facsímil")</f>
        <v>Abrir facsímil</v>
      </c>
      <c r="K2729" s="3" t="s">
        <v>23</v>
      </c>
    </row>
    <row r="2730" spans="1:11" ht="42" customHeight="1">
      <c r="A2730" s="2" t="s">
        <v>6262</v>
      </c>
      <c r="B2730" s="2" t="s">
        <v>6262</v>
      </c>
      <c r="C2730" s="2" t="s">
        <v>111</v>
      </c>
      <c r="D2730" s="2" t="s">
        <v>112</v>
      </c>
      <c r="E2730" s="5">
        <v>-30445</v>
      </c>
      <c r="F2730" s="3" t="s">
        <v>51</v>
      </c>
      <c r="G2730" s="3" t="s">
        <v>175</v>
      </c>
      <c r="H2730" s="2" t="s">
        <v>21</v>
      </c>
      <c r="I2730" s="2" t="s">
        <v>6270</v>
      </c>
      <c r="J2730" s="3" t="str">
        <f>HYPERLINK("https://www.boe.es/gazeta/dias/1816/08/22/pdfs/GMD-1816-104.pdf#page=11","Abrir facsímil")</f>
        <v>Abrir facsímil</v>
      </c>
      <c r="K2730" s="3" t="s">
        <v>23</v>
      </c>
    </row>
    <row r="2731" spans="1:11" ht="42" customHeight="1">
      <c r="A2731" s="2" t="s">
        <v>6262</v>
      </c>
      <c r="B2731" s="2" t="s">
        <v>6262</v>
      </c>
      <c r="C2731" s="2" t="s">
        <v>26</v>
      </c>
      <c r="D2731" s="2" t="s">
        <v>18</v>
      </c>
      <c r="E2731" s="5">
        <v>-30424</v>
      </c>
      <c r="F2731" s="3" t="s">
        <v>142</v>
      </c>
      <c r="G2731" s="3" t="s">
        <v>4386</v>
      </c>
      <c r="H2731" s="2" t="s">
        <v>21</v>
      </c>
      <c r="I2731" s="2" t="s">
        <v>6271</v>
      </c>
      <c r="J2731" s="3" t="str">
        <f>HYPERLINK("https://www.boe.es/gazeta/dias/1816/09/12/pdfs/GMD-1816-113.pdf#page=5","Abrir facsímil")</f>
        <v>Abrir facsímil</v>
      </c>
      <c r="K2731" s="3" t="s">
        <v>23</v>
      </c>
    </row>
    <row r="2732" spans="1:11" ht="42" customHeight="1">
      <c r="A2732" s="2" t="s">
        <v>6262</v>
      </c>
      <c r="B2732" s="2" t="s">
        <v>6262</v>
      </c>
      <c r="C2732" s="2" t="s">
        <v>111</v>
      </c>
      <c r="D2732" s="2" t="s">
        <v>112</v>
      </c>
      <c r="E2732" s="5">
        <v>-30382</v>
      </c>
      <c r="F2732" s="3" t="s">
        <v>326</v>
      </c>
      <c r="G2732" s="3" t="s">
        <v>28</v>
      </c>
      <c r="H2732" s="2" t="s">
        <v>21</v>
      </c>
      <c r="I2732" s="2" t="s">
        <v>6272</v>
      </c>
      <c r="J2732" s="3" t="str">
        <f>HYPERLINK("https://www.boe.es/gazeta/dias/1816/10/24/pdfs/GMD-1816-133.pdf#page=6","Abrir facsímil")</f>
        <v>Abrir facsímil</v>
      </c>
      <c r="K2732" s="3" t="s">
        <v>23</v>
      </c>
    </row>
    <row r="2733" spans="1:11" ht="42" customHeight="1">
      <c r="A2733" s="2" t="s">
        <v>6262</v>
      </c>
      <c r="B2733" s="2" t="s">
        <v>6262</v>
      </c>
      <c r="C2733" s="2" t="s">
        <v>34</v>
      </c>
      <c r="D2733" s="2" t="s">
        <v>35</v>
      </c>
      <c r="E2733" s="5">
        <v>-30321</v>
      </c>
      <c r="F2733" s="3" t="s">
        <v>1086</v>
      </c>
      <c r="G2733" s="3" t="s">
        <v>103</v>
      </c>
      <c r="H2733" s="2" t="s">
        <v>21</v>
      </c>
      <c r="I2733" s="2" t="s">
        <v>6273</v>
      </c>
      <c r="J2733" s="3" t="str">
        <f>HYPERLINK("https://www.boe.es/gazeta/dias/1816/12/24/pdfs/GMD-1816-159.pdf#page=4","Abrir facsímil")</f>
        <v>Abrir facsímil</v>
      </c>
      <c r="K2733" s="3" t="s">
        <v>23</v>
      </c>
    </row>
    <row r="2734" spans="1:11" ht="42" customHeight="1">
      <c r="A2734" s="2" t="s">
        <v>6262</v>
      </c>
      <c r="B2734" s="2" t="s">
        <v>6262</v>
      </c>
      <c r="C2734" s="2" t="s">
        <v>81</v>
      </c>
      <c r="D2734" s="2" t="s">
        <v>18</v>
      </c>
      <c r="E2734" s="5">
        <v>-30319</v>
      </c>
      <c r="F2734" s="3" t="s">
        <v>131</v>
      </c>
      <c r="G2734" s="3" t="s">
        <v>2122</v>
      </c>
      <c r="H2734" s="2" t="s">
        <v>21</v>
      </c>
      <c r="I2734" s="2" t="s">
        <v>6274</v>
      </c>
      <c r="J2734" s="3" t="str">
        <f>HYPERLINK("https://www.boe.es/gazeta/dias/1816/12/26/pdfs/GMD-1816-160.pdf#page=7","Abrir facsímil")</f>
        <v>Abrir facsímil</v>
      </c>
      <c r="K2734" s="3" t="s">
        <v>23</v>
      </c>
    </row>
    <row r="2735" spans="1:11" ht="42" customHeight="1">
      <c r="A2735" s="2" t="s">
        <v>6275</v>
      </c>
      <c r="B2735" s="2" t="s">
        <v>6276</v>
      </c>
      <c r="C2735" s="2" t="s">
        <v>26</v>
      </c>
      <c r="D2735" s="2" t="s">
        <v>18</v>
      </c>
      <c r="E2735" s="5">
        <v>-30433</v>
      </c>
      <c r="F2735" s="3" t="s">
        <v>954</v>
      </c>
      <c r="G2735" s="3" t="s">
        <v>955</v>
      </c>
      <c r="H2735" s="2" t="s">
        <v>21</v>
      </c>
      <c r="I2735" s="2" t="s">
        <v>6277</v>
      </c>
      <c r="J2735" s="3" t="str">
        <f>HYPERLINK("https://www.boe.es/gazeta/dias/1816/09/03/pdfs/GMD-1816-109.pdf#page=7","Abrir facsímil")</f>
        <v>Abrir facsímil</v>
      </c>
      <c r="K2735" s="3" t="s">
        <v>23</v>
      </c>
    </row>
    <row r="2736" spans="1:11" ht="42" customHeight="1">
      <c r="A2736" s="2" t="s">
        <v>6275</v>
      </c>
      <c r="B2736" s="2" t="s">
        <v>6276</v>
      </c>
      <c r="C2736" s="2" t="s">
        <v>387</v>
      </c>
      <c r="D2736" s="2" t="s">
        <v>18</v>
      </c>
      <c r="E2736" s="5">
        <v>-30431</v>
      </c>
      <c r="F2736" s="3" t="s">
        <v>756</v>
      </c>
      <c r="G2736" s="3" t="s">
        <v>2277</v>
      </c>
      <c r="H2736" s="2" t="s">
        <v>21</v>
      </c>
      <c r="I2736" s="2" t="s">
        <v>6278</v>
      </c>
      <c r="J2736" s="3" t="str">
        <f>HYPERLINK("https://www.boe.es/gazeta/dias/1816/09/05/pdfs/GMD-1816-110.pdf#page=8","Abrir facsímil")</f>
        <v>Abrir facsímil</v>
      </c>
      <c r="K2736" s="3" t="s">
        <v>23</v>
      </c>
    </row>
    <row r="2737" spans="1:11" ht="42" customHeight="1">
      <c r="A2737" s="2" t="s">
        <v>6279</v>
      </c>
      <c r="B2737" s="2" t="s">
        <v>6279</v>
      </c>
      <c r="C2737" s="2" t="s">
        <v>111</v>
      </c>
      <c r="D2737" s="2" t="s">
        <v>112</v>
      </c>
      <c r="E2737" s="5">
        <v>-30557</v>
      </c>
      <c r="F2737" s="3" t="s">
        <v>508</v>
      </c>
      <c r="G2737" s="3" t="s">
        <v>103</v>
      </c>
      <c r="H2737" s="2" t="s">
        <v>21</v>
      </c>
      <c r="I2737" s="2" t="s">
        <v>6280</v>
      </c>
      <c r="J2737" s="3" t="str">
        <f>HYPERLINK("https://www.boe.es/gazeta/dias/1816/05/02/pdfs/GMD-1816-56.pdf#page=4","Abrir facsímil")</f>
        <v>Abrir facsímil</v>
      </c>
      <c r="K2737" s="3" t="s">
        <v>23</v>
      </c>
    </row>
    <row r="2738" spans="1:11" ht="42" customHeight="1">
      <c r="A2738" s="2" t="s">
        <v>6279</v>
      </c>
      <c r="B2738" s="2" t="s">
        <v>6279</v>
      </c>
      <c r="C2738" s="2" t="s">
        <v>26</v>
      </c>
      <c r="D2738" s="2" t="s">
        <v>18</v>
      </c>
      <c r="E2738" s="5">
        <v>-30387</v>
      </c>
      <c r="F2738" s="3" t="s">
        <v>224</v>
      </c>
      <c r="G2738" s="3" t="s">
        <v>72</v>
      </c>
      <c r="H2738" s="2" t="s">
        <v>21</v>
      </c>
      <c r="I2738" s="2" t="s">
        <v>6281</v>
      </c>
      <c r="J2738" s="3" t="str">
        <f>HYPERLINK("https://www.boe.es/gazeta/dias/1816/10/19/pdfs/GMD-1816-131.pdf#page=7","Abrir facsímil")</f>
        <v>Abrir facsímil</v>
      </c>
      <c r="K2738" s="3" t="s">
        <v>23</v>
      </c>
    </row>
    <row r="2739" spans="1:11" ht="42" customHeight="1">
      <c r="A2739" s="2" t="s">
        <v>6282</v>
      </c>
      <c r="B2739" s="2" t="s">
        <v>6283</v>
      </c>
      <c r="C2739" s="2" t="s">
        <v>41</v>
      </c>
      <c r="D2739" s="2" t="s">
        <v>18</v>
      </c>
      <c r="E2739" s="5">
        <v>-30387</v>
      </c>
      <c r="F2739" s="3" t="s">
        <v>224</v>
      </c>
      <c r="G2739" s="3" t="s">
        <v>28</v>
      </c>
      <c r="H2739" s="2" t="s">
        <v>21</v>
      </c>
      <c r="I2739" s="2" t="s">
        <v>6284</v>
      </c>
      <c r="J2739" s="3" t="str">
        <f>HYPERLINK("https://www.boe.es/gazeta/dias/1816/10/19/pdfs/GMD-1816-131.pdf#page=6","Abrir facsímil")</f>
        <v>Abrir facsímil</v>
      </c>
      <c r="K2739" s="3" t="s">
        <v>23</v>
      </c>
    </row>
    <row r="2740" spans="1:11" ht="42" customHeight="1">
      <c r="A2740" s="2" t="s">
        <v>6285</v>
      </c>
      <c r="B2740" s="2" t="s">
        <v>6285</v>
      </c>
      <c r="C2740" s="2" t="s">
        <v>111</v>
      </c>
      <c r="D2740" s="2" t="s">
        <v>112</v>
      </c>
      <c r="E2740" s="5">
        <v>-30473</v>
      </c>
      <c r="F2740" s="3" t="s">
        <v>336</v>
      </c>
      <c r="G2740" s="3" t="s">
        <v>562</v>
      </c>
      <c r="H2740" s="2" t="s">
        <v>21</v>
      </c>
      <c r="I2740" s="2" t="s">
        <v>6286</v>
      </c>
      <c r="J2740" s="3" t="str">
        <f>HYPERLINK("https://www.boe.es/gazeta/dias/1816/07/25/pdfs/GMD-1816-92.pdf#page=16","Abrir facsímil")</f>
        <v>Abrir facsímil</v>
      </c>
      <c r="K2740" s="3" t="s">
        <v>23</v>
      </c>
    </row>
    <row r="2741" spans="1:11" ht="42" customHeight="1">
      <c r="A2741" s="2" t="s">
        <v>6287</v>
      </c>
      <c r="B2741" s="2" t="s">
        <v>6288</v>
      </c>
      <c r="C2741" s="2" t="s">
        <v>26</v>
      </c>
      <c r="D2741" s="2" t="s">
        <v>18</v>
      </c>
      <c r="E2741" s="5">
        <v>-30478</v>
      </c>
      <c r="F2741" s="3" t="s">
        <v>123</v>
      </c>
      <c r="G2741" s="3" t="s">
        <v>2092</v>
      </c>
      <c r="H2741" s="2" t="s">
        <v>21</v>
      </c>
      <c r="I2741" s="2" t="s">
        <v>6289</v>
      </c>
      <c r="J2741" s="3" t="str">
        <f>HYPERLINK("https://www.boe.es/gazeta/dias/1816/07/20/pdfs/GMD-1816-90.pdf#page=5","Abrir facsímil")</f>
        <v>Abrir facsímil</v>
      </c>
      <c r="K2741" s="3" t="s">
        <v>23</v>
      </c>
    </row>
    <row r="2742" spans="1:11" ht="42" customHeight="1">
      <c r="A2742" s="2" t="s">
        <v>6290</v>
      </c>
      <c r="B2742" s="2" t="s">
        <v>6290</v>
      </c>
      <c r="C2742" s="2" t="s">
        <v>111</v>
      </c>
      <c r="D2742" s="2" t="s">
        <v>112</v>
      </c>
      <c r="E2742" s="5">
        <v>-30585</v>
      </c>
      <c r="F2742" s="3" t="s">
        <v>633</v>
      </c>
      <c r="G2742" s="3" t="s">
        <v>72</v>
      </c>
      <c r="H2742" s="2" t="s">
        <v>21</v>
      </c>
      <c r="I2742" s="2" t="s">
        <v>6291</v>
      </c>
      <c r="J2742" s="3" t="str">
        <f>HYPERLINK("https://www.boe.es/gazeta/dias/1816/04/04/pdfs/GMD-1816-44.pdf#page=7","Abrir facsímil")</f>
        <v>Abrir facsímil</v>
      </c>
      <c r="K2742" s="3" t="s">
        <v>23</v>
      </c>
    </row>
    <row r="2743" spans="1:11" ht="42" customHeight="1">
      <c r="A2743" s="2" t="s">
        <v>6290</v>
      </c>
      <c r="B2743" s="2" t="s">
        <v>6290</v>
      </c>
      <c r="C2743" s="2" t="s">
        <v>111</v>
      </c>
      <c r="D2743" s="2" t="s">
        <v>112</v>
      </c>
      <c r="E2743" s="5">
        <v>-30559</v>
      </c>
      <c r="F2743" s="3" t="s">
        <v>165</v>
      </c>
      <c r="G2743" s="3" t="s">
        <v>42</v>
      </c>
      <c r="H2743" s="2" t="s">
        <v>21</v>
      </c>
      <c r="I2743" s="2" t="s">
        <v>6292</v>
      </c>
      <c r="J2743" s="3" t="str">
        <f>HYPERLINK("https://www.boe.es/gazeta/dias/1816/04/30/pdfs/GMD-1816-55.pdf#page=8","Abrir facsímil")</f>
        <v>Abrir facsímil</v>
      </c>
      <c r="K2743" s="3" t="s">
        <v>23</v>
      </c>
    </row>
    <row r="2744" spans="1:11" ht="42" customHeight="1">
      <c r="A2744" s="2" t="s">
        <v>6293</v>
      </c>
      <c r="B2744" s="2" t="s">
        <v>6293</v>
      </c>
      <c r="C2744" s="2" t="s">
        <v>67</v>
      </c>
      <c r="D2744" s="2" t="s">
        <v>18</v>
      </c>
      <c r="E2744" s="5">
        <v>-30669</v>
      </c>
      <c r="F2744" s="3" t="s">
        <v>3499</v>
      </c>
      <c r="G2744" s="3" t="s">
        <v>42</v>
      </c>
      <c r="H2744" s="2" t="s">
        <v>21</v>
      </c>
      <c r="I2744" s="2" t="s">
        <v>6294</v>
      </c>
      <c r="J2744" s="3" t="str">
        <f>HYPERLINK("https://www.boe.es/gazeta/dias/1816/01/11/pdfs/GMD-1816-5.pdf#page=8","Abrir facsímil")</f>
        <v>Abrir facsímil</v>
      </c>
      <c r="K2744" s="3" t="s">
        <v>23</v>
      </c>
    </row>
    <row r="2745" spans="1:11" ht="42" customHeight="1">
      <c r="A2745" s="2" t="s">
        <v>6295</v>
      </c>
      <c r="B2745" s="2" t="s">
        <v>6296</v>
      </c>
      <c r="C2745" s="2" t="s">
        <v>111</v>
      </c>
      <c r="D2745" s="2" t="s">
        <v>112</v>
      </c>
      <c r="E2745" s="5">
        <v>-30557</v>
      </c>
      <c r="F2745" s="3" t="s">
        <v>508</v>
      </c>
      <c r="G2745" s="3" t="s">
        <v>72</v>
      </c>
      <c r="H2745" s="2" t="s">
        <v>21</v>
      </c>
      <c r="I2745" s="2" t="s">
        <v>6297</v>
      </c>
      <c r="J2745" s="3" t="str">
        <f>HYPERLINK("https://www.boe.es/gazeta/dias/1816/05/02/pdfs/GMD-1816-56.pdf#page=7","Abrir facsímil")</f>
        <v>Abrir facsímil</v>
      </c>
      <c r="K2745" s="3" t="s">
        <v>23</v>
      </c>
    </row>
    <row r="2746" spans="1:11" ht="42" customHeight="1">
      <c r="A2746" s="2" t="s">
        <v>6298</v>
      </c>
      <c r="B2746" s="2" t="s">
        <v>6299</v>
      </c>
      <c r="C2746" s="2" t="s">
        <v>26</v>
      </c>
      <c r="D2746" s="2" t="s">
        <v>18</v>
      </c>
      <c r="E2746" s="5">
        <v>-30387</v>
      </c>
      <c r="F2746" s="3" t="s">
        <v>224</v>
      </c>
      <c r="G2746" s="3" t="s">
        <v>28</v>
      </c>
      <c r="H2746" s="2" t="s">
        <v>21</v>
      </c>
      <c r="I2746" s="2" t="s">
        <v>6300</v>
      </c>
      <c r="J2746" s="3" t="str">
        <f>HYPERLINK("https://www.boe.es/gazeta/dias/1816/10/19/pdfs/GMD-1816-131.pdf#page=6","Abrir facsímil")</f>
        <v>Abrir facsímil</v>
      </c>
      <c r="K2746" s="3" t="s">
        <v>23</v>
      </c>
    </row>
    <row r="2747" spans="1:11" ht="42" customHeight="1">
      <c r="A2747" s="2" t="s">
        <v>6301</v>
      </c>
      <c r="B2747" s="2" t="s">
        <v>6302</v>
      </c>
      <c r="C2747" s="2" t="s">
        <v>26</v>
      </c>
      <c r="D2747" s="2" t="s">
        <v>18</v>
      </c>
      <c r="E2747" s="5">
        <v>-30387</v>
      </c>
      <c r="F2747" s="3" t="s">
        <v>224</v>
      </c>
      <c r="G2747" s="3" t="s">
        <v>28</v>
      </c>
      <c r="H2747" s="2" t="s">
        <v>21</v>
      </c>
      <c r="I2747" s="2" t="s">
        <v>6303</v>
      </c>
      <c r="J2747" s="3" t="str">
        <f>HYPERLINK("https://www.boe.es/gazeta/dias/1816/10/19/pdfs/GMD-1816-131.pdf#page=6","Abrir facsímil")</f>
        <v>Abrir facsímil</v>
      </c>
      <c r="K2747" s="3" t="s">
        <v>23</v>
      </c>
    </row>
    <row r="2748" spans="1:11" ht="42" customHeight="1">
      <c r="A2748" s="2" t="s">
        <v>6304</v>
      </c>
      <c r="B2748" s="2" t="s">
        <v>6305</v>
      </c>
      <c r="C2748" s="2" t="s">
        <v>111</v>
      </c>
      <c r="D2748" s="2" t="s">
        <v>112</v>
      </c>
      <c r="E2748" s="5">
        <v>-30387</v>
      </c>
      <c r="F2748" s="3" t="s">
        <v>224</v>
      </c>
      <c r="G2748" s="3" t="s">
        <v>28</v>
      </c>
      <c r="H2748" s="2" t="s">
        <v>21</v>
      </c>
      <c r="I2748" s="2" t="s">
        <v>6306</v>
      </c>
      <c r="J2748" s="3" t="str">
        <f>HYPERLINK("https://www.boe.es/gazeta/dias/1816/10/19/pdfs/GMD-1816-131.pdf#page=6","Abrir facsímil")</f>
        <v>Abrir facsímil</v>
      </c>
      <c r="K2748" s="3" t="s">
        <v>23</v>
      </c>
    </row>
    <row r="2749" spans="1:11" ht="42" customHeight="1">
      <c r="A2749" s="2" t="s">
        <v>6307</v>
      </c>
      <c r="B2749" s="2" t="s">
        <v>6308</v>
      </c>
      <c r="C2749" s="2" t="s">
        <v>111</v>
      </c>
      <c r="D2749" s="2" t="s">
        <v>112</v>
      </c>
      <c r="E2749" s="5">
        <v>-30387</v>
      </c>
      <c r="F2749" s="3" t="s">
        <v>224</v>
      </c>
      <c r="G2749" s="3" t="s">
        <v>28</v>
      </c>
      <c r="H2749" s="2" t="s">
        <v>21</v>
      </c>
      <c r="I2749" s="2" t="s">
        <v>6309</v>
      </c>
      <c r="J2749" s="3" t="str">
        <f>HYPERLINK("https://www.boe.es/gazeta/dias/1816/10/19/pdfs/GMD-1816-131.pdf#page=6","Abrir facsímil")</f>
        <v>Abrir facsímil</v>
      </c>
      <c r="K2749" s="3" t="s">
        <v>23</v>
      </c>
    </row>
    <row r="2750" spans="1:11" ht="42" customHeight="1">
      <c r="A2750" s="2" t="s">
        <v>6310</v>
      </c>
      <c r="B2750" s="2" t="s">
        <v>6311</v>
      </c>
      <c r="C2750" s="2" t="s">
        <v>26</v>
      </c>
      <c r="D2750" s="2" t="s">
        <v>18</v>
      </c>
      <c r="E2750" s="5">
        <v>-30387</v>
      </c>
      <c r="F2750" s="3" t="s">
        <v>224</v>
      </c>
      <c r="G2750" s="3" t="s">
        <v>28</v>
      </c>
      <c r="H2750" s="2" t="s">
        <v>21</v>
      </c>
      <c r="I2750" s="2" t="s">
        <v>6312</v>
      </c>
      <c r="J2750" s="3" t="str">
        <f>HYPERLINK("https://www.boe.es/gazeta/dias/1816/10/19/pdfs/GMD-1816-131.pdf#page=6","Abrir facsímil")</f>
        <v>Abrir facsímil</v>
      </c>
      <c r="K2750" s="3" t="s">
        <v>23</v>
      </c>
    </row>
    <row r="2751" spans="1:11" ht="42" customHeight="1">
      <c r="A2751" s="2" t="s">
        <v>6313</v>
      </c>
      <c r="B2751" s="2" t="s">
        <v>6314</v>
      </c>
      <c r="C2751" s="2" t="s">
        <v>67</v>
      </c>
      <c r="D2751" s="2" t="s">
        <v>18</v>
      </c>
      <c r="E2751" s="5">
        <v>-30478</v>
      </c>
      <c r="F2751" s="3" t="s">
        <v>123</v>
      </c>
      <c r="G2751" s="3" t="s">
        <v>2092</v>
      </c>
      <c r="H2751" s="2" t="s">
        <v>21</v>
      </c>
      <c r="I2751" s="2" t="s">
        <v>6315</v>
      </c>
      <c r="J2751" s="3" t="str">
        <f>HYPERLINK("https://www.boe.es/gazeta/dias/1816/07/20/pdfs/GMD-1816-90.pdf#page=5","Abrir facsímil")</f>
        <v>Abrir facsímil</v>
      </c>
      <c r="K2751" s="3" t="s">
        <v>23</v>
      </c>
    </row>
    <row r="2752" spans="1:11" ht="42" customHeight="1">
      <c r="A2752" s="2" t="s">
        <v>6316</v>
      </c>
      <c r="B2752" s="2" t="s">
        <v>6316</v>
      </c>
      <c r="C2752" s="2" t="s">
        <v>26</v>
      </c>
      <c r="D2752" s="2" t="s">
        <v>18</v>
      </c>
      <c r="E2752" s="5">
        <v>-30655</v>
      </c>
      <c r="F2752" s="3" t="s">
        <v>170</v>
      </c>
      <c r="G2752" s="3" t="s">
        <v>47</v>
      </c>
      <c r="H2752" s="2" t="s">
        <v>21</v>
      </c>
      <c r="I2752" s="2" t="s">
        <v>6317</v>
      </c>
      <c r="J2752" s="3" t="str">
        <f>HYPERLINK("https://www.boe.es/gazeta/dias/1816/01/25/pdfs/GMD-1816-11.pdf#page=5","Abrir facsímil")</f>
        <v>Abrir facsímil</v>
      </c>
      <c r="K2752" s="3" t="s">
        <v>23</v>
      </c>
    </row>
    <row r="2753" spans="1:11" ht="42" customHeight="1">
      <c r="A2753" s="2" t="s">
        <v>6318</v>
      </c>
      <c r="B2753" s="2" t="s">
        <v>6318</v>
      </c>
      <c r="C2753" s="2" t="s">
        <v>17</v>
      </c>
      <c r="D2753" s="2" t="s">
        <v>18</v>
      </c>
      <c r="E2753" s="5">
        <v>-30632</v>
      </c>
      <c r="F2753" s="3" t="s">
        <v>89</v>
      </c>
      <c r="G2753" s="3" t="s">
        <v>42</v>
      </c>
      <c r="H2753" s="2" t="s">
        <v>21</v>
      </c>
      <c r="I2753" s="2" t="s">
        <v>6319</v>
      </c>
      <c r="J2753" s="3" t="str">
        <f>HYPERLINK("https://www.boe.es/gazeta/dias/1816/02/17/pdfs/GMD-1816-22.pdf#page=8","Abrir facsímil")</f>
        <v>Abrir facsímil</v>
      </c>
      <c r="K2753" s="3" t="s">
        <v>23</v>
      </c>
    </row>
    <row r="2754" spans="1:11" ht="42" customHeight="1">
      <c r="A2754" s="2" t="s">
        <v>6320</v>
      </c>
      <c r="B2754" s="2" t="s">
        <v>6320</v>
      </c>
      <c r="C2754" s="2" t="s">
        <v>34</v>
      </c>
      <c r="D2754" s="2" t="s">
        <v>35</v>
      </c>
      <c r="E2754" s="5">
        <v>-30401</v>
      </c>
      <c r="F2754" s="3" t="s">
        <v>652</v>
      </c>
      <c r="G2754" s="3" t="s">
        <v>58</v>
      </c>
      <c r="H2754" s="2" t="s">
        <v>21</v>
      </c>
      <c r="I2754" s="2" t="s">
        <v>6321</v>
      </c>
      <c r="J2754" s="3" t="str">
        <f>HYPERLINK("https://www.boe.es/gazeta/dias/1816/10/05/pdfs/GMD-1816-123.pdf#page=1","Abrir facsímil")</f>
        <v>Abrir facsímil</v>
      </c>
      <c r="K2754" s="3" t="s">
        <v>23</v>
      </c>
    </row>
    <row r="2755" spans="1:11" ht="42" customHeight="1">
      <c r="A2755" s="2" t="s">
        <v>6322</v>
      </c>
      <c r="B2755" s="2" t="s">
        <v>6323</v>
      </c>
      <c r="C2755" s="2" t="s">
        <v>111</v>
      </c>
      <c r="D2755" s="2" t="s">
        <v>112</v>
      </c>
      <c r="E2755" s="5">
        <v>-30429</v>
      </c>
      <c r="F2755" s="3" t="s">
        <v>598</v>
      </c>
      <c r="G2755" s="3" t="s">
        <v>103</v>
      </c>
      <c r="H2755" s="2" t="s">
        <v>21</v>
      </c>
      <c r="I2755" s="2" t="s">
        <v>6324</v>
      </c>
      <c r="J2755" s="3" t="str">
        <f>HYPERLINK("https://www.boe.es/gazeta/dias/1816/09/07/pdfs/GMD-1816-111.pdf#page=4","Abrir facsímil")</f>
        <v>Abrir facsímil</v>
      </c>
      <c r="K2755" s="3" t="s">
        <v>23</v>
      </c>
    </row>
    <row r="2756" spans="1:11" ht="42" customHeight="1">
      <c r="A2756" s="2" t="s">
        <v>6325</v>
      </c>
      <c r="B2756" s="2" t="s">
        <v>6325</v>
      </c>
      <c r="C2756" s="2" t="s">
        <v>26</v>
      </c>
      <c r="D2756" s="2" t="s">
        <v>18</v>
      </c>
      <c r="E2756" s="5">
        <v>-30597</v>
      </c>
      <c r="F2756" s="3" t="s">
        <v>696</v>
      </c>
      <c r="G2756" s="3" t="s">
        <v>103</v>
      </c>
      <c r="H2756" s="2" t="s">
        <v>21</v>
      </c>
      <c r="I2756" s="2" t="s">
        <v>6326</v>
      </c>
      <c r="J2756" s="3" t="str">
        <f>HYPERLINK("https://www.boe.es/gazeta/dias/1816/03/23/pdfs/GMD-1816-39.pdf#page=4","Abrir facsímil")</f>
        <v>Abrir facsímil</v>
      </c>
      <c r="K2756" s="3" t="s">
        <v>23</v>
      </c>
    </row>
    <row r="2757" spans="1:11" ht="42" customHeight="1">
      <c r="A2757" s="2" t="s">
        <v>6327</v>
      </c>
      <c r="B2757" s="2" t="s">
        <v>6327</v>
      </c>
      <c r="C2757" s="2" t="s">
        <v>111</v>
      </c>
      <c r="D2757" s="2" t="s">
        <v>112</v>
      </c>
      <c r="E2757" s="5">
        <v>-30615</v>
      </c>
      <c r="F2757" s="3" t="s">
        <v>1848</v>
      </c>
      <c r="G2757" s="3" t="s">
        <v>47</v>
      </c>
      <c r="H2757" s="2" t="s">
        <v>21</v>
      </c>
      <c r="I2757" s="2" t="s">
        <v>6328</v>
      </c>
      <c r="J2757" s="3" t="str">
        <f>HYPERLINK("https://www.boe.es/gazeta/dias/1816/03/05/pdfs/GMD-1816-30.pdf#page=5","Abrir facsímil")</f>
        <v>Abrir facsímil</v>
      </c>
      <c r="K2757" s="3" t="s">
        <v>23</v>
      </c>
    </row>
    <row r="2758" spans="1:11" ht="42" customHeight="1">
      <c r="A2758" s="2" t="s">
        <v>6329</v>
      </c>
      <c r="B2758" s="2" t="s">
        <v>6329</v>
      </c>
      <c r="C2758" s="2" t="s">
        <v>34</v>
      </c>
      <c r="D2758" s="2" t="s">
        <v>35</v>
      </c>
      <c r="E2758" s="5">
        <v>-30405</v>
      </c>
      <c r="F2758" s="3" t="s">
        <v>587</v>
      </c>
      <c r="G2758" s="3" t="s">
        <v>270</v>
      </c>
      <c r="H2758" s="2" t="s">
        <v>21</v>
      </c>
      <c r="I2758" s="2" t="s">
        <v>6330</v>
      </c>
      <c r="J2758" s="3" t="str">
        <f>HYPERLINK("https://www.boe.es/gazeta/dias/1816/10/01/pdfs/GMD-1816-121.pdf#page=2","Abrir facsímil")</f>
        <v>Abrir facsímil</v>
      </c>
      <c r="K2758" s="3" t="s">
        <v>23</v>
      </c>
    </row>
    <row r="2759" spans="1:11" ht="42" customHeight="1">
      <c r="A2759" s="2" t="s">
        <v>6331</v>
      </c>
      <c r="B2759" s="2" t="s">
        <v>6331</v>
      </c>
      <c r="C2759" s="2" t="s">
        <v>34</v>
      </c>
      <c r="D2759" s="2" t="s">
        <v>35</v>
      </c>
      <c r="E2759" s="5">
        <v>-30643</v>
      </c>
      <c r="F2759" s="3" t="s">
        <v>620</v>
      </c>
      <c r="G2759" s="3" t="s">
        <v>58</v>
      </c>
      <c r="H2759" s="2" t="s">
        <v>21</v>
      </c>
      <c r="I2759" s="2" t="s">
        <v>6332</v>
      </c>
      <c r="J2759" s="3" t="str">
        <f>HYPERLINK("https://www.boe.es/gazeta/dias/1816/02/06/pdfs/GMD-1816-17.pdf#page=1","Abrir facsímil")</f>
        <v>Abrir facsímil</v>
      </c>
      <c r="K2759" s="3" t="s">
        <v>23</v>
      </c>
    </row>
    <row r="2760" spans="1:11" ht="42" customHeight="1">
      <c r="A2760" s="2" t="s">
        <v>6333</v>
      </c>
      <c r="B2760" s="2" t="s">
        <v>6333</v>
      </c>
      <c r="C2760" s="2" t="s">
        <v>34</v>
      </c>
      <c r="D2760" s="2" t="s">
        <v>35</v>
      </c>
      <c r="E2760" s="5">
        <v>-30587</v>
      </c>
      <c r="F2760" s="3" t="s">
        <v>341</v>
      </c>
      <c r="G2760" s="3" t="s">
        <v>58</v>
      </c>
      <c r="H2760" s="2" t="s">
        <v>21</v>
      </c>
      <c r="I2760" s="2" t="s">
        <v>6334</v>
      </c>
      <c r="J2760" s="3" t="str">
        <f>HYPERLINK("https://www.boe.es/gazeta/dias/1816/04/02/pdfs/GMD-1816-43.pdf#page=1","Abrir facsímil")</f>
        <v>Abrir facsímil</v>
      </c>
      <c r="K2760" s="3" t="s">
        <v>23</v>
      </c>
    </row>
    <row r="2761" spans="1:11" ht="42" customHeight="1">
      <c r="A2761" s="2" t="s">
        <v>6335</v>
      </c>
      <c r="B2761" s="2" t="s">
        <v>6335</v>
      </c>
      <c r="C2761" s="2" t="s">
        <v>34</v>
      </c>
      <c r="D2761" s="2" t="s">
        <v>35</v>
      </c>
      <c r="E2761" s="5">
        <v>-30583</v>
      </c>
      <c r="F2761" s="3" t="s">
        <v>241</v>
      </c>
      <c r="G2761" s="3" t="s">
        <v>58</v>
      </c>
      <c r="H2761" s="2" t="s">
        <v>21</v>
      </c>
      <c r="I2761" s="2" t="s">
        <v>6336</v>
      </c>
      <c r="J2761" s="3" t="str">
        <f>HYPERLINK("https://www.boe.es/gazeta/dias/1816/04/06/pdfs/GMD-1816-45.pdf#page=1","Abrir facsímil")</f>
        <v>Abrir facsímil</v>
      </c>
      <c r="K2761" s="3" t="s">
        <v>23</v>
      </c>
    </row>
    <row r="2762" spans="1:11" ht="42" customHeight="1">
      <c r="A2762" s="2" t="s">
        <v>6335</v>
      </c>
      <c r="B2762" s="2" t="s">
        <v>6335</v>
      </c>
      <c r="C2762" s="2" t="s">
        <v>34</v>
      </c>
      <c r="D2762" s="2" t="s">
        <v>35</v>
      </c>
      <c r="E2762" s="5">
        <v>-30401</v>
      </c>
      <c r="F2762" s="3" t="s">
        <v>652</v>
      </c>
      <c r="G2762" s="3" t="s">
        <v>58</v>
      </c>
      <c r="H2762" s="2" t="s">
        <v>21</v>
      </c>
      <c r="I2762" s="2" t="s">
        <v>6337</v>
      </c>
      <c r="J2762" s="3" t="str">
        <f>HYPERLINK("https://www.boe.es/gazeta/dias/1816/10/05/pdfs/GMD-1816-123.pdf#page=1","Abrir facsímil")</f>
        <v>Abrir facsímil</v>
      </c>
      <c r="K2762" s="3" t="s">
        <v>23</v>
      </c>
    </row>
    <row r="2763" spans="1:11" ht="42" customHeight="1">
      <c r="A2763" s="2" t="s">
        <v>6338</v>
      </c>
      <c r="B2763" s="2" t="s">
        <v>6338</v>
      </c>
      <c r="C2763" s="2" t="s">
        <v>34</v>
      </c>
      <c r="D2763" s="2" t="s">
        <v>35</v>
      </c>
      <c r="E2763" s="5">
        <v>-30538</v>
      </c>
      <c r="F2763" s="3" t="s">
        <v>496</v>
      </c>
      <c r="G2763" s="3" t="s">
        <v>3238</v>
      </c>
      <c r="H2763" s="2" t="s">
        <v>21</v>
      </c>
      <c r="I2763" s="2" t="s">
        <v>6339</v>
      </c>
      <c r="J2763" s="3" t="str">
        <f>HYPERLINK("https://www.boe.es/gazeta/dias/1816/05/21/pdfs/GMD-1816-64.pdf#page=2","Abrir facsímil")</f>
        <v>Abrir facsímil</v>
      </c>
      <c r="K2763" s="3" t="s">
        <v>23</v>
      </c>
    </row>
    <row r="2764" spans="1:11" ht="42" customHeight="1">
      <c r="A2764" s="2" t="s">
        <v>6340</v>
      </c>
      <c r="B2764" s="2" t="s">
        <v>6340</v>
      </c>
      <c r="C2764" s="2" t="s">
        <v>34</v>
      </c>
      <c r="D2764" s="2" t="s">
        <v>35</v>
      </c>
      <c r="E2764" s="5">
        <v>-30333</v>
      </c>
      <c r="F2764" s="3" t="s">
        <v>1005</v>
      </c>
      <c r="G2764" s="3" t="s">
        <v>184</v>
      </c>
      <c r="H2764" s="2" t="s">
        <v>21</v>
      </c>
      <c r="I2764" s="2" t="s">
        <v>6341</v>
      </c>
      <c r="J2764" s="3" t="str">
        <f>HYPERLINK("https://www.boe.es/gazeta/dias/1816/12/12/pdfs/GMD-1816-154.pdf#page=3","Abrir facsímil")</f>
        <v>Abrir facsímil</v>
      </c>
      <c r="K2764" s="3" t="s">
        <v>23</v>
      </c>
    </row>
    <row r="2765" spans="1:11" ht="42" customHeight="1">
      <c r="A2765" s="2" t="s">
        <v>6342</v>
      </c>
      <c r="B2765" s="2" t="s">
        <v>6342</v>
      </c>
      <c r="C2765" s="2" t="s">
        <v>34</v>
      </c>
      <c r="D2765" s="2" t="s">
        <v>35</v>
      </c>
      <c r="E2765" s="5">
        <v>-30377</v>
      </c>
      <c r="F2765" s="3" t="s">
        <v>138</v>
      </c>
      <c r="G2765" s="3" t="s">
        <v>184</v>
      </c>
      <c r="H2765" s="2" t="s">
        <v>21</v>
      </c>
      <c r="I2765" s="2" t="s">
        <v>6343</v>
      </c>
      <c r="J2765" s="3" t="str">
        <f>HYPERLINK("https://www.boe.es/gazeta/dias/1816/10/29/pdfs/GMD-1816-135.pdf#page=3","Abrir facsímil")</f>
        <v>Abrir facsímil</v>
      </c>
      <c r="K2765" s="3" t="s">
        <v>23</v>
      </c>
    </row>
    <row r="2766" spans="1:11" ht="42" customHeight="1">
      <c r="A2766" s="2" t="s">
        <v>6344</v>
      </c>
      <c r="B2766" s="2" t="s">
        <v>6344</v>
      </c>
      <c r="C2766" s="2" t="s">
        <v>34</v>
      </c>
      <c r="D2766" s="2" t="s">
        <v>35</v>
      </c>
      <c r="E2766" s="5">
        <v>-30522</v>
      </c>
      <c r="F2766" s="3" t="s">
        <v>282</v>
      </c>
      <c r="G2766" s="3" t="s">
        <v>58</v>
      </c>
      <c r="H2766" s="2" t="s">
        <v>21</v>
      </c>
      <c r="I2766" s="2" t="s">
        <v>6345</v>
      </c>
      <c r="J2766" s="3" t="str">
        <f>HYPERLINK("https://www.boe.es/gazeta/dias/1816/06/06/pdfs/GMD-1816-71.pdf#page=1","Abrir facsímil")</f>
        <v>Abrir facsímil</v>
      </c>
      <c r="K2766" s="3" t="s">
        <v>23</v>
      </c>
    </row>
    <row r="2767" spans="1:11" ht="42" customHeight="1">
      <c r="A2767" s="2" t="s">
        <v>6346</v>
      </c>
      <c r="B2767" s="2" t="s">
        <v>6347</v>
      </c>
      <c r="C2767" s="2" t="s">
        <v>26</v>
      </c>
      <c r="D2767" s="2" t="s">
        <v>18</v>
      </c>
      <c r="E2767" s="5">
        <v>-30457</v>
      </c>
      <c r="F2767" s="3" t="s">
        <v>539</v>
      </c>
      <c r="G2767" s="3" t="s">
        <v>47</v>
      </c>
      <c r="H2767" s="2" t="s">
        <v>21</v>
      </c>
      <c r="I2767" s="2" t="s">
        <v>6348</v>
      </c>
      <c r="J2767" s="3" t="str">
        <f>HYPERLINK("https://www.boe.es/gazeta/dias/1816/08/10/pdfs/GMD-1816-99.pdf#page=5","Abrir facsímil")</f>
        <v>Abrir facsímil</v>
      </c>
      <c r="K2767" s="3" t="s">
        <v>23</v>
      </c>
    </row>
    <row r="2768" spans="1:11" ht="42" customHeight="1">
      <c r="A2768" s="2" t="s">
        <v>6349</v>
      </c>
      <c r="B2768" s="2" t="s">
        <v>6349</v>
      </c>
      <c r="C2768" s="2" t="s">
        <v>34</v>
      </c>
      <c r="D2768" s="2" t="s">
        <v>35</v>
      </c>
      <c r="E2768" s="5">
        <v>-30401</v>
      </c>
      <c r="F2768" s="3" t="s">
        <v>652</v>
      </c>
      <c r="G2768" s="3" t="s">
        <v>58</v>
      </c>
      <c r="H2768" s="2" t="s">
        <v>21</v>
      </c>
      <c r="I2768" s="2" t="s">
        <v>6350</v>
      </c>
      <c r="J2768" s="3" t="str">
        <f>HYPERLINK("https://www.boe.es/gazeta/dias/1816/10/05/pdfs/GMD-1816-123.pdf#page=1","Abrir facsímil")</f>
        <v>Abrir facsímil</v>
      </c>
      <c r="K2768" s="3" t="s">
        <v>23</v>
      </c>
    </row>
    <row r="2769" spans="1:11" ht="42" customHeight="1">
      <c r="A2769" s="2" t="s">
        <v>6351</v>
      </c>
      <c r="B2769" s="2" t="s">
        <v>6352</v>
      </c>
      <c r="C2769" s="2" t="s">
        <v>111</v>
      </c>
      <c r="D2769" s="2" t="s">
        <v>112</v>
      </c>
      <c r="E2769" s="5">
        <v>-30436</v>
      </c>
      <c r="F2769" s="3" t="s">
        <v>102</v>
      </c>
      <c r="G2769" s="3" t="s">
        <v>52</v>
      </c>
      <c r="H2769" s="2" t="s">
        <v>29</v>
      </c>
      <c r="I2769" s="2" t="s">
        <v>6353</v>
      </c>
      <c r="J2769" s="3" t="str">
        <f>HYPERLINK("https://www.boe.es/gazeta/dias/1816/08/31/pdfs/GMD-1816-108.pdf#page=12","Abrir facsímil")</f>
        <v>Abrir facsímil</v>
      </c>
      <c r="K2769" s="3" t="s">
        <v>31</v>
      </c>
    </row>
    <row r="2770" spans="1:11" ht="42" customHeight="1">
      <c r="A2770" s="2" t="s">
        <v>6354</v>
      </c>
      <c r="B2770" s="2" t="s">
        <v>6355</v>
      </c>
      <c r="C2770" s="2" t="s">
        <v>111</v>
      </c>
      <c r="D2770" s="2" t="s">
        <v>112</v>
      </c>
      <c r="E2770" s="5">
        <v>-30485</v>
      </c>
      <c r="F2770" s="3" t="s">
        <v>156</v>
      </c>
      <c r="G2770" s="3" t="s">
        <v>161</v>
      </c>
      <c r="H2770" s="2" t="s">
        <v>29</v>
      </c>
      <c r="I2770" s="2" t="s">
        <v>6356</v>
      </c>
      <c r="J2770" s="3" t="str">
        <f>HYPERLINK("https://www.boe.es/gazeta/dias/1816/07/13/pdfs/GMD-1816-87.pdf#page=4","Abrir facsímil")</f>
        <v>Abrir facsímil</v>
      </c>
      <c r="K2770" s="3" t="s">
        <v>31</v>
      </c>
    </row>
    <row r="2771" spans="1:11" ht="42" customHeight="1">
      <c r="A2771" s="2" t="s">
        <v>6357</v>
      </c>
      <c r="B2771" s="2" t="s">
        <v>6358</v>
      </c>
      <c r="C2771" s="2" t="s">
        <v>26</v>
      </c>
      <c r="D2771" s="2" t="s">
        <v>18</v>
      </c>
      <c r="E2771" s="5">
        <v>-30443</v>
      </c>
      <c r="F2771" s="3" t="s">
        <v>259</v>
      </c>
      <c r="G2771" s="3" t="s">
        <v>47</v>
      </c>
      <c r="H2771" s="2" t="s">
        <v>29</v>
      </c>
      <c r="I2771" s="2" t="s">
        <v>6359</v>
      </c>
      <c r="J2771" s="3" t="str">
        <f>HYPERLINK("https://www.boe.es/gazeta/dias/1816/08/24/pdfs/GMD-1816-105.pdf#page=5","Abrir facsímil")</f>
        <v>Abrir facsímil</v>
      </c>
      <c r="K2771" s="3" t="s">
        <v>31</v>
      </c>
    </row>
    <row r="2772" spans="1:11" ht="42" customHeight="1">
      <c r="A2772" s="2" t="s">
        <v>6360</v>
      </c>
      <c r="B2772" s="2" t="s">
        <v>6361</v>
      </c>
      <c r="C2772" s="2" t="s">
        <v>26</v>
      </c>
      <c r="D2772" s="2" t="s">
        <v>18</v>
      </c>
      <c r="E2772" s="5">
        <v>-30548</v>
      </c>
      <c r="F2772" s="3" t="s">
        <v>472</v>
      </c>
      <c r="G2772" s="3" t="s">
        <v>42</v>
      </c>
      <c r="H2772" s="2" t="s">
        <v>29</v>
      </c>
      <c r="I2772" s="2" t="s">
        <v>6362</v>
      </c>
      <c r="J2772" s="3" t="str">
        <f>HYPERLINK("https://www.boe.es/gazeta/dias/1816/05/11/pdfs/GMD-1816-60.pdf#page=8","Abrir facsímil")</f>
        <v>Abrir facsímil</v>
      </c>
      <c r="K2772" s="3" t="s">
        <v>31</v>
      </c>
    </row>
    <row r="2773" spans="1:11" ht="42" customHeight="1">
      <c r="A2773" s="2" t="s">
        <v>6363</v>
      </c>
      <c r="B2773" s="2" t="s">
        <v>6364</v>
      </c>
      <c r="C2773" s="2" t="s">
        <v>81</v>
      </c>
      <c r="D2773" s="2" t="s">
        <v>18</v>
      </c>
      <c r="E2773" s="5">
        <v>-30450</v>
      </c>
      <c r="F2773" s="3" t="s">
        <v>349</v>
      </c>
      <c r="G2773" s="3" t="s">
        <v>42</v>
      </c>
      <c r="H2773" s="2" t="s">
        <v>29</v>
      </c>
      <c r="I2773" s="2" t="s">
        <v>6365</v>
      </c>
      <c r="J2773" s="3" t="str">
        <f>HYPERLINK("https://www.boe.es/gazeta/dias/1816/08/17/pdfs/GMD-1816-102.pdf#page=8","Abrir facsímil")</f>
        <v>Abrir facsímil</v>
      </c>
      <c r="K2773" s="3" t="s">
        <v>31</v>
      </c>
    </row>
    <row r="2774" spans="1:11" ht="42" customHeight="1">
      <c r="A2774" s="2" t="s">
        <v>6366</v>
      </c>
      <c r="B2774" s="2" t="s">
        <v>6366</v>
      </c>
      <c r="C2774" s="2" t="s">
        <v>34</v>
      </c>
      <c r="D2774" s="2" t="s">
        <v>35</v>
      </c>
      <c r="E2774" s="5">
        <v>-30545</v>
      </c>
      <c r="F2774" s="3" t="s">
        <v>127</v>
      </c>
      <c r="G2774" s="3" t="s">
        <v>103</v>
      </c>
      <c r="H2774" s="2" t="s">
        <v>21</v>
      </c>
      <c r="I2774" s="2" t="s">
        <v>6367</v>
      </c>
      <c r="J2774" s="3" t="str">
        <f>HYPERLINK("https://www.boe.es/gazeta/dias/1816/05/14/pdfs/GMD-1816-61.pdf#page=4","Abrir facsímil")</f>
        <v>Abrir facsímil</v>
      </c>
      <c r="K2774" s="3" t="s">
        <v>23</v>
      </c>
    </row>
    <row r="2775" spans="1:11" ht="42" customHeight="1">
      <c r="A2775" s="2" t="s">
        <v>6368</v>
      </c>
      <c r="B2775" s="2" t="s">
        <v>6369</v>
      </c>
      <c r="C2775" s="2" t="s">
        <v>41</v>
      </c>
      <c r="D2775" s="2" t="s">
        <v>18</v>
      </c>
      <c r="E2775" s="5">
        <v>-30333</v>
      </c>
      <c r="F2775" s="3" t="s">
        <v>1005</v>
      </c>
      <c r="G2775" s="3" t="s">
        <v>42</v>
      </c>
      <c r="H2775" s="2" t="s">
        <v>29</v>
      </c>
      <c r="I2775" s="2" t="s">
        <v>6370</v>
      </c>
      <c r="J2775" s="3" t="str">
        <f>HYPERLINK("https://www.boe.es/gazeta/dias/1816/12/12/pdfs/GMD-1816-154.pdf#page=8","Abrir facsímil")</f>
        <v>Abrir facsímil</v>
      </c>
      <c r="K2775" s="3" t="s">
        <v>31</v>
      </c>
    </row>
    <row r="2776" spans="1:11" ht="42" customHeight="1">
      <c r="A2776" s="2" t="s">
        <v>6371</v>
      </c>
      <c r="B2776" s="2" t="s">
        <v>6371</v>
      </c>
      <c r="C2776" s="2" t="s">
        <v>34</v>
      </c>
      <c r="D2776" s="2" t="s">
        <v>35</v>
      </c>
      <c r="E2776" s="5">
        <v>-30566</v>
      </c>
      <c r="F2776" s="3" t="s">
        <v>113</v>
      </c>
      <c r="G2776" s="3" t="s">
        <v>3621</v>
      </c>
      <c r="H2776" s="2" t="s">
        <v>21</v>
      </c>
      <c r="I2776" s="2" t="s">
        <v>6372</v>
      </c>
      <c r="J2776" s="3" t="str">
        <f>HYPERLINK("https://www.boe.es/gazeta/dias/1816/04/23/pdfs/GMD-1816-52.pdf#page=3","Abrir facsímil")</f>
        <v>Abrir facsímil</v>
      </c>
      <c r="K2776" s="3" t="s">
        <v>23</v>
      </c>
    </row>
    <row r="2777" spans="1:11" ht="42" customHeight="1">
      <c r="A2777" s="2" t="s">
        <v>6373</v>
      </c>
      <c r="B2777" s="2" t="s">
        <v>6374</v>
      </c>
      <c r="C2777" s="2" t="s">
        <v>26</v>
      </c>
      <c r="D2777" s="2" t="s">
        <v>18</v>
      </c>
      <c r="E2777" s="5">
        <v>-30478</v>
      </c>
      <c r="F2777" s="3" t="s">
        <v>123</v>
      </c>
      <c r="G2777" s="3" t="s">
        <v>2092</v>
      </c>
      <c r="H2777" s="2" t="s">
        <v>21</v>
      </c>
      <c r="I2777" s="2" t="s">
        <v>6375</v>
      </c>
      <c r="J2777" s="3" t="str">
        <f>HYPERLINK("https://www.boe.es/gazeta/dias/1816/07/20/pdfs/GMD-1816-90.pdf#page=5","Abrir facsímil")</f>
        <v>Abrir facsímil</v>
      </c>
      <c r="K2777" s="3" t="s">
        <v>23</v>
      </c>
    </row>
    <row r="2778" spans="1:11" ht="42" customHeight="1">
      <c r="A2778" s="2" t="s">
        <v>6376</v>
      </c>
      <c r="B2778" s="2" t="s">
        <v>6376</v>
      </c>
      <c r="C2778" s="2" t="s">
        <v>26</v>
      </c>
      <c r="D2778" s="2" t="s">
        <v>18</v>
      </c>
      <c r="E2778" s="5">
        <v>-30573</v>
      </c>
      <c r="F2778" s="3" t="s">
        <v>840</v>
      </c>
      <c r="G2778" s="3" t="s">
        <v>184</v>
      </c>
      <c r="H2778" s="2" t="s">
        <v>21</v>
      </c>
      <c r="I2778" s="2" t="s">
        <v>6377</v>
      </c>
      <c r="J2778" s="3" t="str">
        <f>HYPERLINK("https://www.boe.es/gazeta/dias/1816/04/16/pdfs/GMD-1816-49.pdf#page=3","Abrir facsímil")</f>
        <v>Abrir facsímil</v>
      </c>
      <c r="K2778" s="3" t="s">
        <v>23</v>
      </c>
    </row>
    <row r="2779" spans="1:11" ht="42" customHeight="1">
      <c r="A2779" s="2" t="s">
        <v>6378</v>
      </c>
      <c r="B2779" s="2" t="s">
        <v>6379</v>
      </c>
      <c r="C2779" s="2" t="s">
        <v>111</v>
      </c>
      <c r="D2779" s="2" t="s">
        <v>112</v>
      </c>
      <c r="E2779" s="5">
        <v>-30597</v>
      </c>
      <c r="F2779" s="3" t="s">
        <v>696</v>
      </c>
      <c r="G2779" s="3" t="s">
        <v>5227</v>
      </c>
      <c r="H2779" s="2" t="s">
        <v>21</v>
      </c>
      <c r="I2779" s="2" t="s">
        <v>6380</v>
      </c>
      <c r="J2779" s="3" t="str">
        <f>HYPERLINK("https://www.boe.es/gazeta/dias/1816/03/23/pdfs/GMD-1816-39.pdf#page=8","Abrir facsímil")</f>
        <v>Abrir facsímil</v>
      </c>
      <c r="K2779" s="3" t="s">
        <v>23</v>
      </c>
    </row>
    <row r="2780" spans="1:11" ht="42" customHeight="1">
      <c r="A2780" s="2" t="s">
        <v>6381</v>
      </c>
      <c r="B2780" s="2" t="s">
        <v>6382</v>
      </c>
      <c r="C2780" s="2" t="s">
        <v>111</v>
      </c>
      <c r="D2780" s="2" t="s">
        <v>112</v>
      </c>
      <c r="E2780" s="5">
        <v>-30660</v>
      </c>
      <c r="F2780" s="3" t="s">
        <v>809</v>
      </c>
      <c r="G2780" s="3" t="s">
        <v>47</v>
      </c>
      <c r="H2780" s="2" t="s">
        <v>21</v>
      </c>
      <c r="I2780" s="2" t="s">
        <v>6383</v>
      </c>
      <c r="J2780" s="3" t="str">
        <f>HYPERLINK("https://www.boe.es/gazeta/dias/1816/01/20/pdfs/GMD-1816-9.pdf#page=5","Abrir facsímil")</f>
        <v>Abrir facsímil</v>
      </c>
      <c r="K2780" s="3" t="s">
        <v>23</v>
      </c>
    </row>
    <row r="2781" spans="1:11" ht="42" customHeight="1">
      <c r="A2781" s="2" t="s">
        <v>6381</v>
      </c>
      <c r="B2781" s="2" t="s">
        <v>6382</v>
      </c>
      <c r="C2781" s="2" t="s">
        <v>34</v>
      </c>
      <c r="D2781" s="2" t="s">
        <v>35</v>
      </c>
      <c r="E2781" s="5">
        <v>-30660</v>
      </c>
      <c r="F2781" s="3" t="s">
        <v>809</v>
      </c>
      <c r="G2781" s="3" t="s">
        <v>28</v>
      </c>
      <c r="H2781" s="2" t="s">
        <v>21</v>
      </c>
      <c r="I2781" s="2" t="s">
        <v>6384</v>
      </c>
      <c r="J2781" s="3" t="str">
        <f>HYPERLINK("https://www.boe.es/gazeta/dias/1816/01/20/pdfs/GMD-1816-9.pdf#page=6","Abrir facsímil")</f>
        <v>Abrir facsímil</v>
      </c>
      <c r="K2781" s="3" t="s">
        <v>23</v>
      </c>
    </row>
    <row r="2782" spans="1:11" ht="42" customHeight="1">
      <c r="A2782" s="2" t="s">
        <v>6385</v>
      </c>
      <c r="B2782" s="2" t="s">
        <v>6386</v>
      </c>
      <c r="C2782" s="2" t="s">
        <v>111</v>
      </c>
      <c r="D2782" s="2" t="s">
        <v>112</v>
      </c>
      <c r="E2782" s="5">
        <v>-30517</v>
      </c>
      <c r="F2782" s="3" t="s">
        <v>557</v>
      </c>
      <c r="G2782" s="3" t="s">
        <v>42</v>
      </c>
      <c r="H2782" s="2" t="s">
        <v>21</v>
      </c>
      <c r="I2782" s="2" t="s">
        <v>6387</v>
      </c>
      <c r="J2782" s="3" t="str">
        <f>HYPERLINK("https://www.boe.es/gazeta/dias/1816/06/11/pdfs/GMD-1816-73.pdf#page=8","Abrir facsímil")</f>
        <v>Abrir facsímil</v>
      </c>
      <c r="K2782" s="3" t="s">
        <v>23</v>
      </c>
    </row>
    <row r="2783" spans="1:11" ht="42" customHeight="1">
      <c r="A2783" s="2" t="s">
        <v>6388</v>
      </c>
      <c r="B2783" s="2" t="s">
        <v>6389</v>
      </c>
      <c r="C2783" s="2" t="s">
        <v>26</v>
      </c>
      <c r="D2783" s="2" t="s">
        <v>18</v>
      </c>
      <c r="E2783" s="5">
        <v>-30478</v>
      </c>
      <c r="F2783" s="3" t="s">
        <v>123</v>
      </c>
      <c r="G2783" s="3" t="s">
        <v>2092</v>
      </c>
      <c r="H2783" s="2" t="s">
        <v>21</v>
      </c>
      <c r="I2783" s="2" t="s">
        <v>6390</v>
      </c>
      <c r="J2783" s="3" t="str">
        <f>HYPERLINK("https://www.boe.es/gazeta/dias/1816/07/20/pdfs/GMD-1816-90.pdf#page=5","Abrir facsímil")</f>
        <v>Abrir facsímil</v>
      </c>
      <c r="K2783" s="3" t="s">
        <v>23</v>
      </c>
    </row>
    <row r="2784" spans="1:11" ht="42" customHeight="1">
      <c r="A2784" s="2" t="s">
        <v>6391</v>
      </c>
      <c r="B2784" s="2" t="s">
        <v>6391</v>
      </c>
      <c r="C2784" s="2" t="s">
        <v>34</v>
      </c>
      <c r="D2784" s="2" t="s">
        <v>35</v>
      </c>
      <c r="E2784" s="5">
        <v>-30618</v>
      </c>
      <c r="F2784" s="3" t="s">
        <v>207</v>
      </c>
      <c r="G2784" s="3" t="s">
        <v>184</v>
      </c>
      <c r="H2784" s="2" t="s">
        <v>21</v>
      </c>
      <c r="I2784" s="2" t="s">
        <v>6392</v>
      </c>
      <c r="J2784" s="3" t="str">
        <f>HYPERLINK("https://www.boe.es/gazeta/dias/1816/03/02/pdfs/GMD-1816-29.pdf#page=3","Abrir facsímil")</f>
        <v>Abrir facsímil</v>
      </c>
      <c r="K2784" s="3" t="s">
        <v>23</v>
      </c>
    </row>
    <row r="2785" spans="1:11" ht="42" customHeight="1">
      <c r="A2785" s="2" t="s">
        <v>6393</v>
      </c>
      <c r="B2785" s="2" t="s">
        <v>6393</v>
      </c>
      <c r="C2785" s="2" t="s">
        <v>34</v>
      </c>
      <c r="D2785" s="2" t="s">
        <v>35</v>
      </c>
      <c r="E2785" s="5">
        <v>-30377</v>
      </c>
      <c r="F2785" s="3" t="s">
        <v>138</v>
      </c>
      <c r="G2785" s="3" t="s">
        <v>103</v>
      </c>
      <c r="H2785" s="2" t="s">
        <v>21</v>
      </c>
      <c r="I2785" s="2" t="s">
        <v>6394</v>
      </c>
      <c r="J2785" s="3" t="str">
        <f>HYPERLINK("https://www.boe.es/gazeta/dias/1816/10/29/pdfs/GMD-1816-135.pdf#page=4","Abrir facsímil")</f>
        <v>Abrir facsímil</v>
      </c>
      <c r="K2785" s="3" t="s">
        <v>23</v>
      </c>
    </row>
    <row r="2786" spans="1:11" ht="42" customHeight="1">
      <c r="A2786" s="2" t="s">
        <v>6395</v>
      </c>
      <c r="B2786" s="2" t="s">
        <v>6396</v>
      </c>
      <c r="C2786" s="2" t="s">
        <v>34</v>
      </c>
      <c r="D2786" s="2" t="s">
        <v>56</v>
      </c>
      <c r="E2786" s="5">
        <v>-30399</v>
      </c>
      <c r="F2786" s="3" t="s">
        <v>57</v>
      </c>
      <c r="G2786" s="3" t="s">
        <v>72</v>
      </c>
      <c r="H2786" s="2" t="s">
        <v>21</v>
      </c>
      <c r="I2786" s="2" t="s">
        <v>6397</v>
      </c>
      <c r="J2786" s="3" t="str">
        <f>HYPERLINK("https://www.boe.es/gazeta/dias/1816/10/07/pdfs/GMD-1816-124E.pdf#page=7","Abrir facsímil")</f>
        <v>Abrir facsímil</v>
      </c>
      <c r="K2786" s="3" t="s">
        <v>23</v>
      </c>
    </row>
    <row r="2787" spans="1:11" ht="42" customHeight="1">
      <c r="A2787" s="2" t="s">
        <v>6398</v>
      </c>
      <c r="B2787" s="2" t="s">
        <v>6398</v>
      </c>
      <c r="C2787" s="2" t="s">
        <v>34</v>
      </c>
      <c r="D2787" s="2" t="s">
        <v>35</v>
      </c>
      <c r="E2787" s="5">
        <v>-30667</v>
      </c>
      <c r="F2787" s="3" t="s">
        <v>659</v>
      </c>
      <c r="G2787" s="3" t="s">
        <v>103</v>
      </c>
      <c r="H2787" s="2" t="s">
        <v>21</v>
      </c>
      <c r="I2787" s="2" t="s">
        <v>6399</v>
      </c>
      <c r="J2787" s="3" t="str">
        <f>HYPERLINK("https://www.boe.es/gazeta/dias/1816/01/13/pdfs/GMD-1816-6.pdf#page=4","Abrir facsímil")</f>
        <v>Abrir facsímil</v>
      </c>
      <c r="K2787" s="3" t="s">
        <v>23</v>
      </c>
    </row>
    <row r="2788" spans="1:11" ht="42" customHeight="1">
      <c r="A2788" s="2" t="s">
        <v>6400</v>
      </c>
      <c r="B2788" s="2" t="s">
        <v>6400</v>
      </c>
      <c r="C2788" s="2" t="s">
        <v>34</v>
      </c>
      <c r="D2788" s="2" t="s">
        <v>35</v>
      </c>
      <c r="E2788" s="5">
        <v>-30615</v>
      </c>
      <c r="F2788" s="3" t="s">
        <v>1848</v>
      </c>
      <c r="G2788" s="3" t="s">
        <v>6401</v>
      </c>
      <c r="H2788" s="2" t="s">
        <v>21</v>
      </c>
      <c r="I2788" s="2" t="s">
        <v>6402</v>
      </c>
      <c r="J2788" s="3" t="str">
        <f>HYPERLINK("https://www.boe.es/gazeta/dias/1816/03/05/pdfs/GMD-1816-30.pdf#page=4","Abrir facsímil")</f>
        <v>Abrir facsímil</v>
      </c>
      <c r="K2788" s="3" t="s">
        <v>23</v>
      </c>
    </row>
    <row r="2789" spans="1:11" ht="42" customHeight="1">
      <c r="A2789" s="2" t="s">
        <v>6403</v>
      </c>
      <c r="B2789" s="2" t="s">
        <v>6404</v>
      </c>
      <c r="C2789" s="2" t="s">
        <v>111</v>
      </c>
      <c r="D2789" s="2" t="s">
        <v>112</v>
      </c>
      <c r="E2789" s="5">
        <v>-30571</v>
      </c>
      <c r="F2789" s="3" t="s">
        <v>738</v>
      </c>
      <c r="G2789" s="3" t="s">
        <v>42</v>
      </c>
      <c r="H2789" s="2" t="s">
        <v>21</v>
      </c>
      <c r="I2789" s="2" t="s">
        <v>6405</v>
      </c>
      <c r="J2789" s="3" t="str">
        <f>HYPERLINK("https://www.boe.es/gazeta/dias/1816/04/18/pdfs/GMD-1816-50.pdf#page=8","Abrir facsímil")</f>
        <v>Abrir facsímil</v>
      </c>
      <c r="K2789" s="3" t="s">
        <v>23</v>
      </c>
    </row>
    <row r="2790" spans="1:11" ht="42" customHeight="1">
      <c r="A2790" s="2" t="s">
        <v>6406</v>
      </c>
      <c r="B2790" s="2" t="s">
        <v>6407</v>
      </c>
      <c r="C2790" s="2" t="s">
        <v>34</v>
      </c>
      <c r="D2790" s="2" t="s">
        <v>56</v>
      </c>
      <c r="E2790" s="5">
        <v>-30393</v>
      </c>
      <c r="F2790" s="3" t="s">
        <v>202</v>
      </c>
      <c r="G2790" s="3" t="s">
        <v>184</v>
      </c>
      <c r="H2790" s="2" t="s">
        <v>21</v>
      </c>
      <c r="I2790" s="2" t="s">
        <v>6408</v>
      </c>
      <c r="J2790" s="3" t="str">
        <f>HYPERLINK("https://www.boe.es/gazeta/dias/1816/10/13/pdfs/GMD-1816-128E.pdf#page=3","Abrir facsímil")</f>
        <v>Abrir facsímil</v>
      </c>
      <c r="K2790" s="3" t="s">
        <v>23</v>
      </c>
    </row>
    <row r="2791" spans="1:11" ht="42" customHeight="1">
      <c r="A2791" s="2" t="s">
        <v>6409</v>
      </c>
      <c r="B2791" s="2" t="s">
        <v>6410</v>
      </c>
      <c r="C2791" s="2" t="s">
        <v>34</v>
      </c>
      <c r="D2791" s="2" t="s">
        <v>35</v>
      </c>
      <c r="E2791" s="5">
        <v>-30326</v>
      </c>
      <c r="F2791" s="3" t="s">
        <v>377</v>
      </c>
      <c r="G2791" s="3" t="s">
        <v>47</v>
      </c>
      <c r="H2791" s="2" t="s">
        <v>21</v>
      </c>
      <c r="I2791" s="2" t="s">
        <v>6411</v>
      </c>
      <c r="J2791" s="3" t="str">
        <f>HYPERLINK("https://www.boe.es/gazeta/dias/1816/12/19/pdfs/GMD-1816-157.pdf#page=5","Abrir facsímil")</f>
        <v>Abrir facsímil</v>
      </c>
      <c r="K2791" s="3" t="s">
        <v>23</v>
      </c>
    </row>
    <row r="2792" spans="1:11" ht="42" customHeight="1">
      <c r="A2792" s="2" t="s">
        <v>6412</v>
      </c>
      <c r="B2792" s="2" t="s">
        <v>6413</v>
      </c>
      <c r="C2792" s="2" t="s">
        <v>34</v>
      </c>
      <c r="D2792" s="2" t="s">
        <v>35</v>
      </c>
      <c r="E2792" s="5">
        <v>-30594</v>
      </c>
      <c r="F2792" s="3" t="s">
        <v>234</v>
      </c>
      <c r="G2792" s="3" t="s">
        <v>28</v>
      </c>
      <c r="H2792" s="2" t="s">
        <v>21</v>
      </c>
      <c r="I2792" s="2" t="s">
        <v>6414</v>
      </c>
      <c r="J2792" s="3" t="str">
        <f>HYPERLINK("https://www.boe.es/gazeta/dias/1816/03/26/pdfs/GMD-1816-40.pdf#page=6","Abrir facsímil")</f>
        <v>Abrir facsímil</v>
      </c>
      <c r="K2792" s="3" t="s">
        <v>23</v>
      </c>
    </row>
    <row r="2793" spans="1:11" ht="42" customHeight="1">
      <c r="A2793" s="2" t="s">
        <v>6412</v>
      </c>
      <c r="B2793" s="2" t="s">
        <v>6413</v>
      </c>
      <c r="C2793" s="2" t="s">
        <v>34</v>
      </c>
      <c r="D2793" s="2" t="s">
        <v>35</v>
      </c>
      <c r="E2793" s="5">
        <v>-30592</v>
      </c>
      <c r="F2793" s="3" t="s">
        <v>236</v>
      </c>
      <c r="G2793" s="3" t="s">
        <v>103</v>
      </c>
      <c r="H2793" s="2" t="s">
        <v>21</v>
      </c>
      <c r="I2793" s="2" t="s">
        <v>6415</v>
      </c>
      <c r="J2793" s="3" t="str">
        <f>HYPERLINK("https://www.boe.es/gazeta/dias/1816/03/28/pdfs/GMD-1816-41.pdf#page=4","Abrir facsímil")</f>
        <v>Abrir facsímil</v>
      </c>
      <c r="K2793" s="3" t="s">
        <v>23</v>
      </c>
    </row>
    <row r="2794" spans="1:11" ht="42" customHeight="1">
      <c r="A2794" s="2" t="s">
        <v>6416</v>
      </c>
      <c r="B2794" s="2" t="s">
        <v>6417</v>
      </c>
      <c r="C2794" s="2" t="s">
        <v>34</v>
      </c>
      <c r="D2794" s="2" t="s">
        <v>35</v>
      </c>
      <c r="E2794" s="5">
        <v>-30592</v>
      </c>
      <c r="F2794" s="3" t="s">
        <v>236</v>
      </c>
      <c r="G2794" s="3" t="s">
        <v>47</v>
      </c>
      <c r="H2794" s="2" t="s">
        <v>21</v>
      </c>
      <c r="I2794" s="2" t="s">
        <v>6418</v>
      </c>
      <c r="J2794" s="3" t="str">
        <f>HYPERLINK("https://www.boe.es/gazeta/dias/1816/03/28/pdfs/GMD-1816-41.pdf#page=5","Abrir facsímil")</f>
        <v>Abrir facsímil</v>
      </c>
      <c r="K2794" s="3" t="s">
        <v>23</v>
      </c>
    </row>
    <row r="2795" spans="1:11" ht="42" customHeight="1">
      <c r="A2795" s="2" t="s">
        <v>6419</v>
      </c>
      <c r="B2795" s="2" t="s">
        <v>6420</v>
      </c>
      <c r="C2795" s="2" t="s">
        <v>26</v>
      </c>
      <c r="D2795" s="2" t="s">
        <v>18</v>
      </c>
      <c r="E2795" s="5">
        <v>-30433</v>
      </c>
      <c r="F2795" s="3" t="s">
        <v>954</v>
      </c>
      <c r="G2795" s="3" t="s">
        <v>955</v>
      </c>
      <c r="H2795" s="2" t="s">
        <v>21</v>
      </c>
      <c r="I2795" s="2" t="s">
        <v>6421</v>
      </c>
      <c r="J2795" s="3" t="str">
        <f>HYPERLINK("https://www.boe.es/gazeta/dias/1816/09/03/pdfs/GMD-1816-109.pdf#page=7","Abrir facsímil")</f>
        <v>Abrir facsímil</v>
      </c>
      <c r="K2795" s="3" t="s">
        <v>23</v>
      </c>
    </row>
    <row r="2796" spans="1:11" ht="42" customHeight="1">
      <c r="A2796" s="2" t="s">
        <v>6422</v>
      </c>
      <c r="B2796" s="2" t="s">
        <v>6423</v>
      </c>
      <c r="C2796" s="2" t="s">
        <v>41</v>
      </c>
      <c r="D2796" s="2" t="s">
        <v>18</v>
      </c>
      <c r="E2796" s="5">
        <v>-30389</v>
      </c>
      <c r="F2796" s="3" t="s">
        <v>522</v>
      </c>
      <c r="G2796" s="3" t="s">
        <v>47</v>
      </c>
      <c r="H2796" s="2" t="s">
        <v>21</v>
      </c>
      <c r="I2796" s="2" t="s">
        <v>6424</v>
      </c>
      <c r="J2796" s="3" t="str">
        <f>HYPERLINK("https://www.boe.es/gazeta/dias/1816/10/17/pdfs/GMD-1816-130.pdf#page=5","Abrir facsímil")</f>
        <v>Abrir facsímil</v>
      </c>
      <c r="K2796" s="3" t="s">
        <v>23</v>
      </c>
    </row>
    <row r="2797" spans="1:11" ht="42" customHeight="1">
      <c r="A2797" s="2" t="s">
        <v>6425</v>
      </c>
      <c r="B2797" s="2" t="s">
        <v>6426</v>
      </c>
      <c r="C2797" s="2" t="s">
        <v>111</v>
      </c>
      <c r="D2797" s="2" t="s">
        <v>112</v>
      </c>
      <c r="E2797" s="5">
        <v>-30594</v>
      </c>
      <c r="F2797" s="3" t="s">
        <v>234</v>
      </c>
      <c r="G2797" s="3" t="s">
        <v>52</v>
      </c>
      <c r="H2797" s="2" t="s">
        <v>21</v>
      </c>
      <c r="I2797" s="2" t="s">
        <v>6427</v>
      </c>
      <c r="J2797" s="3" t="str">
        <f>HYPERLINK("https://www.boe.es/gazeta/dias/1816/03/26/pdfs/GMD-1816-40.pdf#page=12","Abrir facsímil")</f>
        <v>Abrir facsímil</v>
      </c>
      <c r="K2797" s="3" t="s">
        <v>23</v>
      </c>
    </row>
    <row r="2798" spans="1:11" ht="42" customHeight="1">
      <c r="A2798" s="2" t="s">
        <v>6428</v>
      </c>
      <c r="B2798" s="2" t="s">
        <v>6429</v>
      </c>
      <c r="C2798" s="2" t="s">
        <v>111</v>
      </c>
      <c r="D2798" s="2" t="s">
        <v>112</v>
      </c>
      <c r="E2798" s="5">
        <v>-30382</v>
      </c>
      <c r="F2798" s="3" t="s">
        <v>326</v>
      </c>
      <c r="G2798" s="3" t="s">
        <v>28</v>
      </c>
      <c r="H2798" s="2" t="s">
        <v>21</v>
      </c>
      <c r="I2798" s="2" t="s">
        <v>6430</v>
      </c>
      <c r="J2798" s="3" t="str">
        <f>HYPERLINK("https://www.boe.es/gazeta/dias/1816/10/24/pdfs/GMD-1816-133.pdf#page=6","Abrir facsímil")</f>
        <v>Abrir facsímil</v>
      </c>
      <c r="K2798" s="3" t="s">
        <v>23</v>
      </c>
    </row>
    <row r="2799" spans="1:11" ht="42" customHeight="1">
      <c r="A2799" s="2" t="s">
        <v>6431</v>
      </c>
      <c r="B2799" s="2" t="s">
        <v>6432</v>
      </c>
      <c r="C2799" s="2" t="s">
        <v>81</v>
      </c>
      <c r="D2799" s="2" t="s">
        <v>18</v>
      </c>
      <c r="E2799" s="5">
        <v>-30585</v>
      </c>
      <c r="F2799" s="3" t="s">
        <v>633</v>
      </c>
      <c r="G2799" s="3" t="s">
        <v>103</v>
      </c>
      <c r="H2799" s="2" t="s">
        <v>21</v>
      </c>
      <c r="I2799" s="2" t="s">
        <v>6433</v>
      </c>
      <c r="J2799" s="3" t="str">
        <f>HYPERLINK("https://www.boe.es/gazeta/dias/1816/04/04/pdfs/GMD-1816-44.pdf#page=4","Abrir facsímil")</f>
        <v>Abrir facsímil</v>
      </c>
      <c r="K2799" s="3" t="s">
        <v>23</v>
      </c>
    </row>
    <row r="2800" spans="1:11" ht="42" customHeight="1">
      <c r="A2800" s="2" t="s">
        <v>6434</v>
      </c>
      <c r="B2800" s="2" t="s">
        <v>6435</v>
      </c>
      <c r="C2800" s="2" t="s">
        <v>111</v>
      </c>
      <c r="D2800" s="2" t="s">
        <v>112</v>
      </c>
      <c r="E2800" s="5">
        <v>-30375</v>
      </c>
      <c r="F2800" s="3" t="s">
        <v>404</v>
      </c>
      <c r="G2800" s="3" t="s">
        <v>1276</v>
      </c>
      <c r="H2800" s="2" t="s">
        <v>21</v>
      </c>
      <c r="I2800" s="2" t="s">
        <v>6436</v>
      </c>
      <c r="J2800" s="3" t="str">
        <f>HYPERLINK("https://www.boe.es/gazeta/dias/1816/10/31/pdfs/GMD-1816-136.pdf#page=5","Abrir facsímil")</f>
        <v>Abrir facsímil</v>
      </c>
      <c r="K2800" s="3" t="s">
        <v>23</v>
      </c>
    </row>
    <row r="2801" spans="1:11" ht="42" customHeight="1">
      <c r="A2801" s="2" t="s">
        <v>6437</v>
      </c>
      <c r="B2801" s="2" t="s">
        <v>6438</v>
      </c>
      <c r="C2801" s="2" t="s">
        <v>26</v>
      </c>
      <c r="D2801" s="2" t="s">
        <v>18</v>
      </c>
      <c r="E2801" s="5">
        <v>-30494</v>
      </c>
      <c r="F2801" s="3" t="s">
        <v>174</v>
      </c>
      <c r="G2801" s="3" t="s">
        <v>72</v>
      </c>
      <c r="H2801" s="2" t="s">
        <v>21</v>
      </c>
      <c r="I2801" s="2" t="s">
        <v>6439</v>
      </c>
      <c r="J2801" s="3" t="str">
        <f>HYPERLINK("https://www.boe.es/gazeta/dias/1816/07/04/pdfs/GMD-1816-83.pdf#page=7","Abrir facsímil")</f>
        <v>Abrir facsímil</v>
      </c>
      <c r="K2801" s="3" t="s">
        <v>23</v>
      </c>
    </row>
    <row r="2802" spans="1:11" ht="42" customHeight="1">
      <c r="A2802" s="2" t="s">
        <v>6440</v>
      </c>
      <c r="B2802" s="2" t="s">
        <v>6441</v>
      </c>
      <c r="C2802" s="2" t="s">
        <v>111</v>
      </c>
      <c r="D2802" s="2" t="s">
        <v>56</v>
      </c>
      <c r="E2802" s="5">
        <v>-30622</v>
      </c>
      <c r="F2802" s="3" t="s">
        <v>907</v>
      </c>
      <c r="G2802" s="3" t="s">
        <v>184</v>
      </c>
      <c r="H2802" s="2" t="s">
        <v>21</v>
      </c>
      <c r="I2802" s="2" t="s">
        <v>6442</v>
      </c>
      <c r="J2802" s="3" t="str">
        <f>HYPERLINK("https://www.boe.es/gazeta/dias/1816/02/27/pdfs/GMD-1816-27E.pdf#page=3","Abrir facsímil")</f>
        <v>Abrir facsímil</v>
      </c>
      <c r="K2802" s="3" t="s">
        <v>23</v>
      </c>
    </row>
    <row r="2803" spans="1:11" ht="42" customHeight="1">
      <c r="A2803" s="2" t="s">
        <v>6443</v>
      </c>
      <c r="B2803" s="2" t="s">
        <v>6444</v>
      </c>
      <c r="C2803" s="2" t="s">
        <v>111</v>
      </c>
      <c r="D2803" s="2" t="s">
        <v>112</v>
      </c>
      <c r="E2803" s="5">
        <v>-30487</v>
      </c>
      <c r="F2803" s="3" t="s">
        <v>397</v>
      </c>
      <c r="G2803" s="3" t="s">
        <v>92</v>
      </c>
      <c r="H2803" s="2" t="s">
        <v>21</v>
      </c>
      <c r="I2803" s="2" t="s">
        <v>6445</v>
      </c>
      <c r="J2803" s="3" t="str">
        <f>HYPERLINK("https://www.boe.es/gazeta/dias/1816/07/11/pdfs/GMD-1816-86.pdf#page=9","Abrir facsímil")</f>
        <v>Abrir facsímil</v>
      </c>
      <c r="K2803" s="3" t="s">
        <v>23</v>
      </c>
    </row>
    <row r="2804" spans="1:11" ht="42" customHeight="1">
      <c r="A2804" s="2" t="s">
        <v>6446</v>
      </c>
      <c r="B2804" s="2" t="s">
        <v>6447</v>
      </c>
      <c r="C2804" s="2" t="s">
        <v>26</v>
      </c>
      <c r="D2804" s="2" t="s">
        <v>18</v>
      </c>
      <c r="E2804" s="5">
        <v>-30478</v>
      </c>
      <c r="F2804" s="3" t="s">
        <v>123</v>
      </c>
      <c r="G2804" s="3" t="s">
        <v>2092</v>
      </c>
      <c r="H2804" s="2" t="s">
        <v>21</v>
      </c>
      <c r="I2804" s="2" t="s">
        <v>6448</v>
      </c>
      <c r="J2804" s="3" t="str">
        <f>HYPERLINK("https://www.boe.es/gazeta/dias/1816/07/20/pdfs/GMD-1816-90.pdf#page=5","Abrir facsímil")</f>
        <v>Abrir facsímil</v>
      </c>
      <c r="K2804" s="3" t="s">
        <v>23</v>
      </c>
    </row>
    <row r="2805" spans="1:11" ht="42" customHeight="1">
      <c r="A2805" s="2" t="s">
        <v>6449</v>
      </c>
      <c r="B2805" s="2" t="s">
        <v>6450</v>
      </c>
      <c r="C2805" s="2" t="s">
        <v>111</v>
      </c>
      <c r="D2805" s="2" t="s">
        <v>56</v>
      </c>
      <c r="E2805" s="5">
        <v>-30393</v>
      </c>
      <c r="F2805" s="3" t="s">
        <v>202</v>
      </c>
      <c r="G2805" s="3" t="s">
        <v>270</v>
      </c>
      <c r="H2805" s="2" t="s">
        <v>21</v>
      </c>
      <c r="I2805" s="2" t="s">
        <v>6451</v>
      </c>
      <c r="J2805" s="3" t="str">
        <f>HYPERLINK("https://www.boe.es/gazeta/dias/1816/10/13/pdfs/GMD-1816-128E.pdf#page=2","Abrir facsímil")</f>
        <v>Abrir facsímil</v>
      </c>
      <c r="K2805" s="3" t="s">
        <v>23</v>
      </c>
    </row>
    <row r="2806" spans="1:11" ht="42" customHeight="1">
      <c r="A2806" s="2" t="s">
        <v>6452</v>
      </c>
      <c r="B2806" s="2" t="s">
        <v>6453</v>
      </c>
      <c r="C2806" s="2" t="s">
        <v>111</v>
      </c>
      <c r="D2806" s="2" t="s">
        <v>112</v>
      </c>
      <c r="E2806" s="5">
        <v>-30576</v>
      </c>
      <c r="F2806" s="3" t="s">
        <v>353</v>
      </c>
      <c r="G2806" s="3" t="s">
        <v>72</v>
      </c>
      <c r="H2806" s="2" t="s">
        <v>21</v>
      </c>
      <c r="I2806" s="2" t="s">
        <v>6454</v>
      </c>
      <c r="J2806" s="3" t="str">
        <f>HYPERLINK("https://www.boe.es/gazeta/dias/1816/04/13/pdfs/GMD-1816-48.pdf#page=7","Abrir facsímil")</f>
        <v>Abrir facsímil</v>
      </c>
      <c r="K2806" s="3" t="s">
        <v>23</v>
      </c>
    </row>
    <row r="2807" spans="1:11" ht="42" customHeight="1">
      <c r="A2807" s="2" t="s">
        <v>6455</v>
      </c>
      <c r="B2807" s="2" t="s">
        <v>6456</v>
      </c>
      <c r="C2807" s="2" t="s">
        <v>34</v>
      </c>
      <c r="D2807" s="2" t="s">
        <v>56</v>
      </c>
      <c r="E2807" s="5">
        <v>-30393</v>
      </c>
      <c r="F2807" s="3" t="s">
        <v>202</v>
      </c>
      <c r="G2807" s="3" t="s">
        <v>42</v>
      </c>
      <c r="H2807" s="2" t="s">
        <v>29</v>
      </c>
      <c r="I2807" s="2" t="s">
        <v>6457</v>
      </c>
      <c r="J2807" s="3" t="str">
        <f>HYPERLINK("https://www.boe.es/gazeta/dias/1816/10/13/pdfs/GMD-1816-128E.pdf#page=8","Abrir facsímil")</f>
        <v>Abrir facsímil</v>
      </c>
      <c r="K2807" s="3" t="s">
        <v>31</v>
      </c>
    </row>
    <row r="2808" spans="1:11" ht="42" customHeight="1">
      <c r="A2808" s="2" t="s">
        <v>6458</v>
      </c>
      <c r="B2808" s="2" t="s">
        <v>6459</v>
      </c>
      <c r="C2808" s="2" t="s">
        <v>26</v>
      </c>
      <c r="D2808" s="2" t="s">
        <v>18</v>
      </c>
      <c r="E2808" s="5">
        <v>-30391</v>
      </c>
      <c r="F2808" s="3" t="s">
        <v>482</v>
      </c>
      <c r="G2808" s="3" t="s">
        <v>72</v>
      </c>
      <c r="H2808" s="2" t="s">
        <v>21</v>
      </c>
      <c r="I2808" s="2" t="s">
        <v>6460</v>
      </c>
      <c r="J2808" s="3" t="str">
        <f>HYPERLINK("https://www.boe.es/gazeta/dias/1816/10/15/pdfs/GMD-1816-129.pdf#page=7","Abrir facsímil")</f>
        <v>Abrir facsímil</v>
      </c>
      <c r="K2808" s="3" t="s">
        <v>23</v>
      </c>
    </row>
    <row r="2809" spans="1:11" ht="42" customHeight="1">
      <c r="A2809" s="2" t="s">
        <v>6461</v>
      </c>
      <c r="B2809" s="2" t="s">
        <v>6462</v>
      </c>
      <c r="C2809" s="2" t="s">
        <v>111</v>
      </c>
      <c r="D2809" s="2" t="s">
        <v>112</v>
      </c>
      <c r="E2809" s="5">
        <v>-30527</v>
      </c>
      <c r="F2809" s="3" t="s">
        <v>304</v>
      </c>
      <c r="G2809" s="3" t="s">
        <v>103</v>
      </c>
      <c r="H2809" s="2" t="s">
        <v>21</v>
      </c>
      <c r="I2809" s="2" t="s">
        <v>6463</v>
      </c>
      <c r="J2809" s="3" t="str">
        <f>HYPERLINK("https://www.boe.es/gazeta/dias/1816/06/01/pdfs/GMD-1816-69.pdf#page=4","Abrir facsímil")</f>
        <v>Abrir facsímil</v>
      </c>
      <c r="K2809" s="3" t="s">
        <v>23</v>
      </c>
    </row>
    <row r="2810" spans="1:11" ht="42" customHeight="1">
      <c r="A2810" s="2" t="s">
        <v>6464</v>
      </c>
      <c r="B2810" s="2" t="s">
        <v>6465</v>
      </c>
      <c r="C2810" s="2" t="s">
        <v>26</v>
      </c>
      <c r="D2810" s="2" t="s">
        <v>18</v>
      </c>
      <c r="E2810" s="5">
        <v>-30478</v>
      </c>
      <c r="F2810" s="3" t="s">
        <v>123</v>
      </c>
      <c r="G2810" s="3" t="s">
        <v>28</v>
      </c>
      <c r="H2810" s="2" t="s">
        <v>21</v>
      </c>
      <c r="I2810" s="2" t="s">
        <v>6466</v>
      </c>
      <c r="J2810" s="3" t="str">
        <f>HYPERLINK("https://www.boe.es/gazeta/dias/1816/07/20/pdfs/GMD-1816-90.pdf#page=6","Abrir facsímil")</f>
        <v>Abrir facsímil</v>
      </c>
      <c r="K2810" s="3" t="s">
        <v>23</v>
      </c>
    </row>
    <row r="2811" spans="1:11" ht="42" customHeight="1">
      <c r="A2811" s="2" t="s">
        <v>6467</v>
      </c>
      <c r="B2811" s="2" t="s">
        <v>6467</v>
      </c>
      <c r="C2811" s="2" t="s">
        <v>26</v>
      </c>
      <c r="D2811" s="2" t="s">
        <v>18</v>
      </c>
      <c r="E2811" s="5">
        <v>-30578</v>
      </c>
      <c r="F2811" s="3" t="s">
        <v>91</v>
      </c>
      <c r="G2811" s="3" t="s">
        <v>270</v>
      </c>
      <c r="H2811" s="2" t="s">
        <v>21</v>
      </c>
      <c r="I2811" s="2" t="s">
        <v>6468</v>
      </c>
      <c r="J2811" s="3" t="str">
        <f>HYPERLINK("https://www.boe.es/gazeta/dias/1816/04/11/pdfs/GMD-1816-47.pdf#page=2","Abrir facsímil")</f>
        <v>Abrir facsímil</v>
      </c>
      <c r="K2811" s="3" t="s">
        <v>23</v>
      </c>
    </row>
    <row r="2812" spans="1:11" ht="42" customHeight="1">
      <c r="A2812" s="2" t="s">
        <v>6469</v>
      </c>
      <c r="B2812" s="2" t="s">
        <v>6470</v>
      </c>
      <c r="C2812" s="2" t="s">
        <v>34</v>
      </c>
      <c r="D2812" s="2" t="s">
        <v>35</v>
      </c>
      <c r="E2812" s="5">
        <v>-30599</v>
      </c>
      <c r="F2812" s="3" t="s">
        <v>552</v>
      </c>
      <c r="G2812" s="3" t="s">
        <v>72</v>
      </c>
      <c r="H2812" s="2" t="s">
        <v>21</v>
      </c>
      <c r="I2812" s="2" t="s">
        <v>6471</v>
      </c>
      <c r="J2812" s="3" t="str">
        <f>HYPERLINK("https://www.boe.es/gazeta/dias/1816/03/21/pdfs/GMD-1816-38.pdf#page=7","Abrir facsímil")</f>
        <v>Abrir facsímil</v>
      </c>
      <c r="K2812" s="3" t="s">
        <v>23</v>
      </c>
    </row>
    <row r="2813" spans="1:11" ht="42" customHeight="1">
      <c r="A2813" s="2" t="s">
        <v>6469</v>
      </c>
      <c r="B2813" s="2" t="s">
        <v>6470</v>
      </c>
      <c r="C2813" s="2" t="s">
        <v>34</v>
      </c>
      <c r="D2813" s="2" t="s">
        <v>35</v>
      </c>
      <c r="E2813" s="5">
        <v>-30580</v>
      </c>
      <c r="F2813" s="3" t="s">
        <v>107</v>
      </c>
      <c r="G2813" s="3" t="s">
        <v>72</v>
      </c>
      <c r="H2813" s="2" t="s">
        <v>21</v>
      </c>
      <c r="I2813" s="2" t="s">
        <v>6472</v>
      </c>
      <c r="J2813" s="3" t="str">
        <f>HYPERLINK("https://www.boe.es/gazeta/dias/1816/04/09/pdfs/GMD-1816-46.pdf#page=7","Abrir facsímil")</f>
        <v>Abrir facsímil</v>
      </c>
      <c r="K2813" s="3" t="s">
        <v>23</v>
      </c>
    </row>
    <row r="2814" spans="1:11" ht="42" customHeight="1">
      <c r="A2814" s="2" t="s">
        <v>6473</v>
      </c>
      <c r="B2814" s="2" t="s">
        <v>6474</v>
      </c>
      <c r="C2814" s="2" t="s">
        <v>26</v>
      </c>
      <c r="D2814" s="2" t="s">
        <v>18</v>
      </c>
      <c r="E2814" s="5">
        <v>-30527</v>
      </c>
      <c r="F2814" s="3" t="s">
        <v>304</v>
      </c>
      <c r="G2814" s="3" t="s">
        <v>42</v>
      </c>
      <c r="H2814" s="2" t="s">
        <v>21</v>
      </c>
      <c r="I2814" s="2" t="s">
        <v>6475</v>
      </c>
      <c r="J2814" s="3" t="str">
        <f>HYPERLINK("https://www.boe.es/gazeta/dias/1816/06/01/pdfs/GMD-1816-69.pdf#page=8","Abrir facsímil")</f>
        <v>Abrir facsímil</v>
      </c>
      <c r="K2814" s="3" t="s">
        <v>23</v>
      </c>
    </row>
    <row r="2815" spans="1:11" ht="42" customHeight="1">
      <c r="A2815" s="2" t="s">
        <v>6476</v>
      </c>
      <c r="B2815" s="2" t="s">
        <v>6477</v>
      </c>
      <c r="C2815" s="2" t="s">
        <v>34</v>
      </c>
      <c r="D2815" s="2" t="s">
        <v>35</v>
      </c>
      <c r="E2815" s="5">
        <v>-30321</v>
      </c>
      <c r="F2815" s="3" t="s">
        <v>1086</v>
      </c>
      <c r="G2815" s="3" t="s">
        <v>103</v>
      </c>
      <c r="H2815" s="2" t="s">
        <v>21</v>
      </c>
      <c r="I2815" s="2" t="s">
        <v>6478</v>
      </c>
      <c r="J2815" s="3" t="str">
        <f>HYPERLINK("https://www.boe.es/gazeta/dias/1816/12/24/pdfs/GMD-1816-159.pdf#page=4","Abrir facsímil")</f>
        <v>Abrir facsímil</v>
      </c>
      <c r="K2815" s="3" t="s">
        <v>23</v>
      </c>
    </row>
    <row r="2816" spans="1:11" ht="42" customHeight="1">
      <c r="A2816" s="2" t="s">
        <v>6479</v>
      </c>
      <c r="B2816" s="2" t="s">
        <v>6480</v>
      </c>
      <c r="C2816" s="2" t="s">
        <v>26</v>
      </c>
      <c r="D2816" s="2" t="s">
        <v>18</v>
      </c>
      <c r="E2816" s="5">
        <v>-30436</v>
      </c>
      <c r="F2816" s="3" t="s">
        <v>102</v>
      </c>
      <c r="G2816" s="3" t="s">
        <v>184</v>
      </c>
      <c r="H2816" s="2" t="s">
        <v>21</v>
      </c>
      <c r="I2816" s="2" t="s">
        <v>6481</v>
      </c>
      <c r="J2816" s="3" t="str">
        <f>HYPERLINK("https://www.boe.es/gazeta/dias/1816/08/31/pdfs/GMD-1816-108.pdf#page=3","Abrir facsímil")</f>
        <v>Abrir facsímil</v>
      </c>
      <c r="K2816" s="3" t="s">
        <v>23</v>
      </c>
    </row>
    <row r="2817" spans="1:11" ht="42" customHeight="1">
      <c r="A2817" s="2" t="s">
        <v>6482</v>
      </c>
      <c r="B2817" s="2" t="s">
        <v>6482</v>
      </c>
      <c r="C2817" s="2" t="s">
        <v>34</v>
      </c>
      <c r="D2817" s="2" t="s">
        <v>35</v>
      </c>
      <c r="E2817" s="5">
        <v>-30601</v>
      </c>
      <c r="F2817" s="3" t="s">
        <v>308</v>
      </c>
      <c r="G2817" s="3" t="s">
        <v>28</v>
      </c>
      <c r="H2817" s="2" t="s">
        <v>21</v>
      </c>
      <c r="I2817" s="2" t="s">
        <v>6483</v>
      </c>
      <c r="J2817" s="3" t="str">
        <f>HYPERLINK("https://www.boe.es/gazeta/dias/1816/03/19/pdfs/GMD-1816-37.pdf#page=6","Abrir facsímil")</f>
        <v>Abrir facsímil</v>
      </c>
      <c r="K2817" s="3" t="s">
        <v>23</v>
      </c>
    </row>
    <row r="2818" spans="1:11" ht="42" customHeight="1">
      <c r="A2818" s="2" t="s">
        <v>6484</v>
      </c>
      <c r="B2818" s="2" t="s">
        <v>6484</v>
      </c>
      <c r="C2818" s="2" t="s">
        <v>26</v>
      </c>
      <c r="D2818" s="2" t="s">
        <v>18</v>
      </c>
      <c r="E2818" s="5">
        <v>-30664</v>
      </c>
      <c r="F2818" s="3" t="s">
        <v>1999</v>
      </c>
      <c r="G2818" s="3" t="s">
        <v>28</v>
      </c>
      <c r="H2818" s="2" t="s">
        <v>21</v>
      </c>
      <c r="I2818" s="2" t="s">
        <v>6485</v>
      </c>
      <c r="J2818" s="3" t="str">
        <f>HYPERLINK("https://www.boe.es/gazeta/dias/1816/01/16/pdfs/GMD-1816-7.pdf#page=6","Abrir facsímil")</f>
        <v>Abrir facsímil</v>
      </c>
      <c r="K2818" s="3" t="s">
        <v>23</v>
      </c>
    </row>
    <row r="2819" spans="1:11" ht="42" customHeight="1">
      <c r="A2819" s="2" t="s">
        <v>6486</v>
      </c>
      <c r="B2819" s="2" t="s">
        <v>6487</v>
      </c>
      <c r="C2819" s="2" t="s">
        <v>34</v>
      </c>
      <c r="D2819" s="2" t="s">
        <v>35</v>
      </c>
      <c r="E2819" s="5">
        <v>-30662</v>
      </c>
      <c r="F2819" s="3" t="s">
        <v>485</v>
      </c>
      <c r="G2819" s="3" t="s">
        <v>42</v>
      </c>
      <c r="H2819" s="2" t="s">
        <v>21</v>
      </c>
      <c r="I2819" s="2" t="s">
        <v>6488</v>
      </c>
      <c r="J2819" s="3" t="str">
        <f>HYPERLINK("https://www.boe.es/gazeta/dias/1816/01/18/pdfs/GMD-1816-8.pdf#page=8","Abrir facsímil")</f>
        <v>Abrir facsímil</v>
      </c>
      <c r="K2819" s="3" t="s">
        <v>23</v>
      </c>
    </row>
    <row r="2820" spans="1:11" ht="42" customHeight="1">
      <c r="A2820" s="2" t="s">
        <v>6489</v>
      </c>
      <c r="B2820" s="2" t="s">
        <v>6490</v>
      </c>
      <c r="C2820" s="2" t="s">
        <v>111</v>
      </c>
      <c r="D2820" s="2" t="s">
        <v>112</v>
      </c>
      <c r="E2820" s="5">
        <v>-30559</v>
      </c>
      <c r="F2820" s="3" t="s">
        <v>165</v>
      </c>
      <c r="G2820" s="3" t="s">
        <v>42</v>
      </c>
      <c r="H2820" s="2" t="s">
        <v>21</v>
      </c>
      <c r="I2820" s="2" t="s">
        <v>6491</v>
      </c>
      <c r="J2820" s="3" t="str">
        <f>HYPERLINK("https://www.boe.es/gazeta/dias/1816/04/30/pdfs/GMD-1816-55.pdf#page=8","Abrir facsímil")</f>
        <v>Abrir facsímil</v>
      </c>
      <c r="K2820" s="3" t="s">
        <v>23</v>
      </c>
    </row>
    <row r="2821" spans="1:11" ht="42" customHeight="1">
      <c r="A2821" s="2" t="s">
        <v>6492</v>
      </c>
      <c r="B2821" s="2" t="s">
        <v>6493</v>
      </c>
      <c r="C2821" s="2" t="s">
        <v>111</v>
      </c>
      <c r="D2821" s="2" t="s">
        <v>112</v>
      </c>
      <c r="E2821" s="5">
        <v>-30543</v>
      </c>
      <c r="F2821" s="3" t="s">
        <v>94</v>
      </c>
      <c r="G2821" s="3" t="s">
        <v>3595</v>
      </c>
      <c r="H2821" s="2" t="s">
        <v>21</v>
      </c>
      <c r="I2821" s="2" t="s">
        <v>6494</v>
      </c>
      <c r="J2821" s="3" t="str">
        <f>HYPERLINK("https://www.boe.es/gazeta/dias/1816/05/16/pdfs/GMD-1816-62.pdf#page=8","Abrir facsímil")</f>
        <v>Abrir facsímil</v>
      </c>
      <c r="K2821" s="3" t="s">
        <v>23</v>
      </c>
    </row>
    <row r="2822" spans="1:11" ht="42" customHeight="1">
      <c r="A2822" s="2" t="s">
        <v>6495</v>
      </c>
      <c r="B2822" s="2" t="s">
        <v>6496</v>
      </c>
      <c r="C2822" s="2" t="s">
        <v>111</v>
      </c>
      <c r="D2822" s="2" t="s">
        <v>112</v>
      </c>
      <c r="E2822" s="5">
        <v>-30657</v>
      </c>
      <c r="F2822" s="3" t="s">
        <v>899</v>
      </c>
      <c r="G2822" s="3" t="s">
        <v>42</v>
      </c>
      <c r="H2822" s="2" t="s">
        <v>21</v>
      </c>
      <c r="I2822" s="2" t="s">
        <v>6497</v>
      </c>
      <c r="J2822" s="3" t="str">
        <f>HYPERLINK("https://www.boe.es/gazeta/dias/1816/01/23/pdfs/GMD-1816-10.pdf#page=8","Abrir facsímil")</f>
        <v>Abrir facsímil</v>
      </c>
      <c r="K2822" s="3" t="s">
        <v>23</v>
      </c>
    </row>
    <row r="2823" spans="1:11" ht="42" customHeight="1">
      <c r="A2823" s="2" t="s">
        <v>6498</v>
      </c>
      <c r="B2823" s="2" t="s">
        <v>6499</v>
      </c>
      <c r="C2823" s="2" t="s">
        <v>34</v>
      </c>
      <c r="D2823" s="2" t="s">
        <v>35</v>
      </c>
      <c r="E2823" s="5">
        <v>-30534</v>
      </c>
      <c r="F2823" s="3" t="s">
        <v>274</v>
      </c>
      <c r="G2823" s="3" t="s">
        <v>47</v>
      </c>
      <c r="H2823" s="2" t="s">
        <v>21</v>
      </c>
      <c r="I2823" s="2" t="s">
        <v>6500</v>
      </c>
      <c r="J2823" s="3" t="str">
        <f>HYPERLINK("https://www.boe.es/gazeta/dias/1816/05/25/pdfs/GMD-1816-66.pdf#page=5","Abrir facsímil")</f>
        <v>Abrir facsímil</v>
      </c>
      <c r="K2823" s="3" t="s">
        <v>23</v>
      </c>
    </row>
    <row r="2824" spans="1:11" ht="42" customHeight="1">
      <c r="A2824" s="2" t="s">
        <v>6501</v>
      </c>
      <c r="B2824" s="2" t="s">
        <v>6502</v>
      </c>
      <c r="C2824" s="2" t="s">
        <v>26</v>
      </c>
      <c r="D2824" s="2" t="s">
        <v>18</v>
      </c>
      <c r="E2824" s="5">
        <v>-30319</v>
      </c>
      <c r="F2824" s="3" t="s">
        <v>131</v>
      </c>
      <c r="G2824" s="3" t="s">
        <v>42</v>
      </c>
      <c r="H2824" s="2" t="s">
        <v>21</v>
      </c>
      <c r="I2824" s="2" t="s">
        <v>6503</v>
      </c>
      <c r="J2824" s="3" t="str">
        <f>HYPERLINK("https://www.boe.es/gazeta/dias/1816/12/26/pdfs/GMD-1816-160.pdf#page=8","Abrir facsímil")</f>
        <v>Abrir facsímil</v>
      </c>
      <c r="K2824" s="3" t="s">
        <v>23</v>
      </c>
    </row>
    <row r="2825" spans="1:11" ht="42" customHeight="1">
      <c r="A2825" s="2" t="s">
        <v>6504</v>
      </c>
      <c r="B2825" s="2" t="s">
        <v>6504</v>
      </c>
      <c r="C2825" s="2" t="s">
        <v>387</v>
      </c>
      <c r="D2825" s="2" t="s">
        <v>18</v>
      </c>
      <c r="E2825" s="5">
        <v>-30618</v>
      </c>
      <c r="F2825" s="3" t="s">
        <v>207</v>
      </c>
      <c r="G2825" s="3" t="s">
        <v>1990</v>
      </c>
      <c r="H2825" s="2" t="s">
        <v>21</v>
      </c>
      <c r="I2825" s="2" t="s">
        <v>6505</v>
      </c>
      <c r="J2825" s="3" t="str">
        <f>HYPERLINK("https://www.boe.es/gazeta/dias/1816/03/02/pdfs/GMD-1816-29.pdf#page=2","Abrir facsímil")</f>
        <v>Abrir facsímil</v>
      </c>
      <c r="K2825" s="3" t="s">
        <v>23</v>
      </c>
    </row>
    <row r="2826" spans="1:11" ht="42" customHeight="1">
      <c r="A2826" s="2" t="s">
        <v>6506</v>
      </c>
      <c r="B2826" s="2" t="s">
        <v>6506</v>
      </c>
      <c r="C2826" s="2" t="s">
        <v>111</v>
      </c>
      <c r="D2826" s="2" t="s">
        <v>112</v>
      </c>
      <c r="E2826" s="5">
        <v>-30480</v>
      </c>
      <c r="F2826" s="3" t="s">
        <v>147</v>
      </c>
      <c r="G2826" s="3" t="s">
        <v>58</v>
      </c>
      <c r="H2826" s="2" t="s">
        <v>21</v>
      </c>
      <c r="I2826" s="2" t="s">
        <v>6507</v>
      </c>
      <c r="J2826" s="3" t="str">
        <f>HYPERLINK("https://www.boe.es/gazeta/dias/1816/07/18/pdfs/GMD-1816-89.pdf#page=1","Abrir facsímil")</f>
        <v>Abrir facsímil</v>
      </c>
      <c r="K2826" s="3" t="s">
        <v>23</v>
      </c>
    </row>
    <row r="2827" spans="1:11" ht="42" customHeight="1">
      <c r="A2827" s="2" t="s">
        <v>6508</v>
      </c>
      <c r="B2827" s="2" t="s">
        <v>6509</v>
      </c>
      <c r="C2827" s="2" t="s">
        <v>34</v>
      </c>
      <c r="D2827" s="2" t="s">
        <v>35</v>
      </c>
      <c r="E2827" s="5">
        <v>-30499</v>
      </c>
      <c r="F2827" s="3" t="s">
        <v>971</v>
      </c>
      <c r="G2827" s="3" t="s">
        <v>92</v>
      </c>
      <c r="H2827" s="2" t="s">
        <v>21</v>
      </c>
      <c r="I2827" s="2" t="s">
        <v>6510</v>
      </c>
      <c r="J2827" s="3" t="str">
        <f>HYPERLINK("https://www.boe.es/gazeta/dias/1816/06/29/pdfs/GMD-1816-81.pdf#page=9","Abrir facsímil")</f>
        <v>Abrir facsímil</v>
      </c>
      <c r="K2827" s="3" t="s">
        <v>23</v>
      </c>
    </row>
    <row r="2828" spans="1:11" ht="42" customHeight="1">
      <c r="A2828" s="2" t="s">
        <v>6511</v>
      </c>
      <c r="B2828" s="2" t="s">
        <v>6512</v>
      </c>
      <c r="C2828" s="2" t="s">
        <v>111</v>
      </c>
      <c r="D2828" s="2" t="s">
        <v>112</v>
      </c>
      <c r="E2828" s="5">
        <v>-30324</v>
      </c>
      <c r="F2828" s="3" t="s">
        <v>46</v>
      </c>
      <c r="G2828" s="3" t="s">
        <v>42</v>
      </c>
      <c r="H2828" s="2" t="s">
        <v>29</v>
      </c>
      <c r="I2828" s="2" t="s">
        <v>6513</v>
      </c>
      <c r="J2828" s="3" t="str">
        <f>HYPERLINK("https://www.boe.es/gazeta/dias/1816/12/21/pdfs/GMD-1816-158.pdf#page=8","Abrir facsímil")</f>
        <v>Abrir facsímil</v>
      </c>
      <c r="K2828" s="3" t="s">
        <v>31</v>
      </c>
    </row>
    <row r="2829" spans="1:11" ht="42" customHeight="1">
      <c r="A2829" s="2" t="s">
        <v>6514</v>
      </c>
      <c r="B2829" s="2" t="s">
        <v>6514</v>
      </c>
      <c r="C2829" s="2" t="s">
        <v>111</v>
      </c>
      <c r="D2829" s="2" t="s">
        <v>112</v>
      </c>
      <c r="E2829" s="5">
        <v>-30487</v>
      </c>
      <c r="F2829" s="3" t="s">
        <v>397</v>
      </c>
      <c r="G2829" s="3" t="s">
        <v>175</v>
      </c>
      <c r="H2829" s="2" t="s">
        <v>21</v>
      </c>
      <c r="I2829" s="2" t="s">
        <v>6515</v>
      </c>
      <c r="J2829" s="3" t="str">
        <f>HYPERLINK("https://www.boe.es/gazeta/dias/1816/07/11/pdfs/GMD-1816-86.pdf#page=11","Abrir facsímil")</f>
        <v>Abrir facsímil</v>
      </c>
      <c r="K2829" s="3" t="s">
        <v>23</v>
      </c>
    </row>
    <row r="2830" spans="1:11" ht="42" customHeight="1">
      <c r="A2830" s="2" t="s">
        <v>6516</v>
      </c>
      <c r="B2830" s="2" t="s">
        <v>6516</v>
      </c>
      <c r="C2830" s="2" t="s">
        <v>34</v>
      </c>
      <c r="D2830" s="2" t="s">
        <v>35</v>
      </c>
      <c r="E2830" s="5">
        <v>-30424</v>
      </c>
      <c r="F2830" s="3" t="s">
        <v>142</v>
      </c>
      <c r="G2830" s="3" t="s">
        <v>58</v>
      </c>
      <c r="H2830" s="2" t="s">
        <v>21</v>
      </c>
      <c r="I2830" s="2" t="s">
        <v>6517</v>
      </c>
      <c r="J2830" s="3" t="str">
        <f>HYPERLINK("https://www.boe.es/gazeta/dias/1816/09/12/pdfs/GMD-1816-113.pdf#page=1","Abrir facsímil")</f>
        <v>Abrir facsímil</v>
      </c>
      <c r="K2830" s="3" t="s">
        <v>23</v>
      </c>
    </row>
    <row r="2831" spans="1:11" ht="42" customHeight="1">
      <c r="A2831" s="2" t="s">
        <v>6518</v>
      </c>
      <c r="B2831" s="2" t="s">
        <v>6518</v>
      </c>
      <c r="C2831" s="2" t="s">
        <v>34</v>
      </c>
      <c r="D2831" s="2" t="s">
        <v>35</v>
      </c>
      <c r="E2831" s="5">
        <v>-30629</v>
      </c>
      <c r="F2831" s="3" t="s">
        <v>904</v>
      </c>
      <c r="G2831" s="3" t="s">
        <v>103</v>
      </c>
      <c r="H2831" s="2" t="s">
        <v>21</v>
      </c>
      <c r="I2831" s="2" t="s">
        <v>6519</v>
      </c>
      <c r="J2831" s="3" t="str">
        <f>HYPERLINK("https://www.boe.es/gazeta/dias/1816/02/20/pdfs/GMD-1816-23.pdf#page=4","Abrir facsímil")</f>
        <v>Abrir facsímil</v>
      </c>
      <c r="K2831" s="3" t="s">
        <v>23</v>
      </c>
    </row>
    <row r="2832" spans="1:11" ht="42" customHeight="1">
      <c r="A2832" s="2" t="s">
        <v>6520</v>
      </c>
      <c r="B2832" s="2" t="s">
        <v>6521</v>
      </c>
      <c r="C2832" s="2" t="s">
        <v>34</v>
      </c>
      <c r="D2832" s="2" t="s">
        <v>35</v>
      </c>
      <c r="E2832" s="5">
        <v>-30641</v>
      </c>
      <c r="F2832" s="3" t="s">
        <v>192</v>
      </c>
      <c r="G2832" s="3" t="s">
        <v>42</v>
      </c>
      <c r="H2832" s="2" t="s">
        <v>21</v>
      </c>
      <c r="I2832" s="2" t="s">
        <v>6522</v>
      </c>
      <c r="J2832" s="3" t="str">
        <f>HYPERLINK("https://www.boe.es/gazeta/dias/1816/02/08/pdfs/GMD-1816-18.pdf#page=8","Abrir facsímil")</f>
        <v>Abrir facsímil</v>
      </c>
      <c r="K2832" s="3" t="s">
        <v>23</v>
      </c>
    </row>
    <row r="2833" spans="1:11" ht="42" customHeight="1">
      <c r="A2833" s="2" t="s">
        <v>6523</v>
      </c>
      <c r="B2833" s="2" t="s">
        <v>6524</v>
      </c>
      <c r="C2833" s="2" t="s">
        <v>41</v>
      </c>
      <c r="D2833" s="2" t="s">
        <v>18</v>
      </c>
      <c r="E2833" s="5">
        <v>-30438</v>
      </c>
      <c r="F2833" s="3" t="s">
        <v>299</v>
      </c>
      <c r="G2833" s="3" t="s">
        <v>300</v>
      </c>
      <c r="H2833" s="2" t="s">
        <v>21</v>
      </c>
      <c r="I2833" s="2" t="s">
        <v>6525</v>
      </c>
      <c r="J2833" s="3" t="str">
        <f>HYPERLINK("https://www.boe.es/gazeta/dias/1816/08/29/pdfs/GMD-1816-107.pdf#page=12","Abrir facsímil")</f>
        <v>Abrir facsímil</v>
      </c>
      <c r="K2833" s="3" t="s">
        <v>23</v>
      </c>
    </row>
    <row r="2834" spans="1:11" ht="42" customHeight="1">
      <c r="A2834" s="2" t="s">
        <v>6526</v>
      </c>
      <c r="B2834" s="2" t="s">
        <v>6527</v>
      </c>
      <c r="C2834" s="2" t="s">
        <v>387</v>
      </c>
      <c r="D2834" s="2" t="s">
        <v>18</v>
      </c>
      <c r="E2834" s="5">
        <v>-30627</v>
      </c>
      <c r="F2834" s="3" t="s">
        <v>136</v>
      </c>
      <c r="G2834" s="3" t="s">
        <v>103</v>
      </c>
      <c r="H2834" s="2" t="s">
        <v>21</v>
      </c>
      <c r="I2834" s="2" t="s">
        <v>6528</v>
      </c>
      <c r="J2834" s="3" t="str">
        <f>HYPERLINK("https://www.boe.es/gazeta/dias/1816/02/22/pdfs/GMD-1816-24.pdf#page=4","Abrir facsímil")</f>
        <v>Abrir facsímil</v>
      </c>
      <c r="K2834" s="3" t="s">
        <v>23</v>
      </c>
    </row>
    <row r="2835" spans="1:11" ht="42" customHeight="1">
      <c r="A2835" s="2" t="s">
        <v>6529</v>
      </c>
      <c r="B2835" s="2" t="s">
        <v>6530</v>
      </c>
      <c r="C2835" s="2" t="s">
        <v>2803</v>
      </c>
      <c r="D2835" s="2" t="s">
        <v>112</v>
      </c>
      <c r="E2835" s="5">
        <v>-30417</v>
      </c>
      <c r="F2835" s="3" t="s">
        <v>62</v>
      </c>
      <c r="G2835" s="3" t="s">
        <v>63</v>
      </c>
      <c r="H2835" s="2" t="s">
        <v>21</v>
      </c>
      <c r="I2835" s="2" t="s">
        <v>6531</v>
      </c>
      <c r="J2835" s="3" t="str">
        <f>HYPERLINK("https://www.boe.es/gazeta/dias/1816/09/19/pdfs/GMD-1816-116.pdf#page=8","Abrir facsímil")</f>
        <v>Abrir facsímil</v>
      </c>
      <c r="K2835" s="3" t="s">
        <v>23</v>
      </c>
    </row>
    <row r="2836" spans="1:11" ht="42" customHeight="1">
      <c r="A2836" s="2" t="s">
        <v>6532</v>
      </c>
      <c r="B2836" s="2" t="s">
        <v>6532</v>
      </c>
      <c r="C2836" s="2" t="s">
        <v>26</v>
      </c>
      <c r="D2836" s="2" t="s">
        <v>18</v>
      </c>
      <c r="E2836" s="5">
        <v>-30366</v>
      </c>
      <c r="F2836" s="3" t="s">
        <v>179</v>
      </c>
      <c r="G2836" s="3" t="s">
        <v>103</v>
      </c>
      <c r="H2836" s="2" t="s">
        <v>21</v>
      </c>
      <c r="I2836" s="2" t="s">
        <v>6533</v>
      </c>
      <c r="J2836" s="3" t="str">
        <f>HYPERLINK("https://www.boe.es/gazeta/dias/1816/11/09/pdfs/GMD-1816-140.pdf#page=4","Abrir facsímil")</f>
        <v>Abrir facsímil</v>
      </c>
      <c r="K2836" s="3" t="s">
        <v>23</v>
      </c>
    </row>
    <row r="2837" spans="1:11" ht="42" customHeight="1">
      <c r="A2837" s="2" t="s">
        <v>6534</v>
      </c>
      <c r="B2837" s="2" t="s">
        <v>6534</v>
      </c>
      <c r="C2837" s="2" t="s">
        <v>111</v>
      </c>
      <c r="D2837" s="2" t="s">
        <v>112</v>
      </c>
      <c r="E2837" s="5">
        <v>-30676</v>
      </c>
      <c r="F2837" s="3" t="s">
        <v>1932</v>
      </c>
      <c r="G2837" s="3" t="s">
        <v>2724</v>
      </c>
      <c r="H2837" s="2" t="s">
        <v>21</v>
      </c>
      <c r="I2837" s="2" t="s">
        <v>6535</v>
      </c>
      <c r="J2837" s="3" t="str">
        <f>HYPERLINK("https://www.boe.es/gazeta/dias/1816/01/04/pdfs/GMD-1816-2.pdf#page=8","Abrir facsímil")</f>
        <v>Abrir facsímil</v>
      </c>
      <c r="K2837" s="3" t="s">
        <v>23</v>
      </c>
    </row>
    <row r="2838" spans="1:11" ht="42" customHeight="1">
      <c r="A2838" s="2" t="s">
        <v>6534</v>
      </c>
      <c r="B2838" s="2" t="s">
        <v>6534</v>
      </c>
      <c r="C2838" s="2" t="s">
        <v>111</v>
      </c>
      <c r="D2838" s="2" t="s">
        <v>112</v>
      </c>
      <c r="E2838" s="5">
        <v>-30674</v>
      </c>
      <c r="F2838" s="3" t="s">
        <v>19</v>
      </c>
      <c r="G2838" s="3" t="s">
        <v>20</v>
      </c>
      <c r="H2838" s="2" t="s">
        <v>21</v>
      </c>
      <c r="I2838" s="2" t="s">
        <v>6536</v>
      </c>
      <c r="J2838" s="3" t="str">
        <f>HYPERLINK("https://www.boe.es/gazeta/dias/1816/01/06/pdfs/GMD-1816-3.pdf#page=8","Abrir facsímil")</f>
        <v>Abrir facsímil</v>
      </c>
      <c r="K2838" s="3" t="s">
        <v>23</v>
      </c>
    </row>
    <row r="2839" spans="1:11" ht="42" customHeight="1">
      <c r="A2839" s="2" t="s">
        <v>6534</v>
      </c>
      <c r="B2839" s="2" t="s">
        <v>6534</v>
      </c>
      <c r="C2839" s="2" t="s">
        <v>111</v>
      </c>
      <c r="D2839" s="2" t="s">
        <v>112</v>
      </c>
      <c r="E2839" s="5">
        <v>-30671</v>
      </c>
      <c r="F2839" s="3" t="s">
        <v>2049</v>
      </c>
      <c r="G2839" s="3" t="s">
        <v>5367</v>
      </c>
      <c r="H2839" s="2" t="s">
        <v>21</v>
      </c>
      <c r="I2839" s="2" t="s">
        <v>6537</v>
      </c>
      <c r="J2839" s="3" t="str">
        <f>HYPERLINK("https://www.boe.es/gazeta/dias/1816/01/09/pdfs/GMD-1816-4.pdf#page=8","Abrir facsímil")</f>
        <v>Abrir facsímil</v>
      </c>
      <c r="K2839" s="3" t="s">
        <v>23</v>
      </c>
    </row>
    <row r="2840" spans="1:11" ht="42" customHeight="1">
      <c r="A2840" s="2" t="s">
        <v>6534</v>
      </c>
      <c r="B2840" s="2" t="s">
        <v>6534</v>
      </c>
      <c r="C2840" s="2" t="s">
        <v>111</v>
      </c>
      <c r="D2840" s="2" t="s">
        <v>112</v>
      </c>
      <c r="E2840" s="5">
        <v>-30662</v>
      </c>
      <c r="F2840" s="3" t="s">
        <v>485</v>
      </c>
      <c r="G2840" s="3" t="s">
        <v>42</v>
      </c>
      <c r="H2840" s="2" t="s">
        <v>21</v>
      </c>
      <c r="I2840" s="2" t="s">
        <v>6538</v>
      </c>
      <c r="J2840" s="3" t="str">
        <f>HYPERLINK("https://www.boe.es/gazeta/dias/1816/01/18/pdfs/GMD-1816-8.pdf#page=8","Abrir facsímil")</f>
        <v>Abrir facsímil</v>
      </c>
      <c r="K2840" s="3" t="s">
        <v>23</v>
      </c>
    </row>
    <row r="2841" spans="1:11" ht="42" customHeight="1">
      <c r="A2841" s="2" t="s">
        <v>6534</v>
      </c>
      <c r="B2841" s="2" t="s">
        <v>6534</v>
      </c>
      <c r="C2841" s="2" t="s">
        <v>111</v>
      </c>
      <c r="D2841" s="2" t="s">
        <v>112</v>
      </c>
      <c r="E2841" s="5">
        <v>-30634</v>
      </c>
      <c r="F2841" s="3" t="s">
        <v>1104</v>
      </c>
      <c r="G2841" s="3" t="s">
        <v>2234</v>
      </c>
      <c r="H2841" s="2" t="s">
        <v>21</v>
      </c>
      <c r="I2841" s="2" t="s">
        <v>6539</v>
      </c>
      <c r="J2841" s="3" t="str">
        <f>HYPERLINK("https://www.boe.es/gazeta/dias/1816/02/15/pdfs/GMD-1816-21.pdf#page=8","Abrir facsímil")</f>
        <v>Abrir facsímil</v>
      </c>
      <c r="K2841" s="3" t="s">
        <v>23</v>
      </c>
    </row>
    <row r="2842" spans="1:11" ht="42" customHeight="1">
      <c r="A2842" s="2" t="s">
        <v>6534</v>
      </c>
      <c r="B2842" s="2" t="s">
        <v>6534</v>
      </c>
      <c r="C2842" s="2" t="s">
        <v>111</v>
      </c>
      <c r="D2842" s="2" t="s">
        <v>112</v>
      </c>
      <c r="E2842" s="5">
        <v>-30611</v>
      </c>
      <c r="F2842" s="3" t="s">
        <v>211</v>
      </c>
      <c r="G2842" s="3" t="s">
        <v>42</v>
      </c>
      <c r="H2842" s="2" t="s">
        <v>21</v>
      </c>
      <c r="I2842" s="2" t="s">
        <v>6540</v>
      </c>
      <c r="J2842" s="3" t="str">
        <f>HYPERLINK("https://www.boe.es/gazeta/dias/1816/03/09/pdfs/GMD-1816-32.pdf#page=8","Abrir facsímil")</f>
        <v>Abrir facsímil</v>
      </c>
      <c r="K2842" s="3" t="s">
        <v>23</v>
      </c>
    </row>
    <row r="2843" spans="1:11" ht="42" customHeight="1">
      <c r="A2843" s="2" t="s">
        <v>6534</v>
      </c>
      <c r="B2843" s="2" t="s">
        <v>6534</v>
      </c>
      <c r="C2843" s="2" t="s">
        <v>26</v>
      </c>
      <c r="D2843" s="2" t="s">
        <v>18</v>
      </c>
      <c r="E2843" s="5">
        <v>-30608</v>
      </c>
      <c r="F2843" s="3" t="s">
        <v>550</v>
      </c>
      <c r="G2843" s="3" t="s">
        <v>42</v>
      </c>
      <c r="H2843" s="2" t="s">
        <v>21</v>
      </c>
      <c r="I2843" s="2" t="s">
        <v>6541</v>
      </c>
      <c r="J2843" s="3" t="str">
        <f>HYPERLINK("https://www.boe.es/gazeta/dias/1816/03/12/pdfs/GMD-1816-33.pdf#page=8","Abrir facsímil")</f>
        <v>Abrir facsímil</v>
      </c>
      <c r="K2843" s="3" t="s">
        <v>23</v>
      </c>
    </row>
    <row r="2844" spans="1:11" ht="42" customHeight="1">
      <c r="A2844" s="2" t="s">
        <v>6534</v>
      </c>
      <c r="B2844" s="2" t="s">
        <v>6534</v>
      </c>
      <c r="C2844" s="2" t="s">
        <v>111</v>
      </c>
      <c r="D2844" s="2" t="s">
        <v>112</v>
      </c>
      <c r="E2844" s="5">
        <v>-30594</v>
      </c>
      <c r="F2844" s="3" t="s">
        <v>234</v>
      </c>
      <c r="G2844" s="3" t="s">
        <v>52</v>
      </c>
      <c r="H2844" s="2" t="s">
        <v>21</v>
      </c>
      <c r="I2844" s="2" t="s">
        <v>6542</v>
      </c>
      <c r="J2844" s="3" t="str">
        <f>HYPERLINK("https://www.boe.es/gazeta/dias/1816/03/26/pdfs/GMD-1816-40.pdf#page=12","Abrir facsímil")</f>
        <v>Abrir facsímil</v>
      </c>
      <c r="K2844" s="3" t="s">
        <v>23</v>
      </c>
    </row>
    <row r="2845" spans="1:11" ht="42" customHeight="1">
      <c r="A2845" s="2" t="s">
        <v>6534</v>
      </c>
      <c r="B2845" s="2" t="s">
        <v>6534</v>
      </c>
      <c r="C2845" s="2" t="s">
        <v>111</v>
      </c>
      <c r="D2845" s="2" t="s">
        <v>112</v>
      </c>
      <c r="E2845" s="5">
        <v>-30585</v>
      </c>
      <c r="F2845" s="3" t="s">
        <v>633</v>
      </c>
      <c r="G2845" s="3" t="s">
        <v>72</v>
      </c>
      <c r="H2845" s="2" t="s">
        <v>21</v>
      </c>
      <c r="I2845" s="2" t="s">
        <v>6543</v>
      </c>
      <c r="J2845" s="3" t="str">
        <f>HYPERLINK("https://www.boe.es/gazeta/dias/1816/04/04/pdfs/GMD-1816-44.pdf#page=7","Abrir facsímil")</f>
        <v>Abrir facsímil</v>
      </c>
      <c r="K2845" s="3" t="s">
        <v>23</v>
      </c>
    </row>
    <row r="2846" spans="1:11" ht="42" customHeight="1">
      <c r="A2846" s="2" t="s">
        <v>6534</v>
      </c>
      <c r="B2846" s="2" t="s">
        <v>6534</v>
      </c>
      <c r="C2846" s="2" t="s">
        <v>111</v>
      </c>
      <c r="D2846" s="2" t="s">
        <v>112</v>
      </c>
      <c r="E2846" s="5">
        <v>-30566</v>
      </c>
      <c r="F2846" s="3" t="s">
        <v>113</v>
      </c>
      <c r="G2846" s="3" t="s">
        <v>42</v>
      </c>
      <c r="H2846" s="2" t="s">
        <v>21</v>
      </c>
      <c r="I2846" s="2" t="s">
        <v>6544</v>
      </c>
      <c r="J2846" s="3" t="str">
        <f>HYPERLINK("https://www.boe.es/gazeta/dias/1816/04/23/pdfs/GMD-1816-52.pdf#page=8","Abrir facsímil")</f>
        <v>Abrir facsímil</v>
      </c>
      <c r="K2846" s="3" t="s">
        <v>23</v>
      </c>
    </row>
    <row r="2847" spans="1:11" ht="42" customHeight="1">
      <c r="A2847" s="2" t="s">
        <v>6534</v>
      </c>
      <c r="B2847" s="2" t="s">
        <v>6534</v>
      </c>
      <c r="C2847" s="2" t="s">
        <v>111</v>
      </c>
      <c r="D2847" s="2" t="s">
        <v>112</v>
      </c>
      <c r="E2847" s="5">
        <v>-30559</v>
      </c>
      <c r="F2847" s="3" t="s">
        <v>165</v>
      </c>
      <c r="G2847" s="3" t="s">
        <v>42</v>
      </c>
      <c r="H2847" s="2" t="s">
        <v>21</v>
      </c>
      <c r="I2847" s="2" t="s">
        <v>6545</v>
      </c>
      <c r="J2847" s="3" t="str">
        <f>HYPERLINK("https://www.boe.es/gazeta/dias/1816/04/30/pdfs/GMD-1816-55.pdf#page=8","Abrir facsímil")</f>
        <v>Abrir facsímil</v>
      </c>
      <c r="K2847" s="3" t="s">
        <v>23</v>
      </c>
    </row>
    <row r="2848" spans="1:11" ht="42" customHeight="1">
      <c r="A2848" s="2" t="s">
        <v>6534</v>
      </c>
      <c r="B2848" s="2" t="s">
        <v>6534</v>
      </c>
      <c r="C2848" s="2" t="s">
        <v>111</v>
      </c>
      <c r="D2848" s="2" t="s">
        <v>112</v>
      </c>
      <c r="E2848" s="5">
        <v>-30548</v>
      </c>
      <c r="F2848" s="3" t="s">
        <v>472</v>
      </c>
      <c r="G2848" s="3" t="s">
        <v>42</v>
      </c>
      <c r="H2848" s="2" t="s">
        <v>21</v>
      </c>
      <c r="I2848" s="2" t="s">
        <v>6546</v>
      </c>
      <c r="J2848" s="3" t="str">
        <f>HYPERLINK("https://www.boe.es/gazeta/dias/1816/05/11/pdfs/GMD-1816-60.pdf#page=8","Abrir facsímil")</f>
        <v>Abrir facsímil</v>
      </c>
      <c r="K2848" s="3" t="s">
        <v>23</v>
      </c>
    </row>
    <row r="2849" spans="1:11" ht="42" customHeight="1">
      <c r="A2849" s="2" t="s">
        <v>6534</v>
      </c>
      <c r="B2849" s="2" t="s">
        <v>6534</v>
      </c>
      <c r="C2849" s="2" t="s">
        <v>111</v>
      </c>
      <c r="D2849" s="2" t="s">
        <v>112</v>
      </c>
      <c r="E2849" s="5">
        <v>-30541</v>
      </c>
      <c r="F2849" s="3" t="s">
        <v>96</v>
      </c>
      <c r="G2849" s="3" t="s">
        <v>42</v>
      </c>
      <c r="H2849" s="2" t="s">
        <v>21</v>
      </c>
      <c r="I2849" s="2" t="s">
        <v>6547</v>
      </c>
      <c r="J2849" s="3" t="str">
        <f>HYPERLINK("https://www.boe.es/gazeta/dias/1816/05/18/pdfs/GMD-1816-63.pdf#page=8","Abrir facsímil")</f>
        <v>Abrir facsímil</v>
      </c>
      <c r="K2849" s="3" t="s">
        <v>23</v>
      </c>
    </row>
    <row r="2850" spans="1:11" ht="42" customHeight="1">
      <c r="A2850" s="2" t="s">
        <v>6534</v>
      </c>
      <c r="B2850" s="2" t="s">
        <v>6534</v>
      </c>
      <c r="C2850" s="2" t="s">
        <v>111</v>
      </c>
      <c r="D2850" s="2" t="s">
        <v>112</v>
      </c>
      <c r="E2850" s="5">
        <v>-30538</v>
      </c>
      <c r="F2850" s="3" t="s">
        <v>496</v>
      </c>
      <c r="G2850" s="3" t="s">
        <v>42</v>
      </c>
      <c r="H2850" s="2" t="s">
        <v>21</v>
      </c>
      <c r="I2850" s="2" t="s">
        <v>6548</v>
      </c>
      <c r="J2850" s="3" t="str">
        <f>HYPERLINK("https://www.boe.es/gazeta/dias/1816/05/21/pdfs/GMD-1816-64.pdf#page=8","Abrir facsímil")</f>
        <v>Abrir facsímil</v>
      </c>
      <c r="K2850" s="3" t="s">
        <v>23</v>
      </c>
    </row>
    <row r="2851" spans="1:11" ht="42" customHeight="1">
      <c r="A2851" s="2" t="s">
        <v>6534</v>
      </c>
      <c r="B2851" s="2" t="s">
        <v>6534</v>
      </c>
      <c r="C2851" s="2" t="s">
        <v>111</v>
      </c>
      <c r="D2851" s="2" t="s">
        <v>112</v>
      </c>
      <c r="E2851" s="5">
        <v>-30529</v>
      </c>
      <c r="F2851" s="3" t="s">
        <v>432</v>
      </c>
      <c r="G2851" s="3" t="s">
        <v>42</v>
      </c>
      <c r="H2851" s="2" t="s">
        <v>21</v>
      </c>
      <c r="I2851" s="2" t="s">
        <v>6549</v>
      </c>
      <c r="J2851" s="3" t="str">
        <f>HYPERLINK("https://www.boe.es/gazeta/dias/1816/05/30/pdfs/GMD-1816-68.pdf#page=8","Abrir facsímil")</f>
        <v>Abrir facsímil</v>
      </c>
      <c r="K2851" s="3" t="s">
        <v>23</v>
      </c>
    </row>
    <row r="2852" spans="1:11" ht="42" customHeight="1">
      <c r="A2852" s="2" t="s">
        <v>6534</v>
      </c>
      <c r="B2852" s="2" t="s">
        <v>6534</v>
      </c>
      <c r="C2852" s="2" t="s">
        <v>111</v>
      </c>
      <c r="D2852" s="2" t="s">
        <v>112</v>
      </c>
      <c r="E2852" s="5">
        <v>-30522</v>
      </c>
      <c r="F2852" s="3" t="s">
        <v>282</v>
      </c>
      <c r="G2852" s="3" t="s">
        <v>42</v>
      </c>
      <c r="H2852" s="2" t="s">
        <v>21</v>
      </c>
      <c r="I2852" s="2" t="s">
        <v>6550</v>
      </c>
      <c r="J2852" s="3" t="str">
        <f>HYPERLINK("https://www.boe.es/gazeta/dias/1816/06/06/pdfs/GMD-1816-71.pdf#page=8","Abrir facsímil")</f>
        <v>Abrir facsímil</v>
      </c>
      <c r="K2852" s="3" t="s">
        <v>23</v>
      </c>
    </row>
    <row r="2853" spans="1:11" ht="42" customHeight="1">
      <c r="A2853" s="2" t="s">
        <v>6534</v>
      </c>
      <c r="B2853" s="2" t="s">
        <v>6534</v>
      </c>
      <c r="C2853" s="2" t="s">
        <v>111</v>
      </c>
      <c r="D2853" s="2" t="s">
        <v>112</v>
      </c>
      <c r="E2853" s="5">
        <v>-30513</v>
      </c>
      <c r="F2853" s="3" t="s">
        <v>582</v>
      </c>
      <c r="G2853" s="3" t="s">
        <v>42</v>
      </c>
      <c r="H2853" s="2" t="s">
        <v>21</v>
      </c>
      <c r="I2853" s="2" t="s">
        <v>6551</v>
      </c>
      <c r="J2853" s="3" t="str">
        <f>HYPERLINK("https://www.boe.es/gazeta/dias/1816/06/15/pdfs/GMD-1816-75.pdf#page=8","Abrir facsímil")</f>
        <v>Abrir facsímil</v>
      </c>
      <c r="K2853" s="3" t="s">
        <v>23</v>
      </c>
    </row>
    <row r="2854" spans="1:11" ht="42" customHeight="1">
      <c r="A2854" s="2" t="s">
        <v>6534</v>
      </c>
      <c r="B2854" s="2" t="s">
        <v>6534</v>
      </c>
      <c r="C2854" s="2" t="s">
        <v>111</v>
      </c>
      <c r="D2854" s="2" t="s">
        <v>112</v>
      </c>
      <c r="E2854" s="5">
        <v>-30508</v>
      </c>
      <c r="F2854" s="3" t="s">
        <v>36</v>
      </c>
      <c r="G2854" s="3" t="s">
        <v>42</v>
      </c>
      <c r="H2854" s="2" t="s">
        <v>21</v>
      </c>
      <c r="I2854" s="2" t="s">
        <v>6552</v>
      </c>
      <c r="J2854" s="3" t="str">
        <f>HYPERLINK("https://www.boe.es/gazeta/dias/1816/06/20/pdfs/GMD-1816-77.pdf#page=8","Abrir facsímil")</f>
        <v>Abrir facsímil</v>
      </c>
      <c r="K2854" s="3" t="s">
        <v>23</v>
      </c>
    </row>
    <row r="2855" spans="1:11" ht="42" customHeight="1">
      <c r="A2855" s="2" t="s">
        <v>6534</v>
      </c>
      <c r="B2855" s="2" t="s">
        <v>6534</v>
      </c>
      <c r="C2855" s="2" t="s">
        <v>111</v>
      </c>
      <c r="D2855" s="2" t="s">
        <v>112</v>
      </c>
      <c r="E2855" s="5">
        <v>-30503</v>
      </c>
      <c r="F2855" s="3" t="s">
        <v>1600</v>
      </c>
      <c r="G2855" s="3" t="s">
        <v>42</v>
      </c>
      <c r="H2855" s="2" t="s">
        <v>21</v>
      </c>
      <c r="I2855" s="2" t="s">
        <v>6553</v>
      </c>
      <c r="J2855" s="3" t="str">
        <f>HYPERLINK("https://www.boe.es/gazeta/dias/1816/06/25/pdfs/GMD-1816-79.pdf#page=8","Abrir facsímil")</f>
        <v>Abrir facsímil</v>
      </c>
      <c r="K2855" s="3" t="s">
        <v>23</v>
      </c>
    </row>
    <row r="2856" spans="1:11" ht="42" customHeight="1">
      <c r="A2856" s="2" t="s">
        <v>6534</v>
      </c>
      <c r="B2856" s="2" t="s">
        <v>6534</v>
      </c>
      <c r="C2856" s="2" t="s">
        <v>34</v>
      </c>
      <c r="D2856" s="2" t="s">
        <v>35</v>
      </c>
      <c r="E2856" s="5">
        <v>-30494</v>
      </c>
      <c r="F2856" s="3" t="s">
        <v>174</v>
      </c>
      <c r="G2856" s="3" t="s">
        <v>52</v>
      </c>
      <c r="H2856" s="2" t="s">
        <v>21</v>
      </c>
      <c r="I2856" s="2" t="s">
        <v>6554</v>
      </c>
      <c r="J2856" s="3" t="str">
        <f>HYPERLINK("https://www.boe.es/gazeta/dias/1816/07/04/pdfs/GMD-1816-83.pdf#page=12","Abrir facsímil")</f>
        <v>Abrir facsímil</v>
      </c>
      <c r="K2856" s="3" t="s">
        <v>23</v>
      </c>
    </row>
    <row r="2857" spans="1:11" ht="42" customHeight="1">
      <c r="A2857" s="2" t="s">
        <v>6534</v>
      </c>
      <c r="B2857" s="2" t="s">
        <v>6534</v>
      </c>
      <c r="C2857" s="2" t="s">
        <v>111</v>
      </c>
      <c r="D2857" s="2" t="s">
        <v>112</v>
      </c>
      <c r="E2857" s="5">
        <v>-30489</v>
      </c>
      <c r="F2857" s="3" t="s">
        <v>1120</v>
      </c>
      <c r="G2857" s="3" t="s">
        <v>42</v>
      </c>
      <c r="H2857" s="2" t="s">
        <v>21</v>
      </c>
      <c r="I2857" s="2" t="s">
        <v>6555</v>
      </c>
      <c r="J2857" s="3" t="str">
        <f>HYPERLINK("https://www.boe.es/gazeta/dias/1816/07/09/pdfs/GMD-1816-85.pdf#page=8","Abrir facsímil")</f>
        <v>Abrir facsímil</v>
      </c>
      <c r="K2857" s="3" t="s">
        <v>23</v>
      </c>
    </row>
    <row r="2858" spans="1:11" ht="42" customHeight="1">
      <c r="A2858" s="2" t="s">
        <v>6534</v>
      </c>
      <c r="B2858" s="2" t="s">
        <v>6534</v>
      </c>
      <c r="C2858" s="2" t="s">
        <v>17</v>
      </c>
      <c r="D2858" s="2" t="s">
        <v>18</v>
      </c>
      <c r="E2858" s="5">
        <v>-30485</v>
      </c>
      <c r="F2858" s="3" t="s">
        <v>156</v>
      </c>
      <c r="G2858" s="3" t="s">
        <v>42</v>
      </c>
      <c r="H2858" s="2" t="s">
        <v>21</v>
      </c>
      <c r="I2858" s="2" t="s">
        <v>6556</v>
      </c>
      <c r="J2858" s="3" t="str">
        <f>HYPERLINK("https://www.boe.es/gazeta/dias/1816/07/13/pdfs/GMD-1816-87.pdf#page=8","Abrir facsímil")</f>
        <v>Abrir facsímil</v>
      </c>
      <c r="K2858" s="3" t="s">
        <v>23</v>
      </c>
    </row>
    <row r="2859" spans="1:11" ht="42" customHeight="1">
      <c r="A2859" s="2" t="s">
        <v>6534</v>
      </c>
      <c r="B2859" s="2" t="s">
        <v>6534</v>
      </c>
      <c r="C2859" s="2" t="s">
        <v>111</v>
      </c>
      <c r="D2859" s="2" t="s">
        <v>112</v>
      </c>
      <c r="E2859" s="5">
        <v>-30482</v>
      </c>
      <c r="F2859" s="3" t="s">
        <v>370</v>
      </c>
      <c r="G2859" s="3" t="s">
        <v>52</v>
      </c>
      <c r="H2859" s="2" t="s">
        <v>21</v>
      </c>
      <c r="I2859" s="2" t="s">
        <v>6557</v>
      </c>
      <c r="J2859" s="3" t="str">
        <f>HYPERLINK("https://www.boe.es/gazeta/dias/1816/07/16/pdfs/GMD-1816-88.pdf#page=12","Abrir facsímil")</f>
        <v>Abrir facsímil</v>
      </c>
      <c r="K2859" s="3" t="s">
        <v>23</v>
      </c>
    </row>
    <row r="2860" spans="1:11" ht="42" customHeight="1">
      <c r="A2860" s="2" t="s">
        <v>6534</v>
      </c>
      <c r="B2860" s="2" t="s">
        <v>6534</v>
      </c>
      <c r="C2860" s="2" t="s">
        <v>17</v>
      </c>
      <c r="D2860" s="2" t="s">
        <v>18</v>
      </c>
      <c r="E2860" s="5">
        <v>-30471</v>
      </c>
      <c r="F2860" s="3" t="s">
        <v>639</v>
      </c>
      <c r="G2860" s="3" t="s">
        <v>42</v>
      </c>
      <c r="H2860" s="2" t="s">
        <v>21</v>
      </c>
      <c r="I2860" s="2" t="s">
        <v>6558</v>
      </c>
      <c r="J2860" s="3" t="str">
        <f>HYPERLINK("https://www.boe.es/gazeta/dias/1816/07/27/pdfs/GMD-1816-93.pdf#page=8","Abrir facsímil")</f>
        <v>Abrir facsímil</v>
      </c>
      <c r="K2860" s="3" t="s">
        <v>23</v>
      </c>
    </row>
    <row r="2861" spans="1:11" ht="42" customHeight="1">
      <c r="A2861" s="2" t="s">
        <v>6534</v>
      </c>
      <c r="B2861" s="2" t="s">
        <v>6534</v>
      </c>
      <c r="C2861" s="2" t="s">
        <v>111</v>
      </c>
      <c r="D2861" s="2" t="s">
        <v>112</v>
      </c>
      <c r="E2861" s="5">
        <v>-30468</v>
      </c>
      <c r="F2861" s="3" t="s">
        <v>383</v>
      </c>
      <c r="G2861" s="3" t="s">
        <v>42</v>
      </c>
      <c r="H2861" s="2" t="s">
        <v>21</v>
      </c>
      <c r="I2861" s="2" t="s">
        <v>6559</v>
      </c>
      <c r="J2861" s="3" t="str">
        <f>HYPERLINK("https://www.boe.es/gazeta/dias/1816/07/30/pdfs/GMD-1816-94.pdf#page=8","Abrir facsímil")</f>
        <v>Abrir facsímil</v>
      </c>
      <c r="K2861" s="3" t="s">
        <v>23</v>
      </c>
    </row>
    <row r="2862" spans="1:11" ht="42" customHeight="1">
      <c r="A2862" s="2" t="s">
        <v>6534</v>
      </c>
      <c r="B2862" s="2" t="s">
        <v>6534</v>
      </c>
      <c r="C2862" s="2" t="s">
        <v>111</v>
      </c>
      <c r="D2862" s="2" t="s">
        <v>112</v>
      </c>
      <c r="E2862" s="5">
        <v>-30461</v>
      </c>
      <c r="F2862" s="3" t="s">
        <v>912</v>
      </c>
      <c r="G2862" s="3" t="s">
        <v>72</v>
      </c>
      <c r="H2862" s="2" t="s">
        <v>21</v>
      </c>
      <c r="I2862" s="2" t="s">
        <v>6560</v>
      </c>
      <c r="J2862" s="3" t="str">
        <f>HYPERLINK("https://www.boe.es/gazeta/dias/1816/08/06/pdfs/GMD-1816-97.pdf#page=7","Abrir facsímil")</f>
        <v>Abrir facsímil</v>
      </c>
      <c r="K2862" s="3" t="s">
        <v>23</v>
      </c>
    </row>
    <row r="2863" spans="1:11" ht="42" customHeight="1">
      <c r="A2863" s="2" t="s">
        <v>6534</v>
      </c>
      <c r="B2863" s="2" t="s">
        <v>6534</v>
      </c>
      <c r="C2863" s="2" t="s">
        <v>111</v>
      </c>
      <c r="D2863" s="2" t="s">
        <v>112</v>
      </c>
      <c r="E2863" s="5">
        <v>-30454</v>
      </c>
      <c r="F2863" s="3" t="s">
        <v>188</v>
      </c>
      <c r="G2863" s="3" t="s">
        <v>52</v>
      </c>
      <c r="H2863" s="2" t="s">
        <v>21</v>
      </c>
      <c r="I2863" s="2" t="s">
        <v>6561</v>
      </c>
      <c r="J2863" s="3" t="str">
        <f>HYPERLINK("https://www.boe.es/gazeta/dias/1816/08/13/pdfs/GMD-1816-100.pdf#page=12","Abrir facsímil")</f>
        <v>Abrir facsímil</v>
      </c>
      <c r="K2863" s="3" t="s">
        <v>23</v>
      </c>
    </row>
    <row r="2864" spans="1:11" ht="42" customHeight="1">
      <c r="A2864" s="2" t="s">
        <v>6534</v>
      </c>
      <c r="B2864" s="2" t="s">
        <v>6534</v>
      </c>
      <c r="C2864" s="2" t="s">
        <v>111</v>
      </c>
      <c r="D2864" s="2" t="s">
        <v>112</v>
      </c>
      <c r="E2864" s="5">
        <v>-30440</v>
      </c>
      <c r="F2864" s="3" t="s">
        <v>564</v>
      </c>
      <c r="G2864" s="3" t="s">
        <v>2878</v>
      </c>
      <c r="H2864" s="2" t="s">
        <v>21</v>
      </c>
      <c r="I2864" s="2" t="s">
        <v>6562</v>
      </c>
      <c r="J2864" s="3" t="str">
        <f>HYPERLINK("https://www.boe.es/gazeta/dias/1816/08/27/pdfs/GMD-1816-106.pdf#page=8","Abrir facsímil")</f>
        <v>Abrir facsímil</v>
      </c>
      <c r="K2864" s="3" t="s">
        <v>23</v>
      </c>
    </row>
    <row r="2865" spans="1:11" ht="42" customHeight="1">
      <c r="A2865" s="2" t="s">
        <v>6534</v>
      </c>
      <c r="B2865" s="2" t="s">
        <v>6534</v>
      </c>
      <c r="C2865" s="2" t="s">
        <v>17</v>
      </c>
      <c r="D2865" s="2" t="s">
        <v>18</v>
      </c>
      <c r="E2865" s="5">
        <v>-30436</v>
      </c>
      <c r="F2865" s="3" t="s">
        <v>102</v>
      </c>
      <c r="G2865" s="3" t="s">
        <v>52</v>
      </c>
      <c r="H2865" s="2" t="s">
        <v>21</v>
      </c>
      <c r="I2865" s="2" t="s">
        <v>6563</v>
      </c>
      <c r="J2865" s="3" t="str">
        <f>HYPERLINK("https://www.boe.es/gazeta/dias/1816/08/31/pdfs/GMD-1816-108.pdf#page=12","Abrir facsímil")</f>
        <v>Abrir facsímil</v>
      </c>
      <c r="K2865" s="3" t="s">
        <v>23</v>
      </c>
    </row>
    <row r="2866" spans="1:11" ht="42" customHeight="1">
      <c r="A2866" s="2" t="s">
        <v>6534</v>
      </c>
      <c r="B2866" s="2" t="s">
        <v>6534</v>
      </c>
      <c r="C2866" s="2" t="s">
        <v>111</v>
      </c>
      <c r="D2866" s="2" t="s">
        <v>112</v>
      </c>
      <c r="E2866" s="5">
        <v>-30419</v>
      </c>
      <c r="F2866" s="3" t="s">
        <v>1256</v>
      </c>
      <c r="G2866" s="3" t="s">
        <v>2162</v>
      </c>
      <c r="H2866" s="2" t="s">
        <v>21</v>
      </c>
      <c r="I2866" s="2" t="s">
        <v>6564</v>
      </c>
      <c r="J2866" s="3" t="str">
        <f>HYPERLINK("https://www.boe.es/gazeta/dias/1816/09/17/pdfs/GMD-1816-115.pdf#page=8","Abrir facsímil")</f>
        <v>Abrir facsímil</v>
      </c>
      <c r="K2866" s="3" t="s">
        <v>23</v>
      </c>
    </row>
    <row r="2867" spans="1:11" ht="42" customHeight="1">
      <c r="A2867" s="2" t="s">
        <v>6534</v>
      </c>
      <c r="B2867" s="2" t="s">
        <v>6534</v>
      </c>
      <c r="C2867" s="2" t="s">
        <v>81</v>
      </c>
      <c r="D2867" s="2" t="s">
        <v>18</v>
      </c>
      <c r="E2867" s="5">
        <v>-30417</v>
      </c>
      <c r="F2867" s="3" t="s">
        <v>62</v>
      </c>
      <c r="G2867" s="3" t="s">
        <v>63</v>
      </c>
      <c r="H2867" s="2" t="s">
        <v>21</v>
      </c>
      <c r="I2867" s="2" t="s">
        <v>6565</v>
      </c>
      <c r="J2867" s="3" t="str">
        <f>HYPERLINK("https://www.boe.es/gazeta/dias/1816/09/19/pdfs/GMD-1816-116.pdf#page=8","Abrir facsímil")</f>
        <v>Abrir facsímil</v>
      </c>
      <c r="K2867" s="3" t="s">
        <v>23</v>
      </c>
    </row>
    <row r="2868" spans="1:11" ht="42" customHeight="1">
      <c r="A2868" s="2" t="s">
        <v>6534</v>
      </c>
      <c r="B2868" s="2" t="s">
        <v>6534</v>
      </c>
      <c r="C2868" s="2" t="s">
        <v>111</v>
      </c>
      <c r="D2868" s="2" t="s">
        <v>112</v>
      </c>
      <c r="E2868" s="5">
        <v>-30415</v>
      </c>
      <c r="F2868" s="3" t="s">
        <v>585</v>
      </c>
      <c r="G2868" s="3" t="s">
        <v>52</v>
      </c>
      <c r="H2868" s="2" t="s">
        <v>21</v>
      </c>
      <c r="I2868" s="2" t="s">
        <v>6566</v>
      </c>
      <c r="J2868" s="3" t="str">
        <f>HYPERLINK("https://www.boe.es/gazeta/dias/1816/09/21/pdfs/GMD-1816-117.pdf#page=12","Abrir facsímil")</f>
        <v>Abrir facsímil</v>
      </c>
      <c r="K2868" s="3" t="s">
        <v>23</v>
      </c>
    </row>
    <row r="2869" spans="1:11" ht="42" customHeight="1">
      <c r="A2869" s="2" t="s">
        <v>6534</v>
      </c>
      <c r="B2869" s="2" t="s">
        <v>6534</v>
      </c>
      <c r="C2869" s="2" t="s">
        <v>111</v>
      </c>
      <c r="D2869" s="2" t="s">
        <v>112</v>
      </c>
      <c r="E2869" s="5">
        <v>-30412</v>
      </c>
      <c r="F2869" s="3" t="s">
        <v>388</v>
      </c>
      <c r="G2869" s="3" t="s">
        <v>42</v>
      </c>
      <c r="H2869" s="2" t="s">
        <v>21</v>
      </c>
      <c r="I2869" s="2" t="s">
        <v>6567</v>
      </c>
      <c r="J2869" s="3" t="str">
        <f>HYPERLINK("https://www.boe.es/gazeta/dias/1816/09/24/pdfs/GMD-1816-118.pdf#page=8","Abrir facsímil")</f>
        <v>Abrir facsímil</v>
      </c>
      <c r="K2869" s="3" t="s">
        <v>23</v>
      </c>
    </row>
    <row r="2870" spans="1:11" ht="42" customHeight="1">
      <c r="A2870" s="2" t="s">
        <v>6534</v>
      </c>
      <c r="B2870" s="2" t="s">
        <v>6534</v>
      </c>
      <c r="C2870" s="2" t="s">
        <v>111</v>
      </c>
      <c r="D2870" s="2" t="s">
        <v>112</v>
      </c>
      <c r="E2870" s="5">
        <v>-30396</v>
      </c>
      <c r="F2870" s="3" t="s">
        <v>1623</v>
      </c>
      <c r="G2870" s="3" t="s">
        <v>52</v>
      </c>
      <c r="H2870" s="2" t="s">
        <v>21</v>
      </c>
      <c r="I2870" s="2" t="s">
        <v>6568</v>
      </c>
      <c r="J2870" s="3" t="str">
        <f>HYPERLINK("https://www.boe.es/gazeta/dias/1816/10/10/pdfs/GMD-1816-126.pdf#page=12","Abrir facsímil")</f>
        <v>Abrir facsímil</v>
      </c>
      <c r="K2870" s="3" t="s">
        <v>23</v>
      </c>
    </row>
    <row r="2871" spans="1:11" ht="42" customHeight="1">
      <c r="A2871" s="2" t="s">
        <v>6534</v>
      </c>
      <c r="B2871" s="2" t="s">
        <v>6534</v>
      </c>
      <c r="C2871" s="2" t="s">
        <v>111</v>
      </c>
      <c r="D2871" s="2" t="s">
        <v>56</v>
      </c>
      <c r="E2871" s="5">
        <v>-30393</v>
      </c>
      <c r="F2871" s="3" t="s">
        <v>202</v>
      </c>
      <c r="G2871" s="3" t="s">
        <v>645</v>
      </c>
      <c r="H2871" s="2" t="s">
        <v>21</v>
      </c>
      <c r="I2871" s="2" t="s">
        <v>6569</v>
      </c>
      <c r="J2871" s="3" t="str">
        <f>HYPERLINK("https://www.boe.es/gazeta/dias/1816/10/13/pdfs/GMD-1816-128E.pdf#page=4","Abrir facsímil")</f>
        <v>Abrir facsímil</v>
      </c>
      <c r="K2871" s="3" t="s">
        <v>23</v>
      </c>
    </row>
    <row r="2872" spans="1:11" ht="42" customHeight="1">
      <c r="A2872" s="2" t="s">
        <v>6534</v>
      </c>
      <c r="B2872" s="2" t="s">
        <v>6534</v>
      </c>
      <c r="C2872" s="2" t="s">
        <v>111</v>
      </c>
      <c r="D2872" s="2" t="s">
        <v>112</v>
      </c>
      <c r="E2872" s="5">
        <v>-30387</v>
      </c>
      <c r="F2872" s="3" t="s">
        <v>224</v>
      </c>
      <c r="G2872" s="3" t="s">
        <v>72</v>
      </c>
      <c r="H2872" s="2" t="s">
        <v>21</v>
      </c>
      <c r="I2872" s="2" t="s">
        <v>6570</v>
      </c>
      <c r="J2872" s="3" t="str">
        <f>HYPERLINK("https://www.boe.es/gazeta/dias/1816/10/19/pdfs/GMD-1816-131.pdf#page=7","Abrir facsímil")</f>
        <v>Abrir facsímil</v>
      </c>
      <c r="K2872" s="3" t="s">
        <v>23</v>
      </c>
    </row>
    <row r="2873" spans="1:11" ht="42" customHeight="1">
      <c r="A2873" s="2" t="s">
        <v>6534</v>
      </c>
      <c r="B2873" s="2" t="s">
        <v>6534</v>
      </c>
      <c r="C2873" s="2" t="s">
        <v>111</v>
      </c>
      <c r="D2873" s="2" t="s">
        <v>112</v>
      </c>
      <c r="E2873" s="5">
        <v>-30387</v>
      </c>
      <c r="F2873" s="3" t="s">
        <v>224</v>
      </c>
      <c r="G2873" s="3" t="s">
        <v>42</v>
      </c>
      <c r="H2873" s="2" t="s">
        <v>21</v>
      </c>
      <c r="I2873" s="2" t="s">
        <v>6571</v>
      </c>
      <c r="J2873" s="3" t="str">
        <f>HYPERLINK("https://www.boe.es/gazeta/dias/1816/10/19/pdfs/GMD-1816-131.pdf#page=8","Abrir facsímil")</f>
        <v>Abrir facsímil</v>
      </c>
      <c r="K2873" s="3" t="s">
        <v>23</v>
      </c>
    </row>
    <row r="2874" spans="1:11" ht="42" customHeight="1">
      <c r="A2874" s="2" t="s">
        <v>6534</v>
      </c>
      <c r="B2874" s="2" t="s">
        <v>6534</v>
      </c>
      <c r="C2874" s="2" t="s">
        <v>111</v>
      </c>
      <c r="D2874" s="2" t="s">
        <v>112</v>
      </c>
      <c r="E2874" s="5">
        <v>-30384</v>
      </c>
      <c r="F2874" s="3" t="s">
        <v>460</v>
      </c>
      <c r="G2874" s="3" t="s">
        <v>932</v>
      </c>
      <c r="H2874" s="2" t="s">
        <v>21</v>
      </c>
      <c r="I2874" s="2" t="s">
        <v>6572</v>
      </c>
      <c r="J2874" s="3" t="str">
        <f>HYPERLINK("https://www.boe.es/gazeta/dias/1816/10/22/pdfs/GMD-1816-132.pdf#page=7","Abrir facsímil")</f>
        <v>Abrir facsímil</v>
      </c>
      <c r="K2874" s="3" t="s">
        <v>23</v>
      </c>
    </row>
    <row r="2875" spans="1:11" ht="42" customHeight="1">
      <c r="A2875" s="2" t="s">
        <v>6534</v>
      </c>
      <c r="B2875" s="2" t="s">
        <v>6534</v>
      </c>
      <c r="C2875" s="2" t="s">
        <v>111</v>
      </c>
      <c r="D2875" s="2" t="s">
        <v>112</v>
      </c>
      <c r="E2875" s="5">
        <v>-30370</v>
      </c>
      <c r="F2875" s="3" t="s">
        <v>669</v>
      </c>
      <c r="G2875" s="3" t="s">
        <v>2076</v>
      </c>
      <c r="H2875" s="2" t="s">
        <v>21</v>
      </c>
      <c r="I2875" s="2" t="s">
        <v>6573</v>
      </c>
      <c r="J2875" s="3" t="str">
        <f>HYPERLINK("https://www.boe.es/gazeta/dias/1816/11/05/pdfs/GMD-1816-138.pdf#page=8","Abrir facsímil")</f>
        <v>Abrir facsímil</v>
      </c>
      <c r="K2875" s="3" t="s">
        <v>23</v>
      </c>
    </row>
    <row r="2876" spans="1:11" ht="42" customHeight="1">
      <c r="A2876" s="2" t="s">
        <v>6534</v>
      </c>
      <c r="B2876" s="2" t="s">
        <v>6534</v>
      </c>
      <c r="C2876" s="2" t="s">
        <v>111</v>
      </c>
      <c r="D2876" s="2" t="s">
        <v>112</v>
      </c>
      <c r="E2876" s="5">
        <v>-30368</v>
      </c>
      <c r="F2876" s="3" t="s">
        <v>531</v>
      </c>
      <c r="G2876" s="3" t="s">
        <v>42</v>
      </c>
      <c r="H2876" s="2" t="s">
        <v>21</v>
      </c>
      <c r="I2876" s="2" t="s">
        <v>6574</v>
      </c>
      <c r="J2876" s="3" t="str">
        <f>HYPERLINK("https://www.boe.es/gazeta/dias/1816/11/07/pdfs/GMD-1816-139.pdf#page=8","Abrir facsímil")</f>
        <v>Abrir facsímil</v>
      </c>
      <c r="K2876" s="3" t="s">
        <v>23</v>
      </c>
    </row>
    <row r="2877" spans="1:11" ht="42" customHeight="1">
      <c r="A2877" s="2" t="s">
        <v>6534</v>
      </c>
      <c r="B2877" s="2" t="s">
        <v>6534</v>
      </c>
      <c r="C2877" s="2" t="s">
        <v>111</v>
      </c>
      <c r="D2877" s="2" t="s">
        <v>112</v>
      </c>
      <c r="E2877" s="5">
        <v>-30361</v>
      </c>
      <c r="F2877" s="3" t="s">
        <v>1741</v>
      </c>
      <c r="G2877" s="3" t="s">
        <v>2889</v>
      </c>
      <c r="H2877" s="2" t="s">
        <v>21</v>
      </c>
      <c r="I2877" s="2" t="s">
        <v>6575</v>
      </c>
      <c r="J2877" s="3" t="str">
        <f>HYPERLINK("https://www.boe.es/gazeta/dias/1816/11/14/pdfs/GMD-1816-142.pdf#page=8","Abrir facsímil")</f>
        <v>Abrir facsímil</v>
      </c>
      <c r="K2877" s="3" t="s">
        <v>23</v>
      </c>
    </row>
    <row r="2878" spans="1:11" ht="42" customHeight="1">
      <c r="A2878" s="2" t="s">
        <v>6534</v>
      </c>
      <c r="B2878" s="2" t="s">
        <v>6534</v>
      </c>
      <c r="C2878" s="2" t="s">
        <v>111</v>
      </c>
      <c r="D2878" s="2" t="s">
        <v>112</v>
      </c>
      <c r="E2878" s="5">
        <v>-30328</v>
      </c>
      <c r="F2878" s="3" t="s">
        <v>573</v>
      </c>
      <c r="G2878" s="3" t="s">
        <v>42</v>
      </c>
      <c r="H2878" s="2" t="s">
        <v>21</v>
      </c>
      <c r="I2878" s="2" t="s">
        <v>6576</v>
      </c>
      <c r="J2878" s="3" t="str">
        <f>HYPERLINK("https://www.boe.es/gazeta/dias/1816/12/17/pdfs/GMD-1816-156.pdf#page=8","Abrir facsímil")</f>
        <v>Abrir facsímil</v>
      </c>
      <c r="K2878" s="3" t="s">
        <v>23</v>
      </c>
    </row>
    <row r="2879" spans="1:11" ht="42" customHeight="1">
      <c r="A2879" s="2" t="s">
        <v>6534</v>
      </c>
      <c r="B2879" s="2" t="s">
        <v>6534</v>
      </c>
      <c r="C2879" s="2" t="s">
        <v>111</v>
      </c>
      <c r="D2879" s="2" t="s">
        <v>112</v>
      </c>
      <c r="E2879" s="5">
        <v>-30326</v>
      </c>
      <c r="F2879" s="3" t="s">
        <v>377</v>
      </c>
      <c r="G2879" s="3" t="s">
        <v>42</v>
      </c>
      <c r="H2879" s="2" t="s">
        <v>21</v>
      </c>
      <c r="I2879" s="2" t="s">
        <v>6577</v>
      </c>
      <c r="J2879" s="3" t="str">
        <f>HYPERLINK("https://www.boe.es/gazeta/dias/1816/12/19/pdfs/GMD-1816-157.pdf#page=8","Abrir facsímil")</f>
        <v>Abrir facsímil</v>
      </c>
      <c r="K2879" s="3" t="s">
        <v>23</v>
      </c>
    </row>
    <row r="2880" spans="1:11" ht="42" customHeight="1">
      <c r="A2880" s="2" t="s">
        <v>6534</v>
      </c>
      <c r="B2880" s="2" t="s">
        <v>6534</v>
      </c>
      <c r="C2880" s="2" t="s">
        <v>111</v>
      </c>
      <c r="D2880" s="2" t="s">
        <v>112</v>
      </c>
      <c r="E2880" s="5">
        <v>-30319</v>
      </c>
      <c r="F2880" s="3" t="s">
        <v>131</v>
      </c>
      <c r="G2880" s="3" t="s">
        <v>42</v>
      </c>
      <c r="H2880" s="2" t="s">
        <v>21</v>
      </c>
      <c r="I2880" s="2" t="s">
        <v>6578</v>
      </c>
      <c r="J2880" s="3" t="str">
        <f>HYPERLINK("https://www.boe.es/gazeta/dias/1816/12/26/pdfs/GMD-1816-160.pdf#page=8","Abrir facsímil")</f>
        <v>Abrir facsímil</v>
      </c>
      <c r="K2880" s="3" t="s">
        <v>23</v>
      </c>
    </row>
    <row r="2881" spans="1:11" ht="42" customHeight="1">
      <c r="A2881" s="2" t="s">
        <v>6534</v>
      </c>
      <c r="B2881" s="2" t="s">
        <v>6534</v>
      </c>
      <c r="C2881" s="2" t="s">
        <v>111</v>
      </c>
      <c r="D2881" s="2" t="s">
        <v>112</v>
      </c>
      <c r="E2881" s="5">
        <v>-30317</v>
      </c>
      <c r="F2881" s="3" t="s">
        <v>1030</v>
      </c>
      <c r="G2881" s="3" t="s">
        <v>1409</v>
      </c>
      <c r="H2881" s="2" t="s">
        <v>21</v>
      </c>
      <c r="I2881" s="2" t="s">
        <v>6579</v>
      </c>
      <c r="J2881" s="3" t="str">
        <f>HYPERLINK("https://www.boe.es/gazeta/dias/1816/12/28/pdfs/GMD-1816-161.pdf#page=8","Abrir facsímil")</f>
        <v>Abrir facsímil</v>
      </c>
      <c r="K2881" s="3" t="s">
        <v>23</v>
      </c>
    </row>
    <row r="2882" spans="1:11" ht="42" customHeight="1">
      <c r="A2882" s="2" t="s">
        <v>6580</v>
      </c>
      <c r="B2882" s="2" t="s">
        <v>6581</v>
      </c>
      <c r="C2882" s="2" t="s">
        <v>41</v>
      </c>
      <c r="D2882" s="2" t="s">
        <v>18</v>
      </c>
      <c r="E2882" s="5">
        <v>-30387</v>
      </c>
      <c r="F2882" s="3" t="s">
        <v>224</v>
      </c>
      <c r="G2882" s="3" t="s">
        <v>28</v>
      </c>
      <c r="H2882" s="2" t="s">
        <v>21</v>
      </c>
      <c r="I2882" s="2" t="s">
        <v>6582</v>
      </c>
      <c r="J2882" s="3" t="str">
        <f>HYPERLINK("https://www.boe.es/gazeta/dias/1816/10/19/pdfs/GMD-1816-131.pdf#page=6","Abrir facsímil")</f>
        <v>Abrir facsímil</v>
      </c>
      <c r="K2882" s="3" t="s">
        <v>23</v>
      </c>
    </row>
    <row r="2883" spans="1:11" ht="42" customHeight="1">
      <c r="A2883" s="2" t="s">
        <v>6583</v>
      </c>
      <c r="B2883" s="2" t="s">
        <v>6584</v>
      </c>
      <c r="C2883" s="2" t="s">
        <v>41</v>
      </c>
      <c r="D2883" s="2" t="s">
        <v>18</v>
      </c>
      <c r="E2883" s="5">
        <v>-30496</v>
      </c>
      <c r="F2883" s="3" t="s">
        <v>290</v>
      </c>
      <c r="G2883" s="3" t="s">
        <v>291</v>
      </c>
      <c r="H2883" s="2" t="s">
        <v>21</v>
      </c>
      <c r="I2883" s="2" t="s">
        <v>6585</v>
      </c>
      <c r="J2883" s="3" t="str">
        <f>HYPERLINK("https://www.boe.es/gazeta/dias/1816/07/02/pdfs/GMD-1816-82.pdf#page=7","Abrir facsímil")</f>
        <v>Abrir facsímil</v>
      </c>
      <c r="K2883" s="3" t="s">
        <v>23</v>
      </c>
    </row>
    <row r="2884" spans="1:11" ht="42" customHeight="1">
      <c r="A2884" s="2" t="s">
        <v>6586</v>
      </c>
      <c r="B2884" s="2" t="s">
        <v>6587</v>
      </c>
      <c r="C2884" s="2" t="s">
        <v>111</v>
      </c>
      <c r="D2884" s="2" t="s">
        <v>112</v>
      </c>
      <c r="E2884" s="5">
        <v>-30515</v>
      </c>
      <c r="F2884" s="3" t="s">
        <v>2452</v>
      </c>
      <c r="G2884" s="3" t="s">
        <v>42</v>
      </c>
      <c r="H2884" s="2" t="s">
        <v>21</v>
      </c>
      <c r="I2884" s="2" t="s">
        <v>6588</v>
      </c>
      <c r="J2884" s="3" t="str">
        <f>HYPERLINK("https://www.boe.es/gazeta/dias/1816/06/13/pdfs/GMD-1816-74.pdf#page=8","Abrir facsímil")</f>
        <v>Abrir facsímil</v>
      </c>
      <c r="K2884" s="3" t="s">
        <v>23</v>
      </c>
    </row>
    <row r="2885" spans="1:11" ht="42" customHeight="1">
      <c r="A2885" s="2" t="s">
        <v>6589</v>
      </c>
      <c r="B2885" s="2" t="s">
        <v>6590</v>
      </c>
      <c r="C2885" s="2" t="s">
        <v>17</v>
      </c>
      <c r="D2885" s="2" t="s">
        <v>18</v>
      </c>
      <c r="E2885" s="5">
        <v>-30571</v>
      </c>
      <c r="F2885" s="3" t="s">
        <v>738</v>
      </c>
      <c r="G2885" s="3" t="s">
        <v>42</v>
      </c>
      <c r="H2885" s="2" t="s">
        <v>21</v>
      </c>
      <c r="I2885" s="2" t="s">
        <v>6591</v>
      </c>
      <c r="J2885" s="3" t="str">
        <f>HYPERLINK("https://www.boe.es/gazeta/dias/1816/04/18/pdfs/GMD-1816-50.pdf#page=8","Abrir facsímil")</f>
        <v>Abrir facsímil</v>
      </c>
      <c r="K2885" s="3" t="s">
        <v>23</v>
      </c>
    </row>
    <row r="2886" spans="1:11" ht="42" customHeight="1">
      <c r="A2886" s="2" t="s">
        <v>6592</v>
      </c>
      <c r="B2886" s="2" t="s">
        <v>6593</v>
      </c>
      <c r="C2886" s="2" t="s">
        <v>111</v>
      </c>
      <c r="D2886" s="2" t="s">
        <v>112</v>
      </c>
      <c r="E2886" s="5">
        <v>-30489</v>
      </c>
      <c r="F2886" s="3" t="s">
        <v>1120</v>
      </c>
      <c r="G2886" s="3" t="s">
        <v>47</v>
      </c>
      <c r="H2886" s="2" t="s">
        <v>21</v>
      </c>
      <c r="I2886" s="2" t="s">
        <v>6594</v>
      </c>
      <c r="J2886" s="3" t="str">
        <f>HYPERLINK("https://www.boe.es/gazeta/dias/1816/07/09/pdfs/GMD-1816-85.pdf#page=5","Abrir facsímil")</f>
        <v>Abrir facsímil</v>
      </c>
      <c r="K2886" s="3" t="s">
        <v>23</v>
      </c>
    </row>
    <row r="2887" spans="1:11" ht="42" customHeight="1">
      <c r="A2887" s="2" t="s">
        <v>6595</v>
      </c>
      <c r="B2887" s="2" t="s">
        <v>6596</v>
      </c>
      <c r="C2887" s="2" t="s">
        <v>26</v>
      </c>
      <c r="D2887" s="2" t="s">
        <v>56</v>
      </c>
      <c r="E2887" s="5">
        <v>-30393</v>
      </c>
      <c r="F2887" s="3" t="s">
        <v>202</v>
      </c>
      <c r="G2887" s="3" t="s">
        <v>834</v>
      </c>
      <c r="H2887" s="2" t="s">
        <v>21</v>
      </c>
      <c r="I2887" s="2" t="s">
        <v>6597</v>
      </c>
      <c r="J2887" s="3" t="str">
        <f>HYPERLINK("https://www.boe.es/gazeta/dias/1816/10/13/pdfs/GMD-1816-128E.pdf#page=6","Abrir facsímil")</f>
        <v>Abrir facsímil</v>
      </c>
      <c r="K2887" s="3" t="s">
        <v>23</v>
      </c>
    </row>
    <row r="2888" spans="1:11" ht="42" customHeight="1">
      <c r="A2888" s="2" t="s">
        <v>6598</v>
      </c>
      <c r="B2888" s="2" t="s">
        <v>6599</v>
      </c>
      <c r="C2888" s="2" t="s">
        <v>111</v>
      </c>
      <c r="D2888" s="2" t="s">
        <v>112</v>
      </c>
      <c r="E2888" s="5">
        <v>-30373</v>
      </c>
      <c r="F2888" s="3" t="s">
        <v>1280</v>
      </c>
      <c r="G2888" s="3" t="s">
        <v>47</v>
      </c>
      <c r="H2888" s="2" t="s">
        <v>21</v>
      </c>
      <c r="I2888" s="2" t="s">
        <v>6600</v>
      </c>
      <c r="J2888" s="3" t="str">
        <f>HYPERLINK("https://www.boe.es/gazeta/dias/1816/11/02/pdfs/GMD-1816-137.pdf#page=5","Abrir facsímil")</f>
        <v>Abrir facsímil</v>
      </c>
      <c r="K2888" s="3" t="s">
        <v>23</v>
      </c>
    </row>
    <row r="2889" spans="1:11" ht="42" customHeight="1">
      <c r="A2889" s="2" t="s">
        <v>6601</v>
      </c>
      <c r="B2889" s="2" t="s">
        <v>6602</v>
      </c>
      <c r="C2889" s="2" t="s">
        <v>111</v>
      </c>
      <c r="D2889" s="2" t="s">
        <v>112</v>
      </c>
      <c r="E2889" s="5">
        <v>-30501</v>
      </c>
      <c r="F2889" s="3" t="s">
        <v>475</v>
      </c>
      <c r="G2889" s="3" t="s">
        <v>1026</v>
      </c>
      <c r="H2889" s="2" t="s">
        <v>21</v>
      </c>
      <c r="I2889" s="2" t="s">
        <v>6603</v>
      </c>
      <c r="J2889" s="3" t="str">
        <f>HYPERLINK("https://www.boe.es/gazeta/dias/1816/06/27/pdfs/GMD-1816-80.pdf#page=4","Abrir facsímil")</f>
        <v>Abrir facsímil</v>
      </c>
      <c r="K2889" s="3" t="s">
        <v>23</v>
      </c>
    </row>
    <row r="2890" spans="1:11" ht="42" customHeight="1">
      <c r="A2890" s="2" t="s">
        <v>6604</v>
      </c>
      <c r="B2890" s="2" t="s">
        <v>6605</v>
      </c>
      <c r="C2890" s="2" t="s">
        <v>34</v>
      </c>
      <c r="D2890" s="2" t="s">
        <v>35</v>
      </c>
      <c r="E2890" s="5">
        <v>-30375</v>
      </c>
      <c r="F2890" s="3" t="s">
        <v>404</v>
      </c>
      <c r="G2890" s="3" t="s">
        <v>1276</v>
      </c>
      <c r="H2890" s="2" t="s">
        <v>21</v>
      </c>
      <c r="I2890" s="2" t="s">
        <v>6606</v>
      </c>
      <c r="J2890" s="3" t="str">
        <f>HYPERLINK("https://www.boe.es/gazeta/dias/1816/10/31/pdfs/GMD-1816-136.pdf#page=5","Abrir facsímil")</f>
        <v>Abrir facsímil</v>
      </c>
      <c r="K2890" s="3" t="s">
        <v>23</v>
      </c>
    </row>
    <row r="2891" spans="1:11" ht="42" customHeight="1">
      <c r="A2891" s="2" t="s">
        <v>6607</v>
      </c>
      <c r="B2891" s="2" t="s">
        <v>6608</v>
      </c>
      <c r="C2891" s="2" t="s">
        <v>111</v>
      </c>
      <c r="D2891" s="2" t="s">
        <v>112</v>
      </c>
      <c r="E2891" s="5">
        <v>-30590</v>
      </c>
      <c r="F2891" s="3" t="s">
        <v>195</v>
      </c>
      <c r="G2891" s="3" t="s">
        <v>42</v>
      </c>
      <c r="H2891" s="2" t="s">
        <v>29</v>
      </c>
      <c r="I2891" s="2" t="s">
        <v>6609</v>
      </c>
      <c r="J2891" s="3" t="str">
        <f>HYPERLINK("https://www.boe.es/gazeta/dias/1816/03/30/pdfs/GMD-1816-42.pdf#page=8","Abrir facsímil")</f>
        <v>Abrir facsímil</v>
      </c>
      <c r="K2891" s="3" t="s">
        <v>31</v>
      </c>
    </row>
    <row r="2892" spans="1:11" ht="42" customHeight="1">
      <c r="A2892" s="2" t="s">
        <v>6610</v>
      </c>
      <c r="B2892" s="2" t="s">
        <v>6610</v>
      </c>
      <c r="C2892" s="2" t="s">
        <v>26</v>
      </c>
      <c r="D2892" s="2" t="s">
        <v>18</v>
      </c>
      <c r="E2892" s="5">
        <v>-30494</v>
      </c>
      <c r="F2892" s="3" t="s">
        <v>174</v>
      </c>
      <c r="G2892" s="3" t="s">
        <v>72</v>
      </c>
      <c r="H2892" s="2" t="s">
        <v>21</v>
      </c>
      <c r="I2892" s="2" t="s">
        <v>6611</v>
      </c>
      <c r="J2892" s="3" t="str">
        <f>HYPERLINK("https://www.boe.es/gazeta/dias/1816/07/04/pdfs/GMD-1816-83.pdf#page=7","Abrir facsímil")</f>
        <v>Abrir facsímil</v>
      </c>
      <c r="K2892" s="3" t="s">
        <v>23</v>
      </c>
    </row>
    <row r="2893" spans="1:11" ht="42" customHeight="1">
      <c r="A2893" s="2" t="s">
        <v>6610</v>
      </c>
      <c r="B2893" s="2" t="s">
        <v>6610</v>
      </c>
      <c r="C2893" s="2" t="s">
        <v>26</v>
      </c>
      <c r="D2893" s="2" t="s">
        <v>18</v>
      </c>
      <c r="E2893" s="5">
        <v>-30394</v>
      </c>
      <c r="F2893" s="3" t="s">
        <v>589</v>
      </c>
      <c r="G2893" s="3" t="s">
        <v>72</v>
      </c>
      <c r="H2893" s="2" t="s">
        <v>21</v>
      </c>
      <c r="I2893" s="2" t="s">
        <v>6612</v>
      </c>
      <c r="J2893" s="3" t="str">
        <f>HYPERLINK("https://www.boe.es/gazeta/dias/1816/10/12/pdfs/GMD-1816-127.pdf#page=7","Abrir facsímil")</f>
        <v>Abrir facsímil</v>
      </c>
      <c r="K2893" s="3" t="s">
        <v>23</v>
      </c>
    </row>
    <row r="2894" spans="1:11" ht="42" customHeight="1">
      <c r="A2894" s="2" t="s">
        <v>6613</v>
      </c>
      <c r="B2894" s="2" t="s">
        <v>6613</v>
      </c>
      <c r="C2894" s="2" t="s">
        <v>111</v>
      </c>
      <c r="D2894" s="2" t="s">
        <v>112</v>
      </c>
      <c r="E2894" s="5">
        <v>-30604</v>
      </c>
      <c r="F2894" s="3" t="s">
        <v>488</v>
      </c>
      <c r="G2894" s="3" t="s">
        <v>42</v>
      </c>
      <c r="H2894" s="2" t="s">
        <v>21</v>
      </c>
      <c r="I2894" s="2" t="s">
        <v>6614</v>
      </c>
      <c r="J2894" s="3" t="str">
        <f>HYPERLINK("https://www.boe.es/gazeta/dias/1816/03/16/pdfs/GMD-1816-35.pdf#page=8","Abrir facsímil")</f>
        <v>Abrir facsímil</v>
      </c>
      <c r="K2894" s="3" t="s">
        <v>23</v>
      </c>
    </row>
    <row r="2895" spans="1:11" ht="42" customHeight="1">
      <c r="A2895" s="2" t="s">
        <v>6615</v>
      </c>
      <c r="B2895" s="2" t="s">
        <v>6616</v>
      </c>
      <c r="C2895" s="2" t="s">
        <v>26</v>
      </c>
      <c r="D2895" s="2" t="s">
        <v>56</v>
      </c>
      <c r="E2895" s="5">
        <v>-30393</v>
      </c>
      <c r="F2895" s="3" t="s">
        <v>202</v>
      </c>
      <c r="G2895" s="3" t="s">
        <v>47</v>
      </c>
      <c r="H2895" s="2" t="s">
        <v>21</v>
      </c>
      <c r="I2895" s="2" t="s">
        <v>6617</v>
      </c>
      <c r="J2895" s="3" t="str">
        <f>HYPERLINK("https://www.boe.es/gazeta/dias/1816/10/13/pdfs/GMD-1816-128E.pdf#page=5","Abrir facsímil")</f>
        <v>Abrir facsímil</v>
      </c>
      <c r="K2895" s="3" t="s">
        <v>23</v>
      </c>
    </row>
    <row r="2896" spans="1:11" ht="42" customHeight="1">
      <c r="A2896" s="2" t="s">
        <v>6618</v>
      </c>
      <c r="B2896" s="2" t="s">
        <v>6619</v>
      </c>
      <c r="C2896" s="2" t="s">
        <v>34</v>
      </c>
      <c r="D2896" s="2" t="s">
        <v>35</v>
      </c>
      <c r="E2896" s="5">
        <v>-30678</v>
      </c>
      <c r="F2896" s="3" t="s">
        <v>76</v>
      </c>
      <c r="G2896" s="3" t="s">
        <v>77</v>
      </c>
      <c r="H2896" s="2" t="s">
        <v>21</v>
      </c>
      <c r="I2896" s="2" t="s">
        <v>6620</v>
      </c>
      <c r="J2896" s="3" t="str">
        <f>HYPERLINK("https://www.boe.es/gazeta/dias/1816/01/02/pdfs/GMD-1816-1.pdf#page=8","Abrir facsímil")</f>
        <v>Abrir facsímil</v>
      </c>
      <c r="K2896" s="3" t="s">
        <v>23</v>
      </c>
    </row>
    <row r="2897" spans="1:11" ht="42" customHeight="1">
      <c r="A2897" s="2" t="s">
        <v>6621</v>
      </c>
      <c r="B2897" s="2" t="s">
        <v>6622</v>
      </c>
      <c r="C2897" s="2" t="s">
        <v>26</v>
      </c>
      <c r="D2897" s="2" t="s">
        <v>18</v>
      </c>
      <c r="E2897" s="5">
        <v>-30431</v>
      </c>
      <c r="F2897" s="3" t="s">
        <v>756</v>
      </c>
      <c r="G2897" s="3" t="s">
        <v>72</v>
      </c>
      <c r="H2897" s="2" t="s">
        <v>29</v>
      </c>
      <c r="I2897" s="2" t="s">
        <v>6623</v>
      </c>
      <c r="J2897" s="3" t="str">
        <f>HYPERLINK("https://www.boe.es/gazeta/dias/1816/09/05/pdfs/GMD-1816-110.pdf#page=7","Abrir facsímil")</f>
        <v>Abrir facsímil</v>
      </c>
      <c r="K2897" s="3" t="s">
        <v>31</v>
      </c>
    </row>
    <row r="2898" spans="1:11" ht="42" customHeight="1">
      <c r="A2898" s="2" t="s">
        <v>6624</v>
      </c>
      <c r="B2898" s="2" t="s">
        <v>6625</v>
      </c>
      <c r="C2898" s="2" t="s">
        <v>26</v>
      </c>
      <c r="D2898" s="2" t="s">
        <v>18</v>
      </c>
      <c r="E2898" s="5">
        <v>-30494</v>
      </c>
      <c r="F2898" s="3" t="s">
        <v>174</v>
      </c>
      <c r="G2898" s="3" t="s">
        <v>72</v>
      </c>
      <c r="H2898" s="2" t="s">
        <v>29</v>
      </c>
      <c r="I2898" s="2" t="s">
        <v>6626</v>
      </c>
      <c r="J2898" s="3" t="str">
        <f>HYPERLINK("https://www.boe.es/gazeta/dias/1816/07/04/pdfs/GMD-1816-83.pdf#page=7","Abrir facsímil")</f>
        <v>Abrir facsímil</v>
      </c>
      <c r="K2898" s="3" t="s">
        <v>31</v>
      </c>
    </row>
    <row r="2899" spans="1:11" ht="42" customHeight="1">
      <c r="A2899" s="2" t="s">
        <v>6627</v>
      </c>
      <c r="B2899" s="2" t="s">
        <v>6628</v>
      </c>
      <c r="C2899" s="2" t="s">
        <v>34</v>
      </c>
      <c r="D2899" s="2" t="s">
        <v>35</v>
      </c>
      <c r="E2899" s="5">
        <v>-30599</v>
      </c>
      <c r="F2899" s="3" t="s">
        <v>552</v>
      </c>
      <c r="G2899" s="3" t="s">
        <v>103</v>
      </c>
      <c r="H2899" s="2" t="s">
        <v>21</v>
      </c>
      <c r="I2899" s="2" t="s">
        <v>6629</v>
      </c>
      <c r="J2899" s="3" t="str">
        <f>HYPERLINK("https://www.boe.es/gazeta/dias/1816/03/21/pdfs/GMD-1816-38.pdf#page=4","Abrir facsímil")</f>
        <v>Abrir facsímil</v>
      </c>
      <c r="K2899" s="3" t="s">
        <v>23</v>
      </c>
    </row>
    <row r="2900" spans="1:11" ht="42" customHeight="1">
      <c r="A2900" s="2" t="s">
        <v>6627</v>
      </c>
      <c r="B2900" s="2" t="s">
        <v>6628</v>
      </c>
      <c r="C2900" s="2" t="s">
        <v>26</v>
      </c>
      <c r="D2900" s="2" t="s">
        <v>18</v>
      </c>
      <c r="E2900" s="5">
        <v>-30599</v>
      </c>
      <c r="F2900" s="3" t="s">
        <v>552</v>
      </c>
      <c r="G2900" s="3" t="s">
        <v>28</v>
      </c>
      <c r="H2900" s="2" t="s">
        <v>21</v>
      </c>
      <c r="I2900" s="2" t="s">
        <v>6630</v>
      </c>
      <c r="J2900" s="3" t="str">
        <f>HYPERLINK("https://www.boe.es/gazeta/dias/1816/03/21/pdfs/GMD-1816-38.pdf#page=6","Abrir facsímil")</f>
        <v>Abrir facsímil</v>
      </c>
      <c r="K2900" s="3" t="s">
        <v>23</v>
      </c>
    </row>
    <row r="2901" spans="1:11" ht="42" customHeight="1">
      <c r="A2901" s="2" t="s">
        <v>6631</v>
      </c>
      <c r="B2901" s="2" t="s">
        <v>6632</v>
      </c>
      <c r="C2901" s="2" t="s">
        <v>26</v>
      </c>
      <c r="D2901" s="2" t="s">
        <v>18</v>
      </c>
      <c r="E2901" s="5">
        <v>-30641</v>
      </c>
      <c r="F2901" s="3" t="s">
        <v>192</v>
      </c>
      <c r="G2901" s="3" t="s">
        <v>72</v>
      </c>
      <c r="H2901" s="2" t="s">
        <v>21</v>
      </c>
      <c r="I2901" s="2" t="s">
        <v>6633</v>
      </c>
      <c r="J2901" s="3" t="str">
        <f>HYPERLINK("https://www.boe.es/gazeta/dias/1816/02/08/pdfs/GMD-1816-18.pdf#page=7","Abrir facsímil")</f>
        <v>Abrir facsímil</v>
      </c>
      <c r="K2901" s="3" t="s">
        <v>23</v>
      </c>
    </row>
    <row r="2902" spans="1:11" ht="42" customHeight="1">
      <c r="A2902" s="2" t="s">
        <v>6634</v>
      </c>
      <c r="B2902" s="2" t="s">
        <v>6634</v>
      </c>
      <c r="C2902" s="2" t="s">
        <v>34</v>
      </c>
      <c r="D2902" s="2" t="s">
        <v>35</v>
      </c>
      <c r="E2902" s="5">
        <v>-30520</v>
      </c>
      <c r="F2902" s="3" t="s">
        <v>731</v>
      </c>
      <c r="G2902" s="3" t="s">
        <v>42</v>
      </c>
      <c r="H2902" s="2" t="s">
        <v>21</v>
      </c>
      <c r="I2902" s="2" t="s">
        <v>6635</v>
      </c>
      <c r="J2902" s="3" t="str">
        <f>HYPERLINK("https://www.boe.es/gazeta/dias/1816/06/08/pdfs/GMD-1816-72.pdf#page=8","Abrir facsímil")</f>
        <v>Abrir facsímil</v>
      </c>
      <c r="K2902" s="3" t="s">
        <v>23</v>
      </c>
    </row>
    <row r="2903" spans="1:11" ht="42" customHeight="1">
      <c r="A2903" s="2" t="s">
        <v>6636</v>
      </c>
      <c r="B2903" s="2" t="s">
        <v>6637</v>
      </c>
      <c r="C2903" s="2" t="s">
        <v>111</v>
      </c>
      <c r="D2903" s="2" t="s">
        <v>112</v>
      </c>
      <c r="E2903" s="5">
        <v>-30380</v>
      </c>
      <c r="F2903" s="3" t="s">
        <v>819</v>
      </c>
      <c r="G2903" s="3" t="s">
        <v>47</v>
      </c>
      <c r="H2903" s="2" t="s">
        <v>21</v>
      </c>
      <c r="I2903" s="2" t="s">
        <v>6638</v>
      </c>
      <c r="J2903" s="3" t="str">
        <f>HYPERLINK("https://www.boe.es/gazeta/dias/1816/10/26/pdfs/GMD-1816-134.pdf#page=5","Abrir facsímil")</f>
        <v>Abrir facsímil</v>
      </c>
      <c r="K2903" s="3" t="s">
        <v>23</v>
      </c>
    </row>
    <row r="2904" spans="1:11" ht="42" customHeight="1">
      <c r="A2904" s="2" t="s">
        <v>6639</v>
      </c>
      <c r="B2904" s="2" t="s">
        <v>6640</v>
      </c>
      <c r="C2904" s="2" t="s">
        <v>34</v>
      </c>
      <c r="D2904" s="2" t="s">
        <v>35</v>
      </c>
      <c r="E2904" s="5">
        <v>-30331</v>
      </c>
      <c r="F2904" s="3" t="s">
        <v>315</v>
      </c>
      <c r="G2904" s="3" t="s">
        <v>28</v>
      </c>
      <c r="H2904" s="2" t="s">
        <v>21</v>
      </c>
      <c r="I2904" s="2" t="s">
        <v>6641</v>
      </c>
      <c r="J2904" s="3" t="str">
        <f>HYPERLINK("https://www.boe.es/gazeta/dias/1816/12/14/pdfs/GMD-1816-155.pdf#page=6","Abrir facsímil")</f>
        <v>Abrir facsímil</v>
      </c>
      <c r="K2904" s="3" t="s">
        <v>23</v>
      </c>
    </row>
    <row r="2905" spans="1:11" ht="42" customHeight="1">
      <c r="A2905" s="2" t="s">
        <v>6642</v>
      </c>
      <c r="B2905" s="2" t="s">
        <v>6643</v>
      </c>
      <c r="C2905" s="2" t="s">
        <v>67</v>
      </c>
      <c r="D2905" s="2" t="s">
        <v>18</v>
      </c>
      <c r="E2905" s="5">
        <v>-30599</v>
      </c>
      <c r="F2905" s="3" t="s">
        <v>552</v>
      </c>
      <c r="G2905" s="3" t="s">
        <v>184</v>
      </c>
      <c r="H2905" s="2" t="s">
        <v>21</v>
      </c>
      <c r="I2905" s="2" t="s">
        <v>6644</v>
      </c>
      <c r="J2905" s="3" t="str">
        <f>HYPERLINK("https://www.boe.es/gazeta/dias/1816/03/21/pdfs/GMD-1816-38.pdf#page=3","Abrir facsímil")</f>
        <v>Abrir facsímil</v>
      </c>
      <c r="K2905" s="3" t="s">
        <v>23</v>
      </c>
    </row>
    <row r="2906" spans="1:11" ht="42" customHeight="1">
      <c r="A2906" s="2" t="s">
        <v>6642</v>
      </c>
      <c r="B2906" s="2" t="s">
        <v>6643</v>
      </c>
      <c r="C2906" s="2" t="s">
        <v>34</v>
      </c>
      <c r="D2906" s="2" t="s">
        <v>35</v>
      </c>
      <c r="E2906" s="5">
        <v>-30599</v>
      </c>
      <c r="F2906" s="3" t="s">
        <v>552</v>
      </c>
      <c r="G2906" s="3" t="s">
        <v>103</v>
      </c>
      <c r="H2906" s="2" t="s">
        <v>21</v>
      </c>
      <c r="I2906" s="2" t="s">
        <v>6645</v>
      </c>
      <c r="J2906" s="3" t="str">
        <f>HYPERLINK("https://www.boe.es/gazeta/dias/1816/03/21/pdfs/GMD-1816-38.pdf#page=4","Abrir facsímil")</f>
        <v>Abrir facsímil</v>
      </c>
      <c r="K2906" s="3" t="s">
        <v>23</v>
      </c>
    </row>
    <row r="2907" spans="1:11" ht="42" customHeight="1">
      <c r="A2907" s="2" t="s">
        <v>6642</v>
      </c>
      <c r="B2907" s="2" t="s">
        <v>6643</v>
      </c>
      <c r="C2907" s="2" t="s">
        <v>34</v>
      </c>
      <c r="D2907" s="2" t="s">
        <v>35</v>
      </c>
      <c r="E2907" s="5">
        <v>-30594</v>
      </c>
      <c r="F2907" s="3" t="s">
        <v>234</v>
      </c>
      <c r="G2907" s="3" t="s">
        <v>72</v>
      </c>
      <c r="H2907" s="2" t="s">
        <v>21</v>
      </c>
      <c r="I2907" s="2" t="s">
        <v>6646</v>
      </c>
      <c r="J2907" s="3" t="str">
        <f>HYPERLINK("https://www.boe.es/gazeta/dias/1816/03/26/pdfs/GMD-1816-40.pdf#page=7","Abrir facsímil")</f>
        <v>Abrir facsímil</v>
      </c>
      <c r="K2907" s="3" t="s">
        <v>23</v>
      </c>
    </row>
    <row r="2908" spans="1:11" ht="42" customHeight="1">
      <c r="A2908" s="2" t="s">
        <v>6647</v>
      </c>
      <c r="B2908" s="2" t="s">
        <v>6648</v>
      </c>
      <c r="C2908" s="2" t="s">
        <v>111</v>
      </c>
      <c r="D2908" s="2" t="s">
        <v>56</v>
      </c>
      <c r="E2908" s="5">
        <v>-30393</v>
      </c>
      <c r="F2908" s="3" t="s">
        <v>202</v>
      </c>
      <c r="G2908" s="3" t="s">
        <v>270</v>
      </c>
      <c r="H2908" s="2" t="s">
        <v>21</v>
      </c>
      <c r="I2908" s="2" t="s">
        <v>6649</v>
      </c>
      <c r="J2908" s="3" t="str">
        <f>HYPERLINK("https://www.boe.es/gazeta/dias/1816/10/13/pdfs/GMD-1816-128E.pdf#page=2","Abrir facsímil")</f>
        <v>Abrir facsímil</v>
      </c>
      <c r="K2908" s="3" t="s">
        <v>23</v>
      </c>
    </row>
    <row r="2909" spans="1:11" ht="42" customHeight="1">
      <c r="A2909" s="2" t="s">
        <v>6650</v>
      </c>
      <c r="B2909" s="2" t="s">
        <v>6651</v>
      </c>
      <c r="C2909" s="2" t="s">
        <v>111</v>
      </c>
      <c r="D2909" s="2" t="s">
        <v>112</v>
      </c>
      <c r="E2909" s="5">
        <v>-30459</v>
      </c>
      <c r="F2909" s="3" t="s">
        <v>1957</v>
      </c>
      <c r="G2909" s="3" t="s">
        <v>42</v>
      </c>
      <c r="H2909" s="2" t="s">
        <v>21</v>
      </c>
      <c r="I2909" s="2" t="s">
        <v>6652</v>
      </c>
      <c r="J2909" s="3" t="str">
        <f>HYPERLINK("https://www.boe.es/gazeta/dias/1816/08/08/pdfs/GMD-1816-98.pdf#page=8","Abrir facsímil")</f>
        <v>Abrir facsímil</v>
      </c>
      <c r="K2909" s="3" t="s">
        <v>23</v>
      </c>
    </row>
    <row r="2910" spans="1:11" ht="42" customHeight="1">
      <c r="A2910" s="2" t="s">
        <v>6653</v>
      </c>
      <c r="B2910" s="2" t="s">
        <v>6653</v>
      </c>
      <c r="C2910" s="2" t="s">
        <v>34</v>
      </c>
      <c r="D2910" s="2" t="s">
        <v>35</v>
      </c>
      <c r="E2910" s="5">
        <v>-30655</v>
      </c>
      <c r="F2910" s="3" t="s">
        <v>170</v>
      </c>
      <c r="G2910" s="3" t="s">
        <v>47</v>
      </c>
      <c r="H2910" s="2" t="s">
        <v>21</v>
      </c>
      <c r="I2910" s="2" t="s">
        <v>6654</v>
      </c>
      <c r="J2910" s="3" t="str">
        <f>HYPERLINK("https://www.boe.es/gazeta/dias/1816/01/25/pdfs/GMD-1816-11.pdf#page=5","Abrir facsímil")</f>
        <v>Abrir facsímil</v>
      </c>
      <c r="K2910" s="3" t="s">
        <v>23</v>
      </c>
    </row>
    <row r="2911" spans="1:11" ht="42" customHeight="1">
      <c r="A2911" s="2" t="s">
        <v>6653</v>
      </c>
      <c r="B2911" s="2" t="s">
        <v>6653</v>
      </c>
      <c r="C2911" s="2" t="s">
        <v>34</v>
      </c>
      <c r="D2911" s="2" t="s">
        <v>35</v>
      </c>
      <c r="E2911" s="5">
        <v>-30601</v>
      </c>
      <c r="F2911" s="3" t="s">
        <v>308</v>
      </c>
      <c r="G2911" s="3" t="s">
        <v>28</v>
      </c>
      <c r="H2911" s="2" t="s">
        <v>21</v>
      </c>
      <c r="I2911" s="2" t="s">
        <v>6655</v>
      </c>
      <c r="J2911" s="3" t="str">
        <f>HYPERLINK("https://www.boe.es/gazeta/dias/1816/03/19/pdfs/GMD-1816-37.pdf#page=6","Abrir facsímil")</f>
        <v>Abrir facsímil</v>
      </c>
      <c r="K2911" s="3" t="s">
        <v>23</v>
      </c>
    </row>
    <row r="2912" spans="1:11" ht="42" customHeight="1">
      <c r="A2912" s="2" t="s">
        <v>6653</v>
      </c>
      <c r="B2912" s="2" t="s">
        <v>6653</v>
      </c>
      <c r="C2912" s="2" t="s">
        <v>34</v>
      </c>
      <c r="D2912" s="2" t="s">
        <v>35</v>
      </c>
      <c r="E2912" s="5">
        <v>-30599</v>
      </c>
      <c r="F2912" s="3" t="s">
        <v>552</v>
      </c>
      <c r="G2912" s="3" t="s">
        <v>270</v>
      </c>
      <c r="H2912" s="2" t="s">
        <v>21</v>
      </c>
      <c r="I2912" s="2" t="s">
        <v>6656</v>
      </c>
      <c r="J2912" s="3" t="str">
        <f>HYPERLINK("https://www.boe.es/gazeta/dias/1816/03/21/pdfs/GMD-1816-38.pdf#page=2","Abrir facsímil")</f>
        <v>Abrir facsímil</v>
      </c>
      <c r="K2912" s="3" t="s">
        <v>23</v>
      </c>
    </row>
    <row r="2913" spans="1:11" ht="42" customHeight="1">
      <c r="A2913" s="2" t="s">
        <v>6657</v>
      </c>
      <c r="B2913" s="2" t="s">
        <v>6657</v>
      </c>
      <c r="C2913" s="2" t="s">
        <v>34</v>
      </c>
      <c r="D2913" s="2" t="s">
        <v>35</v>
      </c>
      <c r="E2913" s="5">
        <v>-30594</v>
      </c>
      <c r="F2913" s="3" t="s">
        <v>234</v>
      </c>
      <c r="G2913" s="3" t="s">
        <v>184</v>
      </c>
      <c r="H2913" s="2" t="s">
        <v>21</v>
      </c>
      <c r="I2913" s="2" t="s">
        <v>6658</v>
      </c>
      <c r="J2913" s="3" t="str">
        <f>HYPERLINK("https://www.boe.es/gazeta/dias/1816/03/26/pdfs/GMD-1816-40.pdf#page=3","Abrir facsímil")</f>
        <v>Abrir facsímil</v>
      </c>
      <c r="K2913" s="3" t="s">
        <v>23</v>
      </c>
    </row>
    <row r="2914" spans="1:11" ht="42" customHeight="1">
      <c r="A2914" s="2" t="s">
        <v>6659</v>
      </c>
      <c r="B2914" s="2" t="s">
        <v>6660</v>
      </c>
      <c r="C2914" s="2" t="s">
        <v>26</v>
      </c>
      <c r="D2914" s="2" t="s">
        <v>18</v>
      </c>
      <c r="E2914" s="5">
        <v>-30370</v>
      </c>
      <c r="F2914" s="3" t="s">
        <v>669</v>
      </c>
      <c r="G2914" s="3" t="s">
        <v>72</v>
      </c>
      <c r="H2914" s="2" t="s">
        <v>21</v>
      </c>
      <c r="I2914" s="2" t="s">
        <v>6661</v>
      </c>
      <c r="J2914" s="3" t="str">
        <f>HYPERLINK("https://www.boe.es/gazeta/dias/1816/11/05/pdfs/GMD-1816-138.pdf#page=7","Abrir facsímil")</f>
        <v>Abrir facsímil</v>
      </c>
      <c r="K2914" s="3" t="s">
        <v>23</v>
      </c>
    </row>
    <row r="2915" spans="1:11" ht="42" customHeight="1">
      <c r="A2915" s="2" t="s">
        <v>6662</v>
      </c>
      <c r="B2915" s="2" t="s">
        <v>6663</v>
      </c>
      <c r="C2915" s="2" t="s">
        <v>26</v>
      </c>
      <c r="D2915" s="2" t="s">
        <v>18</v>
      </c>
      <c r="E2915" s="5">
        <v>-30342</v>
      </c>
      <c r="F2915" s="3" t="s">
        <v>116</v>
      </c>
      <c r="G2915" s="3" t="s">
        <v>28</v>
      </c>
      <c r="H2915" s="2" t="s">
        <v>21</v>
      </c>
      <c r="I2915" s="2" t="s">
        <v>6664</v>
      </c>
      <c r="J2915" s="3" t="str">
        <f>HYPERLINK("https://www.boe.es/gazeta/dias/1816/12/03/pdfs/GMD-1816-150.pdf#page=6","Abrir facsímil")</f>
        <v>Abrir facsímil</v>
      </c>
      <c r="K2915" s="3" t="s">
        <v>23</v>
      </c>
    </row>
    <row r="2916" spans="1:11" ht="42" customHeight="1">
      <c r="A2916" s="2" t="s">
        <v>6665</v>
      </c>
      <c r="B2916" s="2" t="s">
        <v>6666</v>
      </c>
      <c r="C2916" s="2" t="s">
        <v>34</v>
      </c>
      <c r="D2916" s="2" t="s">
        <v>35</v>
      </c>
      <c r="E2916" s="5">
        <v>-30487</v>
      </c>
      <c r="F2916" s="3" t="s">
        <v>397</v>
      </c>
      <c r="G2916" s="3" t="s">
        <v>455</v>
      </c>
      <c r="H2916" s="2" t="s">
        <v>21</v>
      </c>
      <c r="I2916" s="2" t="s">
        <v>6667</v>
      </c>
      <c r="J2916" s="3" t="str">
        <f>HYPERLINK("https://www.boe.es/gazeta/dias/1816/07/11/pdfs/GMD-1816-86.pdf#page=7","Abrir facsímil")</f>
        <v>Abrir facsímil</v>
      </c>
      <c r="K2916" s="3" t="s">
        <v>23</v>
      </c>
    </row>
    <row r="2917" spans="1:11" ht="42" customHeight="1">
      <c r="A2917" s="2" t="s">
        <v>6668</v>
      </c>
      <c r="B2917" s="2" t="s">
        <v>6669</v>
      </c>
      <c r="C2917" s="2" t="s">
        <v>34</v>
      </c>
      <c r="D2917" s="2" t="s">
        <v>35</v>
      </c>
      <c r="E2917" s="5">
        <v>-30382</v>
      </c>
      <c r="F2917" s="3" t="s">
        <v>326</v>
      </c>
      <c r="G2917" s="3" t="s">
        <v>184</v>
      </c>
      <c r="H2917" s="2" t="s">
        <v>29</v>
      </c>
      <c r="I2917" s="2" t="s">
        <v>6670</v>
      </c>
      <c r="J2917" s="3" t="str">
        <f>HYPERLINK("https://www.boe.es/gazeta/dias/1816/10/24/pdfs/GMD-1816-133.pdf#page=3","Abrir facsímil")</f>
        <v>Abrir facsímil</v>
      </c>
      <c r="K2917" s="3" t="s">
        <v>31</v>
      </c>
    </row>
    <row r="2918" spans="1:11" ht="42" customHeight="1">
      <c r="A2918" s="2" t="s">
        <v>6671</v>
      </c>
      <c r="B2918" s="2" t="s">
        <v>6671</v>
      </c>
      <c r="C2918" s="2" t="s">
        <v>26</v>
      </c>
      <c r="D2918" s="2" t="s">
        <v>18</v>
      </c>
      <c r="E2918" s="5">
        <v>-30319</v>
      </c>
      <c r="F2918" s="3" t="s">
        <v>131</v>
      </c>
      <c r="G2918" s="3" t="s">
        <v>184</v>
      </c>
      <c r="H2918" s="2" t="s">
        <v>21</v>
      </c>
      <c r="I2918" s="2" t="s">
        <v>6672</v>
      </c>
      <c r="J2918" s="3" t="str">
        <f>HYPERLINK("https://www.boe.es/gazeta/dias/1816/12/26/pdfs/GMD-1816-160.pdf#page=3","Abrir facsímil")</f>
        <v>Abrir facsímil</v>
      </c>
      <c r="K2918" s="3" t="s">
        <v>23</v>
      </c>
    </row>
    <row r="2919" spans="1:11" ht="42" customHeight="1">
      <c r="A2919" s="2" t="s">
        <v>6673</v>
      </c>
      <c r="B2919" s="2" t="s">
        <v>6673</v>
      </c>
      <c r="C2919" s="2" t="s">
        <v>111</v>
      </c>
      <c r="D2919" s="2" t="s">
        <v>112</v>
      </c>
      <c r="E2919" s="5">
        <v>-30615</v>
      </c>
      <c r="F2919" s="3" t="s">
        <v>1848</v>
      </c>
      <c r="G2919" s="3" t="s">
        <v>47</v>
      </c>
      <c r="H2919" s="2" t="s">
        <v>21</v>
      </c>
      <c r="I2919" s="2" t="s">
        <v>6674</v>
      </c>
      <c r="J2919" s="3" t="str">
        <f>HYPERLINK("https://www.boe.es/gazeta/dias/1816/03/05/pdfs/GMD-1816-30.pdf#page=5","Abrir facsímil")</f>
        <v>Abrir facsímil</v>
      </c>
      <c r="K2919" s="3" t="s">
        <v>23</v>
      </c>
    </row>
    <row r="2920" spans="1:11" ht="42" customHeight="1">
      <c r="A2920" s="2" t="s">
        <v>6673</v>
      </c>
      <c r="B2920" s="2" t="s">
        <v>6673</v>
      </c>
      <c r="C2920" s="2" t="s">
        <v>41</v>
      </c>
      <c r="D2920" s="2" t="s">
        <v>18</v>
      </c>
      <c r="E2920" s="5">
        <v>-30611</v>
      </c>
      <c r="F2920" s="3" t="s">
        <v>211</v>
      </c>
      <c r="G2920" s="3" t="s">
        <v>6675</v>
      </c>
      <c r="H2920" s="2" t="s">
        <v>21</v>
      </c>
      <c r="I2920" s="2" t="s">
        <v>6676</v>
      </c>
      <c r="J2920" s="3" t="str">
        <f>HYPERLINK("https://www.boe.es/gazeta/dias/1816/03/09/pdfs/GMD-1816-32.pdf#page=3","Abrir facsímil")</f>
        <v>Abrir facsímil</v>
      </c>
      <c r="K2920" s="3" t="s">
        <v>23</v>
      </c>
    </row>
    <row r="2921" spans="1:11" ht="42" customHeight="1">
      <c r="A2921" s="2" t="s">
        <v>6673</v>
      </c>
      <c r="B2921" s="2" t="s">
        <v>6673</v>
      </c>
      <c r="C2921" s="2" t="s">
        <v>387</v>
      </c>
      <c r="D2921" s="2" t="s">
        <v>18</v>
      </c>
      <c r="E2921" s="5">
        <v>-30485</v>
      </c>
      <c r="F2921" s="3" t="s">
        <v>156</v>
      </c>
      <c r="G2921" s="3" t="s">
        <v>270</v>
      </c>
      <c r="H2921" s="2" t="s">
        <v>21</v>
      </c>
      <c r="I2921" s="2" t="s">
        <v>6677</v>
      </c>
      <c r="J2921" s="3" t="str">
        <f>HYPERLINK("https://www.boe.es/gazeta/dias/1816/07/13/pdfs/GMD-1816-87.pdf#page=2","Abrir facsímil")</f>
        <v>Abrir facsímil</v>
      </c>
      <c r="K2921" s="3" t="s">
        <v>23</v>
      </c>
    </row>
    <row r="2922" spans="1:11" ht="42" customHeight="1">
      <c r="A2922" s="2" t="s">
        <v>6673</v>
      </c>
      <c r="B2922" s="2" t="s">
        <v>6673</v>
      </c>
      <c r="C2922" s="2" t="s">
        <v>111</v>
      </c>
      <c r="D2922" s="2" t="s">
        <v>112</v>
      </c>
      <c r="E2922" s="5">
        <v>-30340</v>
      </c>
      <c r="F2922" s="3" t="s">
        <v>1618</v>
      </c>
      <c r="G2922" s="3" t="s">
        <v>270</v>
      </c>
      <c r="H2922" s="2" t="s">
        <v>21</v>
      </c>
      <c r="I2922" s="2" t="s">
        <v>6678</v>
      </c>
      <c r="J2922" s="3" t="str">
        <f>HYPERLINK("https://www.boe.es/gazeta/dias/1816/12/05/pdfs/GMD-1816-151.pdf#page=2","Abrir facsímil")</f>
        <v>Abrir facsímil</v>
      </c>
      <c r="K2922" s="3" t="s">
        <v>23</v>
      </c>
    </row>
    <row r="2923" spans="1:11" ht="42" customHeight="1">
      <c r="A2923" s="2" t="s">
        <v>6679</v>
      </c>
      <c r="B2923" s="2" t="s">
        <v>6680</v>
      </c>
      <c r="C2923" s="2" t="s">
        <v>34</v>
      </c>
      <c r="D2923" s="2" t="s">
        <v>35</v>
      </c>
      <c r="E2923" s="5">
        <v>-30396</v>
      </c>
      <c r="F2923" s="3" t="s">
        <v>1623</v>
      </c>
      <c r="G2923" s="3" t="s">
        <v>180</v>
      </c>
      <c r="H2923" s="2" t="s">
        <v>21</v>
      </c>
      <c r="I2923" s="2" t="s">
        <v>6681</v>
      </c>
      <c r="J2923" s="3" t="str">
        <f>HYPERLINK("https://www.boe.es/gazeta/dias/1816/10/10/pdfs/GMD-1816-126.pdf#page=10","Abrir facsímil")</f>
        <v>Abrir facsímil</v>
      </c>
      <c r="K2923" s="3" t="s">
        <v>23</v>
      </c>
    </row>
    <row r="2924" spans="1:11" ht="42" customHeight="1">
      <c r="A2924" s="2" t="s">
        <v>6682</v>
      </c>
      <c r="B2924" s="2" t="s">
        <v>6683</v>
      </c>
      <c r="C2924" s="2" t="s">
        <v>41</v>
      </c>
      <c r="D2924" s="2" t="s">
        <v>18</v>
      </c>
      <c r="E2924" s="5">
        <v>-30445</v>
      </c>
      <c r="F2924" s="3" t="s">
        <v>51</v>
      </c>
      <c r="G2924" s="3" t="s">
        <v>52</v>
      </c>
      <c r="H2924" s="2" t="s">
        <v>21</v>
      </c>
      <c r="I2924" s="2" t="s">
        <v>6684</v>
      </c>
      <c r="J2924" s="3" t="str">
        <f>HYPERLINK("https://www.boe.es/gazeta/dias/1816/08/22/pdfs/GMD-1816-104.pdf#page=12","Abrir facsímil")</f>
        <v>Abrir facsímil</v>
      </c>
      <c r="K2924" s="3" t="s">
        <v>23</v>
      </c>
    </row>
    <row r="2925" spans="1:11" ht="42" customHeight="1">
      <c r="A2925" s="2" t="s">
        <v>6685</v>
      </c>
      <c r="B2925" s="2" t="s">
        <v>6686</v>
      </c>
      <c r="C2925" s="2" t="s">
        <v>111</v>
      </c>
      <c r="D2925" s="2" t="s">
        <v>112</v>
      </c>
      <c r="E2925" s="5">
        <v>-30487</v>
      </c>
      <c r="F2925" s="3" t="s">
        <v>397</v>
      </c>
      <c r="G2925" s="3" t="s">
        <v>92</v>
      </c>
      <c r="H2925" s="2" t="s">
        <v>21</v>
      </c>
      <c r="I2925" s="2" t="s">
        <v>6687</v>
      </c>
      <c r="J2925" s="3" t="str">
        <f>HYPERLINK("https://www.boe.es/gazeta/dias/1816/07/11/pdfs/GMD-1816-86.pdf#page=9","Abrir facsímil")</f>
        <v>Abrir facsímil</v>
      </c>
      <c r="K2925" s="3" t="s">
        <v>23</v>
      </c>
    </row>
    <row r="2926" spans="1:11" ht="42" customHeight="1">
      <c r="A2926" s="2" t="s">
        <v>6685</v>
      </c>
      <c r="B2926" s="2" t="s">
        <v>6686</v>
      </c>
      <c r="C2926" s="2" t="s">
        <v>111</v>
      </c>
      <c r="D2926" s="2" t="s">
        <v>112</v>
      </c>
      <c r="E2926" s="5">
        <v>-30466</v>
      </c>
      <c r="F2926" s="3" t="s">
        <v>2138</v>
      </c>
      <c r="G2926" s="3" t="s">
        <v>72</v>
      </c>
      <c r="H2926" s="2" t="s">
        <v>21</v>
      </c>
      <c r="I2926" s="2" t="s">
        <v>6688</v>
      </c>
      <c r="J2926" s="3" t="str">
        <f>HYPERLINK("https://www.boe.es/gazeta/dias/1816/08/01/pdfs/GMD-1816-95.pdf#page=7","Abrir facsímil")</f>
        <v>Abrir facsímil</v>
      </c>
      <c r="K2926" s="3" t="s">
        <v>23</v>
      </c>
    </row>
    <row r="2927" spans="1:11" ht="42" customHeight="1">
      <c r="A2927" s="2" t="s">
        <v>6689</v>
      </c>
      <c r="B2927" s="2" t="s">
        <v>6689</v>
      </c>
      <c r="C2927" s="2" t="s">
        <v>34</v>
      </c>
      <c r="D2927" s="2" t="s">
        <v>35</v>
      </c>
      <c r="E2927" s="5">
        <v>-30534</v>
      </c>
      <c r="F2927" s="3" t="s">
        <v>274</v>
      </c>
      <c r="G2927" s="3" t="s">
        <v>47</v>
      </c>
      <c r="H2927" s="2" t="s">
        <v>21</v>
      </c>
      <c r="I2927" s="2" t="s">
        <v>6690</v>
      </c>
      <c r="J2927" s="3" t="str">
        <f>HYPERLINK("https://www.boe.es/gazeta/dias/1816/05/25/pdfs/GMD-1816-66.pdf#page=5","Abrir facsímil")</f>
        <v>Abrir facsímil</v>
      </c>
      <c r="K2927" s="3" t="s">
        <v>23</v>
      </c>
    </row>
    <row r="2928" spans="1:11" ht="42" customHeight="1">
      <c r="A2928" s="2" t="s">
        <v>6689</v>
      </c>
      <c r="B2928" s="2" t="s">
        <v>6689</v>
      </c>
      <c r="C2928" s="2" t="s">
        <v>34</v>
      </c>
      <c r="D2928" s="2" t="s">
        <v>35</v>
      </c>
      <c r="E2928" s="5">
        <v>-30342</v>
      </c>
      <c r="F2928" s="3" t="s">
        <v>116</v>
      </c>
      <c r="G2928" s="3" t="s">
        <v>103</v>
      </c>
      <c r="H2928" s="2" t="s">
        <v>21</v>
      </c>
      <c r="I2928" s="2" t="s">
        <v>6691</v>
      </c>
      <c r="J2928" s="3" t="str">
        <f>HYPERLINK("https://www.boe.es/gazeta/dias/1816/12/03/pdfs/GMD-1816-150.pdf#page=4","Abrir facsímil")</f>
        <v>Abrir facsímil</v>
      </c>
      <c r="K2928" s="3" t="s">
        <v>23</v>
      </c>
    </row>
    <row r="2929" spans="1:11" ht="42" customHeight="1">
      <c r="A2929" s="2" t="s">
        <v>6692</v>
      </c>
      <c r="B2929" s="2" t="s">
        <v>6693</v>
      </c>
      <c r="C2929" s="2" t="s">
        <v>81</v>
      </c>
      <c r="D2929" s="2" t="s">
        <v>18</v>
      </c>
      <c r="E2929" s="5">
        <v>-30578</v>
      </c>
      <c r="F2929" s="3" t="s">
        <v>91</v>
      </c>
      <c r="G2929" s="3" t="s">
        <v>286</v>
      </c>
      <c r="H2929" s="2" t="s">
        <v>21</v>
      </c>
      <c r="I2929" s="2" t="s">
        <v>6694</v>
      </c>
      <c r="J2929" s="3" t="str">
        <f>HYPERLINK("https://www.boe.es/gazeta/dias/1816/04/11/pdfs/GMD-1816-47.pdf#page=11","Abrir facsímil")</f>
        <v>Abrir facsímil</v>
      </c>
      <c r="K2929" s="3" t="s">
        <v>23</v>
      </c>
    </row>
    <row r="2930" spans="1:11" ht="42" customHeight="1">
      <c r="A2930" s="2" t="s">
        <v>6695</v>
      </c>
      <c r="B2930" s="2" t="s">
        <v>6696</v>
      </c>
      <c r="C2930" s="2" t="s">
        <v>34</v>
      </c>
      <c r="D2930" s="2" t="s">
        <v>35</v>
      </c>
      <c r="E2930" s="5">
        <v>-30534</v>
      </c>
      <c r="F2930" s="3" t="s">
        <v>274</v>
      </c>
      <c r="G2930" s="3" t="s">
        <v>47</v>
      </c>
      <c r="H2930" s="2" t="s">
        <v>21</v>
      </c>
      <c r="I2930" s="2" t="s">
        <v>6697</v>
      </c>
      <c r="J2930" s="3" t="str">
        <f>HYPERLINK("https://www.boe.es/gazeta/dias/1816/05/25/pdfs/GMD-1816-66.pdf#page=5","Abrir facsímil")</f>
        <v>Abrir facsímil</v>
      </c>
      <c r="K2930" s="3" t="s">
        <v>23</v>
      </c>
    </row>
    <row r="2931" spans="1:11" ht="42" customHeight="1">
      <c r="A2931" s="2" t="s">
        <v>6698</v>
      </c>
      <c r="B2931" s="2" t="s">
        <v>6699</v>
      </c>
      <c r="C2931" s="2" t="s">
        <v>111</v>
      </c>
      <c r="D2931" s="2" t="s">
        <v>112</v>
      </c>
      <c r="E2931" s="5">
        <v>-30590</v>
      </c>
      <c r="F2931" s="3" t="s">
        <v>195</v>
      </c>
      <c r="G2931" s="3" t="s">
        <v>103</v>
      </c>
      <c r="H2931" s="2" t="s">
        <v>21</v>
      </c>
      <c r="I2931" s="2" t="s">
        <v>6700</v>
      </c>
      <c r="J2931" s="3" t="str">
        <f>HYPERLINK("https://www.boe.es/gazeta/dias/1816/03/30/pdfs/GMD-1816-42.pdf#page=4","Abrir facsímil")</f>
        <v>Abrir facsímil</v>
      </c>
      <c r="K2931" s="3" t="s">
        <v>23</v>
      </c>
    </row>
    <row r="2932" spans="1:11" ht="42" customHeight="1">
      <c r="A2932" s="2" t="s">
        <v>6698</v>
      </c>
      <c r="B2932" s="2" t="s">
        <v>6699</v>
      </c>
      <c r="C2932" s="2" t="s">
        <v>34</v>
      </c>
      <c r="D2932" s="2" t="s">
        <v>35</v>
      </c>
      <c r="E2932" s="5">
        <v>-30461</v>
      </c>
      <c r="F2932" s="3" t="s">
        <v>912</v>
      </c>
      <c r="G2932" s="3" t="s">
        <v>47</v>
      </c>
      <c r="H2932" s="2" t="s">
        <v>21</v>
      </c>
      <c r="I2932" s="2" t="s">
        <v>6701</v>
      </c>
      <c r="J2932" s="3" t="str">
        <f>HYPERLINK("https://www.boe.es/gazeta/dias/1816/08/06/pdfs/GMD-1816-97.pdf#page=5","Abrir facsímil")</f>
        <v>Abrir facsímil</v>
      </c>
      <c r="K2932" s="3" t="s">
        <v>23</v>
      </c>
    </row>
    <row r="2933" spans="1:11" ht="42" customHeight="1">
      <c r="A2933" s="2" t="s">
        <v>6698</v>
      </c>
      <c r="B2933" s="2" t="s">
        <v>6699</v>
      </c>
      <c r="C2933" s="2" t="s">
        <v>34</v>
      </c>
      <c r="D2933" s="2" t="s">
        <v>35</v>
      </c>
      <c r="E2933" s="5">
        <v>-30314</v>
      </c>
      <c r="F2933" s="3" t="s">
        <v>1899</v>
      </c>
      <c r="G2933" s="3" t="s">
        <v>2027</v>
      </c>
      <c r="H2933" s="2" t="s">
        <v>21</v>
      </c>
      <c r="I2933" s="2" t="s">
        <v>6702</v>
      </c>
      <c r="J2933" s="3" t="str">
        <f>HYPERLINK("https://www.boe.es/gazeta/dias/1816/12/31/pdfs/GMD-1816-162.pdf#page=6","Abrir facsímil")</f>
        <v>Abrir facsímil</v>
      </c>
      <c r="K2933" s="3" t="s">
        <v>23</v>
      </c>
    </row>
    <row r="2934" spans="1:11" ht="42" customHeight="1">
      <c r="A2934" s="2" t="s">
        <v>6703</v>
      </c>
      <c r="B2934" s="2" t="s">
        <v>6704</v>
      </c>
      <c r="C2934" s="2" t="s">
        <v>34</v>
      </c>
      <c r="D2934" s="2" t="s">
        <v>35</v>
      </c>
      <c r="E2934" s="5">
        <v>-30342</v>
      </c>
      <c r="F2934" s="3" t="s">
        <v>116</v>
      </c>
      <c r="G2934" s="3" t="s">
        <v>103</v>
      </c>
      <c r="H2934" s="2" t="s">
        <v>21</v>
      </c>
      <c r="I2934" s="2" t="s">
        <v>6705</v>
      </c>
      <c r="J2934" s="3" t="str">
        <f>HYPERLINK("https://www.boe.es/gazeta/dias/1816/12/03/pdfs/GMD-1816-150.pdf#page=4","Abrir facsímil")</f>
        <v>Abrir facsímil</v>
      </c>
      <c r="K2934" s="3" t="s">
        <v>23</v>
      </c>
    </row>
    <row r="2935" spans="1:11" ht="42" customHeight="1">
      <c r="A2935" s="2" t="s">
        <v>6706</v>
      </c>
      <c r="B2935" s="2" t="s">
        <v>6707</v>
      </c>
      <c r="C2935" s="2" t="s">
        <v>26</v>
      </c>
      <c r="D2935" s="2" t="s">
        <v>18</v>
      </c>
      <c r="E2935" s="5">
        <v>-30562</v>
      </c>
      <c r="F2935" s="3" t="s">
        <v>1664</v>
      </c>
      <c r="G2935" s="3" t="s">
        <v>42</v>
      </c>
      <c r="H2935" s="2" t="s">
        <v>21</v>
      </c>
      <c r="I2935" s="2" t="s">
        <v>6708</v>
      </c>
      <c r="J2935" s="3" t="str">
        <f>HYPERLINK("https://www.boe.es/gazeta/dias/1816/04/27/pdfs/GMD-1816-54.pdf#page=8","Abrir facsímil")</f>
        <v>Abrir facsímil</v>
      </c>
      <c r="K2935" s="3" t="s">
        <v>23</v>
      </c>
    </row>
    <row r="2936" spans="1:11" ht="42" customHeight="1">
      <c r="A2936" s="2" t="s">
        <v>6709</v>
      </c>
      <c r="B2936" s="2" t="s">
        <v>6710</v>
      </c>
      <c r="C2936" s="2" t="s">
        <v>34</v>
      </c>
      <c r="D2936" s="2" t="s">
        <v>56</v>
      </c>
      <c r="E2936" s="5">
        <v>-30393</v>
      </c>
      <c r="F2936" s="3" t="s">
        <v>202</v>
      </c>
      <c r="G2936" s="3" t="s">
        <v>47</v>
      </c>
      <c r="H2936" s="2" t="s">
        <v>21</v>
      </c>
      <c r="I2936" s="2" t="s">
        <v>6711</v>
      </c>
      <c r="J2936" s="3" t="str">
        <f>HYPERLINK("https://www.boe.es/gazeta/dias/1816/10/13/pdfs/GMD-1816-128E.pdf#page=5","Abrir facsímil")</f>
        <v>Abrir facsímil</v>
      </c>
      <c r="K2936" s="3" t="s">
        <v>23</v>
      </c>
    </row>
    <row r="2937" spans="1:11" ht="42" customHeight="1">
      <c r="A2937" s="2" t="s">
        <v>6712</v>
      </c>
      <c r="B2937" s="2" t="s">
        <v>6713</v>
      </c>
      <c r="C2937" s="2" t="s">
        <v>26</v>
      </c>
      <c r="D2937" s="2" t="s">
        <v>18</v>
      </c>
      <c r="E2937" s="5">
        <v>-30580</v>
      </c>
      <c r="F2937" s="3" t="s">
        <v>107</v>
      </c>
      <c r="G2937" s="3" t="s">
        <v>72</v>
      </c>
      <c r="H2937" s="2" t="s">
        <v>21</v>
      </c>
      <c r="I2937" s="2" t="s">
        <v>6714</v>
      </c>
      <c r="J2937" s="3" t="str">
        <f>HYPERLINK("https://www.boe.es/gazeta/dias/1816/04/09/pdfs/GMD-1816-46.pdf#page=7","Abrir facsímil")</f>
        <v>Abrir facsímil</v>
      </c>
      <c r="K2937" s="3" t="s">
        <v>23</v>
      </c>
    </row>
    <row r="2938" spans="1:11" ht="42" customHeight="1">
      <c r="A2938" s="2" t="s">
        <v>6715</v>
      </c>
      <c r="B2938" s="2" t="s">
        <v>6716</v>
      </c>
      <c r="C2938" s="2" t="s">
        <v>34</v>
      </c>
      <c r="D2938" s="2" t="s">
        <v>35</v>
      </c>
      <c r="E2938" s="5">
        <v>-30583</v>
      </c>
      <c r="F2938" s="3" t="s">
        <v>241</v>
      </c>
      <c r="G2938" s="3" t="s">
        <v>42</v>
      </c>
      <c r="H2938" s="2" t="s">
        <v>21</v>
      </c>
      <c r="I2938" s="2" t="s">
        <v>6717</v>
      </c>
      <c r="J2938" s="3" t="str">
        <f>HYPERLINK("https://www.boe.es/gazeta/dias/1816/04/06/pdfs/GMD-1816-45.pdf#page=8","Abrir facsímil")</f>
        <v>Abrir facsímil</v>
      </c>
      <c r="K2938" s="3" t="s">
        <v>23</v>
      </c>
    </row>
    <row r="2939" spans="1:11" ht="42" customHeight="1">
      <c r="A2939" s="2" t="s">
        <v>6718</v>
      </c>
      <c r="B2939" s="2" t="s">
        <v>6719</v>
      </c>
      <c r="C2939" s="2" t="s">
        <v>26</v>
      </c>
      <c r="D2939" s="2" t="s">
        <v>56</v>
      </c>
      <c r="E2939" s="5">
        <v>-30393</v>
      </c>
      <c r="F2939" s="3" t="s">
        <v>202</v>
      </c>
      <c r="G2939" s="3" t="s">
        <v>834</v>
      </c>
      <c r="H2939" s="2" t="s">
        <v>21</v>
      </c>
      <c r="I2939" s="2" t="s">
        <v>6720</v>
      </c>
      <c r="J2939" s="3" t="str">
        <f>HYPERLINK("https://www.boe.es/gazeta/dias/1816/10/13/pdfs/GMD-1816-128E.pdf#page=6","Abrir facsímil")</f>
        <v>Abrir facsímil</v>
      </c>
      <c r="K2939" s="3" t="s">
        <v>23</v>
      </c>
    </row>
    <row r="2940" spans="1:11" ht="42" customHeight="1">
      <c r="A2940" s="2" t="s">
        <v>6721</v>
      </c>
      <c r="B2940" s="2" t="s">
        <v>6722</v>
      </c>
      <c r="C2940" s="2" t="s">
        <v>111</v>
      </c>
      <c r="D2940" s="2" t="s">
        <v>112</v>
      </c>
      <c r="E2940" s="5">
        <v>-30333</v>
      </c>
      <c r="F2940" s="3" t="s">
        <v>1005</v>
      </c>
      <c r="G2940" s="3" t="s">
        <v>28</v>
      </c>
      <c r="H2940" s="2" t="s">
        <v>21</v>
      </c>
      <c r="I2940" s="2" t="s">
        <v>6723</v>
      </c>
      <c r="J2940" s="3" t="str">
        <f>HYPERLINK("https://www.boe.es/gazeta/dias/1816/12/12/pdfs/GMD-1816-154.pdf#page=6","Abrir facsímil")</f>
        <v>Abrir facsímil</v>
      </c>
      <c r="K2940" s="3" t="s">
        <v>23</v>
      </c>
    </row>
    <row r="2941" spans="1:11" ht="42" customHeight="1">
      <c r="A2941" s="2" t="s">
        <v>6724</v>
      </c>
      <c r="B2941" s="2" t="s">
        <v>6725</v>
      </c>
      <c r="C2941" s="2" t="s">
        <v>111</v>
      </c>
      <c r="D2941" s="2" t="s">
        <v>112</v>
      </c>
      <c r="E2941" s="5">
        <v>-30632</v>
      </c>
      <c r="F2941" s="3" t="s">
        <v>89</v>
      </c>
      <c r="G2941" s="3" t="s">
        <v>72</v>
      </c>
      <c r="H2941" s="2" t="s">
        <v>29</v>
      </c>
      <c r="I2941" s="2" t="s">
        <v>6726</v>
      </c>
      <c r="J2941" s="3" t="str">
        <f>HYPERLINK("https://www.boe.es/gazeta/dias/1816/02/17/pdfs/GMD-1816-22.pdf#page=7","Abrir facsímil")</f>
        <v>Abrir facsímil</v>
      </c>
      <c r="K2941" s="3" t="s">
        <v>31</v>
      </c>
    </row>
    <row r="2942" spans="1:11" ht="42" customHeight="1">
      <c r="A2942" s="2" t="s">
        <v>6727</v>
      </c>
      <c r="B2942" s="2" t="s">
        <v>6727</v>
      </c>
      <c r="C2942" s="2" t="s">
        <v>387</v>
      </c>
      <c r="D2942" s="2" t="s">
        <v>18</v>
      </c>
      <c r="E2942" s="5">
        <v>-30445</v>
      </c>
      <c r="F2942" s="3" t="s">
        <v>51</v>
      </c>
      <c r="G2942" s="3" t="s">
        <v>103</v>
      </c>
      <c r="H2942" s="2" t="s">
        <v>21</v>
      </c>
      <c r="I2942" s="2" t="s">
        <v>6728</v>
      </c>
      <c r="J2942" s="3" t="str">
        <f>HYPERLINK("https://www.boe.es/gazeta/dias/1816/08/22/pdfs/GMD-1816-104.pdf#page=4","Abrir facsímil")</f>
        <v>Abrir facsímil</v>
      </c>
      <c r="K2942" s="3" t="s">
        <v>23</v>
      </c>
    </row>
    <row r="2943" spans="1:11" ht="42" customHeight="1">
      <c r="A2943" s="2" t="s">
        <v>6727</v>
      </c>
      <c r="B2943" s="2" t="s">
        <v>6727</v>
      </c>
      <c r="C2943" s="2" t="s">
        <v>387</v>
      </c>
      <c r="D2943" s="2" t="s">
        <v>18</v>
      </c>
      <c r="E2943" s="5">
        <v>-30380</v>
      </c>
      <c r="F2943" s="3" t="s">
        <v>819</v>
      </c>
      <c r="G2943" s="3" t="s">
        <v>103</v>
      </c>
      <c r="H2943" s="2" t="s">
        <v>21</v>
      </c>
      <c r="I2943" s="2" t="s">
        <v>6729</v>
      </c>
      <c r="J2943" s="3" t="str">
        <f>HYPERLINK("https://www.boe.es/gazeta/dias/1816/10/26/pdfs/GMD-1816-134.pdf#page=4","Abrir facsímil")</f>
        <v>Abrir facsímil</v>
      </c>
      <c r="K2943" s="3" t="s">
        <v>23</v>
      </c>
    </row>
    <row r="2944" spans="1:11" ht="42" customHeight="1">
      <c r="A2944" s="2" t="s">
        <v>6730</v>
      </c>
      <c r="B2944" s="2" t="s">
        <v>6731</v>
      </c>
      <c r="C2944" s="2" t="s">
        <v>387</v>
      </c>
      <c r="D2944" s="2" t="s">
        <v>18</v>
      </c>
      <c r="E2944" s="5">
        <v>-30576</v>
      </c>
      <c r="F2944" s="3" t="s">
        <v>353</v>
      </c>
      <c r="G2944" s="3" t="s">
        <v>42</v>
      </c>
      <c r="H2944" s="2" t="s">
        <v>21</v>
      </c>
      <c r="I2944" s="2" t="s">
        <v>6732</v>
      </c>
      <c r="J2944" s="3" t="str">
        <f>HYPERLINK("https://www.boe.es/gazeta/dias/1816/04/13/pdfs/GMD-1816-48.pdf#page=8","Abrir facsímil")</f>
        <v>Abrir facsímil</v>
      </c>
      <c r="K2944" s="3" t="s">
        <v>23</v>
      </c>
    </row>
    <row r="2945" spans="1:11" ht="42" customHeight="1">
      <c r="A2945" s="2" t="s">
        <v>6730</v>
      </c>
      <c r="B2945" s="2" t="s">
        <v>6731</v>
      </c>
      <c r="C2945" s="2" t="s">
        <v>387</v>
      </c>
      <c r="D2945" s="2" t="s">
        <v>18</v>
      </c>
      <c r="E2945" s="5">
        <v>-30482</v>
      </c>
      <c r="F2945" s="3" t="s">
        <v>370</v>
      </c>
      <c r="G2945" s="3" t="s">
        <v>52</v>
      </c>
      <c r="H2945" s="2" t="s">
        <v>21</v>
      </c>
      <c r="I2945" s="2" t="s">
        <v>6733</v>
      </c>
      <c r="J2945" s="3" t="str">
        <f>HYPERLINK("https://www.boe.es/gazeta/dias/1816/07/16/pdfs/GMD-1816-88.pdf#page=12","Abrir facsímil")</f>
        <v>Abrir facsímil</v>
      </c>
      <c r="K2945" s="3" t="s">
        <v>23</v>
      </c>
    </row>
    <row r="2946" spans="1:11" ht="42" customHeight="1">
      <c r="A2946" s="2" t="s">
        <v>6734</v>
      </c>
      <c r="B2946" s="2" t="s">
        <v>6734</v>
      </c>
      <c r="C2946" s="2" t="s">
        <v>26</v>
      </c>
      <c r="D2946" s="2" t="s">
        <v>18</v>
      </c>
      <c r="E2946" s="5">
        <v>-30648</v>
      </c>
      <c r="F2946" s="3" t="s">
        <v>872</v>
      </c>
      <c r="G2946" s="3" t="s">
        <v>42</v>
      </c>
      <c r="H2946" s="2" t="s">
        <v>21</v>
      </c>
      <c r="I2946" s="2" t="s">
        <v>6735</v>
      </c>
      <c r="J2946" s="3" t="str">
        <f>HYPERLINK("https://www.boe.es/gazeta/dias/1816/02/01/pdfs/GMD-1816-15.pdf#page=8","Abrir facsímil")</f>
        <v>Abrir facsímil</v>
      </c>
      <c r="K2946" s="3" t="s">
        <v>23</v>
      </c>
    </row>
    <row r="2947" spans="1:11" ht="42" customHeight="1">
      <c r="A2947" s="2" t="s">
        <v>6736</v>
      </c>
      <c r="B2947" s="2" t="s">
        <v>6737</v>
      </c>
      <c r="C2947" s="2" t="s">
        <v>26</v>
      </c>
      <c r="D2947" s="2" t="s">
        <v>18</v>
      </c>
      <c r="E2947" s="5">
        <v>-30590</v>
      </c>
      <c r="F2947" s="3" t="s">
        <v>195</v>
      </c>
      <c r="G2947" s="3" t="s">
        <v>42</v>
      </c>
      <c r="H2947" s="2" t="s">
        <v>21</v>
      </c>
      <c r="I2947" s="2" t="s">
        <v>6738</v>
      </c>
      <c r="J2947" s="3" t="str">
        <f>HYPERLINK("https://www.boe.es/gazeta/dias/1816/03/30/pdfs/GMD-1816-42.pdf#page=8","Abrir facsímil")</f>
        <v>Abrir facsímil</v>
      </c>
      <c r="K2947" s="3" t="s">
        <v>23</v>
      </c>
    </row>
    <row r="2948" spans="1:11" ht="42" customHeight="1">
      <c r="A2948" s="2" t="s">
        <v>6739</v>
      </c>
      <c r="B2948" s="2" t="s">
        <v>6740</v>
      </c>
      <c r="C2948" s="2" t="s">
        <v>111</v>
      </c>
      <c r="D2948" s="2" t="s">
        <v>112</v>
      </c>
      <c r="E2948" s="5">
        <v>-30352</v>
      </c>
      <c r="F2948" s="3" t="s">
        <v>407</v>
      </c>
      <c r="G2948" s="3" t="s">
        <v>6741</v>
      </c>
      <c r="H2948" s="2" t="s">
        <v>21</v>
      </c>
      <c r="I2948" s="2" t="s">
        <v>6742</v>
      </c>
      <c r="J2948" s="3" t="str">
        <f>HYPERLINK("https://www.boe.es/gazeta/dias/1816/11/23/pdfs/GMD-1816-146.pdf#page=6","Abrir facsímil")</f>
        <v>Abrir facsímil</v>
      </c>
      <c r="K2948" s="3" t="s">
        <v>23</v>
      </c>
    </row>
    <row r="2949" spans="1:11" ht="42" customHeight="1">
      <c r="A2949" s="2" t="s">
        <v>6743</v>
      </c>
      <c r="B2949" s="2" t="s">
        <v>6744</v>
      </c>
      <c r="C2949" s="2" t="s">
        <v>111</v>
      </c>
      <c r="D2949" s="2" t="s">
        <v>112</v>
      </c>
      <c r="E2949" s="5">
        <v>-30580</v>
      </c>
      <c r="F2949" s="3" t="s">
        <v>107</v>
      </c>
      <c r="G2949" s="3" t="s">
        <v>42</v>
      </c>
      <c r="H2949" s="2" t="s">
        <v>21</v>
      </c>
      <c r="I2949" s="2" t="s">
        <v>6745</v>
      </c>
      <c r="J2949" s="3" t="str">
        <f>HYPERLINK("https://www.boe.es/gazeta/dias/1816/04/09/pdfs/GMD-1816-46.pdf#page=8","Abrir facsímil")</f>
        <v>Abrir facsímil</v>
      </c>
      <c r="K2949" s="3" t="s">
        <v>23</v>
      </c>
    </row>
    <row r="2950" spans="1:11" ht="42" customHeight="1">
      <c r="A2950" s="2" t="s">
        <v>6746</v>
      </c>
      <c r="B2950" s="2" t="s">
        <v>6747</v>
      </c>
      <c r="C2950" s="2" t="s">
        <v>111</v>
      </c>
      <c r="D2950" s="2" t="s">
        <v>112</v>
      </c>
      <c r="E2950" s="5">
        <v>-30415</v>
      </c>
      <c r="F2950" s="3" t="s">
        <v>585</v>
      </c>
      <c r="G2950" s="3" t="s">
        <v>52</v>
      </c>
      <c r="H2950" s="2" t="s">
        <v>21</v>
      </c>
      <c r="I2950" s="2" t="s">
        <v>6748</v>
      </c>
      <c r="J2950" s="3" t="str">
        <f>HYPERLINK("https://www.boe.es/gazeta/dias/1816/09/21/pdfs/GMD-1816-117.pdf#page=12","Abrir facsímil")</f>
        <v>Abrir facsímil</v>
      </c>
      <c r="K2950" s="3" t="s">
        <v>23</v>
      </c>
    </row>
    <row r="2951" spans="1:11" ht="42" customHeight="1">
      <c r="A2951" s="2" t="s">
        <v>6746</v>
      </c>
      <c r="B2951" s="2" t="s">
        <v>6747</v>
      </c>
      <c r="C2951" s="2" t="s">
        <v>111</v>
      </c>
      <c r="D2951" s="2" t="s">
        <v>56</v>
      </c>
      <c r="E2951" s="5">
        <v>-30393</v>
      </c>
      <c r="F2951" s="3" t="s">
        <v>202</v>
      </c>
      <c r="G2951" s="3" t="s">
        <v>58</v>
      </c>
      <c r="H2951" s="2" t="s">
        <v>21</v>
      </c>
      <c r="I2951" s="2" t="s">
        <v>6749</v>
      </c>
      <c r="J2951" s="3" t="str">
        <f>HYPERLINK("https://www.boe.es/gazeta/dias/1816/10/13/pdfs/GMD-1816-128E.pdf#page=1","Abrir facsímil")</f>
        <v>Abrir facsímil</v>
      </c>
      <c r="K2951" s="3" t="s">
        <v>23</v>
      </c>
    </row>
    <row r="2952" spans="1:11" ht="42" customHeight="1">
      <c r="A2952" s="2" t="s">
        <v>6750</v>
      </c>
      <c r="B2952" s="2" t="s">
        <v>6751</v>
      </c>
      <c r="C2952" s="2" t="s">
        <v>26</v>
      </c>
      <c r="D2952" s="2" t="s">
        <v>18</v>
      </c>
      <c r="E2952" s="5">
        <v>-30576</v>
      </c>
      <c r="F2952" s="3" t="s">
        <v>353</v>
      </c>
      <c r="G2952" s="3" t="s">
        <v>72</v>
      </c>
      <c r="H2952" s="2" t="s">
        <v>21</v>
      </c>
      <c r="I2952" s="2" t="s">
        <v>6752</v>
      </c>
      <c r="J2952" s="3" t="str">
        <f>HYPERLINK("https://www.boe.es/gazeta/dias/1816/04/13/pdfs/GMD-1816-48.pdf#page=7","Abrir facsímil")</f>
        <v>Abrir facsímil</v>
      </c>
      <c r="K2952" s="3" t="s">
        <v>23</v>
      </c>
    </row>
    <row r="2953" spans="1:11" ht="42" customHeight="1">
      <c r="A2953" s="2" t="s">
        <v>6753</v>
      </c>
      <c r="B2953" s="2" t="s">
        <v>6753</v>
      </c>
      <c r="C2953" s="2" t="s">
        <v>34</v>
      </c>
      <c r="D2953" s="2" t="s">
        <v>35</v>
      </c>
      <c r="E2953" s="5">
        <v>-30426</v>
      </c>
      <c r="F2953" s="3" t="s">
        <v>779</v>
      </c>
      <c r="G2953" s="3" t="s">
        <v>184</v>
      </c>
      <c r="H2953" s="2" t="s">
        <v>21</v>
      </c>
      <c r="I2953" s="2" t="s">
        <v>6754</v>
      </c>
      <c r="J2953" s="3" t="str">
        <f>HYPERLINK("https://www.boe.es/gazeta/dias/1816/09/10/pdfs/GMD-1816-112.pdf#page=3","Abrir facsímil")</f>
        <v>Abrir facsímil</v>
      </c>
      <c r="K2953" s="3" t="s">
        <v>23</v>
      </c>
    </row>
    <row r="2954" spans="1:11" ht="42" customHeight="1">
      <c r="A2954" s="2" t="s">
        <v>6755</v>
      </c>
      <c r="B2954" s="2" t="s">
        <v>6756</v>
      </c>
      <c r="C2954" s="2" t="s">
        <v>34</v>
      </c>
      <c r="D2954" s="2" t="s">
        <v>35</v>
      </c>
      <c r="E2954" s="5">
        <v>-30375</v>
      </c>
      <c r="F2954" s="3" t="s">
        <v>404</v>
      </c>
      <c r="G2954" s="3" t="s">
        <v>405</v>
      </c>
      <c r="H2954" s="2" t="s">
        <v>21</v>
      </c>
      <c r="I2954" s="2" t="s">
        <v>6757</v>
      </c>
      <c r="J2954" s="3" t="str">
        <f>HYPERLINK("https://www.boe.es/gazeta/dias/1816/10/31/pdfs/GMD-1816-136.pdf#page=6","Abrir facsímil")</f>
        <v>Abrir facsímil</v>
      </c>
      <c r="K2954" s="3" t="s">
        <v>23</v>
      </c>
    </row>
    <row r="2955" spans="1:11" ht="42" customHeight="1">
      <c r="A2955" s="2" t="s">
        <v>6758</v>
      </c>
      <c r="B2955" s="2" t="s">
        <v>6759</v>
      </c>
      <c r="C2955" s="2" t="s">
        <v>111</v>
      </c>
      <c r="D2955" s="2" t="s">
        <v>112</v>
      </c>
      <c r="E2955" s="5">
        <v>-30625</v>
      </c>
      <c r="F2955" s="3" t="s">
        <v>631</v>
      </c>
      <c r="G2955" s="3" t="s">
        <v>47</v>
      </c>
      <c r="H2955" s="2" t="s">
        <v>21</v>
      </c>
      <c r="I2955" s="2" t="s">
        <v>6760</v>
      </c>
      <c r="J2955" s="3" t="str">
        <f>HYPERLINK("https://www.boe.es/gazeta/dias/1816/02/24/pdfs/GMD-1816-25.pdf#page=5","Abrir facsímil")</f>
        <v>Abrir facsímil</v>
      </c>
      <c r="K2955" s="3" t="s">
        <v>23</v>
      </c>
    </row>
    <row r="2956" spans="1:11" ht="42" customHeight="1">
      <c r="A2956" s="2" t="s">
        <v>6761</v>
      </c>
      <c r="B2956" s="2" t="s">
        <v>6762</v>
      </c>
      <c r="C2956" s="2" t="s">
        <v>34</v>
      </c>
      <c r="D2956" s="2" t="s">
        <v>35</v>
      </c>
      <c r="E2956" s="5">
        <v>-30389</v>
      </c>
      <c r="F2956" s="3" t="s">
        <v>522</v>
      </c>
      <c r="G2956" s="3" t="s">
        <v>58</v>
      </c>
      <c r="H2956" s="2" t="s">
        <v>21</v>
      </c>
      <c r="I2956" s="2" t="s">
        <v>6763</v>
      </c>
      <c r="J2956" s="3" t="str">
        <f>HYPERLINK("https://www.boe.es/gazeta/dias/1816/10/17/pdfs/GMD-1816-130.pdf#page=1","Abrir facsímil")</f>
        <v>Abrir facsímil</v>
      </c>
      <c r="K2956" s="3" t="s">
        <v>23</v>
      </c>
    </row>
    <row r="2957" spans="1:11" ht="42" customHeight="1">
      <c r="A2957" s="2" t="s">
        <v>6764</v>
      </c>
      <c r="B2957" s="2" t="s">
        <v>6765</v>
      </c>
      <c r="C2957" s="2" t="s">
        <v>34</v>
      </c>
      <c r="D2957" s="2" t="s">
        <v>35</v>
      </c>
      <c r="E2957" s="5">
        <v>-30384</v>
      </c>
      <c r="F2957" s="3" t="s">
        <v>460</v>
      </c>
      <c r="G2957" s="3" t="s">
        <v>28</v>
      </c>
      <c r="H2957" s="2" t="s">
        <v>21</v>
      </c>
      <c r="I2957" s="2" t="s">
        <v>6766</v>
      </c>
      <c r="J2957" s="3" t="str">
        <f>HYPERLINK("https://www.boe.es/gazeta/dias/1816/10/22/pdfs/GMD-1816-132.pdf#page=6","Abrir facsímil")</f>
        <v>Abrir facsímil</v>
      </c>
      <c r="K2957" s="3" t="s">
        <v>23</v>
      </c>
    </row>
    <row r="2958" spans="1:11" ht="42" customHeight="1">
      <c r="A2958" s="2" t="s">
        <v>6767</v>
      </c>
      <c r="B2958" s="2" t="s">
        <v>6768</v>
      </c>
      <c r="C2958" s="2" t="s">
        <v>111</v>
      </c>
      <c r="D2958" s="2" t="s">
        <v>112</v>
      </c>
      <c r="E2958" s="5">
        <v>-30354</v>
      </c>
      <c r="F2958" s="3" t="s">
        <v>68</v>
      </c>
      <c r="G2958" s="3" t="s">
        <v>526</v>
      </c>
      <c r="H2958" s="2" t="s">
        <v>21</v>
      </c>
      <c r="I2958" s="2" t="s">
        <v>6769</v>
      </c>
      <c r="J2958" s="3" t="str">
        <f>HYPERLINK("https://www.boe.es/gazeta/dias/1816/11/21/pdfs/GMD-1816-145.pdf#page=6","Abrir facsímil")</f>
        <v>Abrir facsímil</v>
      </c>
      <c r="K2958" s="3" t="s">
        <v>23</v>
      </c>
    </row>
    <row r="2959" spans="1:11" ht="42" customHeight="1">
      <c r="A2959" s="2" t="s">
        <v>6770</v>
      </c>
      <c r="B2959" s="2" t="s">
        <v>6771</v>
      </c>
      <c r="C2959" s="2" t="s">
        <v>26</v>
      </c>
      <c r="D2959" s="2" t="s">
        <v>18</v>
      </c>
      <c r="E2959" s="5">
        <v>-30580</v>
      </c>
      <c r="F2959" s="3" t="s">
        <v>107</v>
      </c>
      <c r="G2959" s="3" t="s">
        <v>72</v>
      </c>
      <c r="H2959" s="2" t="s">
        <v>21</v>
      </c>
      <c r="I2959" s="2" t="s">
        <v>6772</v>
      </c>
      <c r="J2959" s="3" t="str">
        <f>HYPERLINK("https://www.boe.es/gazeta/dias/1816/04/09/pdfs/GMD-1816-46.pdf#page=7","Abrir facsímil")</f>
        <v>Abrir facsímil</v>
      </c>
      <c r="K2959" s="3" t="s">
        <v>23</v>
      </c>
    </row>
    <row r="2960" spans="1:11" ht="42" customHeight="1">
      <c r="A2960" s="2" t="s">
        <v>6773</v>
      </c>
      <c r="B2960" s="2" t="s">
        <v>6773</v>
      </c>
      <c r="C2960" s="2" t="s">
        <v>387</v>
      </c>
      <c r="D2960" s="2" t="s">
        <v>18</v>
      </c>
      <c r="E2960" s="5">
        <v>-30485</v>
      </c>
      <c r="F2960" s="3" t="s">
        <v>156</v>
      </c>
      <c r="G2960" s="3" t="s">
        <v>270</v>
      </c>
      <c r="H2960" s="2" t="s">
        <v>21</v>
      </c>
      <c r="I2960" s="2" t="s">
        <v>6774</v>
      </c>
      <c r="J2960" s="3" t="str">
        <f>HYPERLINK("https://www.boe.es/gazeta/dias/1816/07/13/pdfs/GMD-1816-87.pdf#page=2","Abrir facsímil")</f>
        <v>Abrir facsímil</v>
      </c>
      <c r="K2960" s="3" t="s">
        <v>23</v>
      </c>
    </row>
    <row r="2961" spans="1:11" ht="42" customHeight="1">
      <c r="A2961" s="2" t="s">
        <v>6775</v>
      </c>
      <c r="B2961" s="2" t="s">
        <v>6776</v>
      </c>
      <c r="C2961" s="2" t="s">
        <v>34</v>
      </c>
      <c r="D2961" s="2" t="s">
        <v>35</v>
      </c>
      <c r="E2961" s="5">
        <v>-30387</v>
      </c>
      <c r="F2961" s="3" t="s">
        <v>224</v>
      </c>
      <c r="G2961" s="3" t="s">
        <v>28</v>
      </c>
      <c r="H2961" s="2" t="s">
        <v>21</v>
      </c>
      <c r="I2961" s="2" t="s">
        <v>6777</v>
      </c>
      <c r="J2961" s="3" t="str">
        <f>HYPERLINK("https://www.boe.es/gazeta/dias/1816/10/19/pdfs/GMD-1816-131.pdf#page=6","Abrir facsímil")</f>
        <v>Abrir facsímil</v>
      </c>
      <c r="K2961" s="3" t="s">
        <v>23</v>
      </c>
    </row>
    <row r="2962" spans="1:11" ht="42" customHeight="1">
      <c r="A2962" s="2" t="s">
        <v>6778</v>
      </c>
      <c r="B2962" s="2" t="s">
        <v>6779</v>
      </c>
      <c r="C2962" s="2" t="s">
        <v>26</v>
      </c>
      <c r="D2962" s="2" t="s">
        <v>18</v>
      </c>
      <c r="E2962" s="5">
        <v>-30387</v>
      </c>
      <c r="F2962" s="3" t="s">
        <v>224</v>
      </c>
      <c r="G2962" s="3" t="s">
        <v>28</v>
      </c>
      <c r="H2962" s="2" t="s">
        <v>21</v>
      </c>
      <c r="I2962" s="2" t="s">
        <v>6780</v>
      </c>
      <c r="J2962" s="3" t="str">
        <f>HYPERLINK("https://www.boe.es/gazeta/dias/1816/10/19/pdfs/GMD-1816-131.pdf#page=6","Abrir facsímil")</f>
        <v>Abrir facsímil</v>
      </c>
      <c r="K2962" s="3" t="s">
        <v>23</v>
      </c>
    </row>
    <row r="2963" spans="1:11" ht="42" customHeight="1">
      <c r="A2963" s="2" t="s">
        <v>6781</v>
      </c>
      <c r="B2963" s="2" t="s">
        <v>6782</v>
      </c>
      <c r="C2963" s="2" t="s">
        <v>111</v>
      </c>
      <c r="D2963" s="2" t="s">
        <v>112</v>
      </c>
      <c r="E2963" s="5">
        <v>-30461</v>
      </c>
      <c r="F2963" s="3" t="s">
        <v>912</v>
      </c>
      <c r="G2963" s="3" t="s">
        <v>72</v>
      </c>
      <c r="H2963" s="2" t="s">
        <v>21</v>
      </c>
      <c r="I2963" s="2" t="s">
        <v>6783</v>
      </c>
      <c r="J2963" s="3" t="str">
        <f>HYPERLINK("https://www.boe.es/gazeta/dias/1816/08/06/pdfs/GMD-1816-97.pdf#page=7","Abrir facsímil")</f>
        <v>Abrir facsímil</v>
      </c>
      <c r="K2963" s="3" t="s">
        <v>23</v>
      </c>
    </row>
    <row r="2964" spans="1:11" ht="42" customHeight="1">
      <c r="A2964" s="2" t="s">
        <v>6784</v>
      </c>
      <c r="B2964" s="2" t="s">
        <v>6785</v>
      </c>
      <c r="C2964" s="2" t="s">
        <v>26</v>
      </c>
      <c r="D2964" s="2" t="s">
        <v>18</v>
      </c>
      <c r="E2964" s="5">
        <v>-30494</v>
      </c>
      <c r="F2964" s="3" t="s">
        <v>174</v>
      </c>
      <c r="G2964" s="3" t="s">
        <v>175</v>
      </c>
      <c r="H2964" s="2" t="s">
        <v>21</v>
      </c>
      <c r="I2964" s="2" t="s">
        <v>6786</v>
      </c>
      <c r="J2964" s="3" t="str">
        <f>HYPERLINK("https://www.boe.es/gazeta/dias/1816/07/04/pdfs/GMD-1816-83.pdf#page=11","Abrir facsímil")</f>
        <v>Abrir facsímil</v>
      </c>
      <c r="K2964" s="3" t="s">
        <v>23</v>
      </c>
    </row>
    <row r="2965" spans="1:11" ht="42" customHeight="1">
      <c r="A2965" s="2" t="s">
        <v>6787</v>
      </c>
      <c r="B2965" s="2" t="s">
        <v>6788</v>
      </c>
      <c r="C2965" s="2" t="s">
        <v>17</v>
      </c>
      <c r="D2965" s="2" t="s">
        <v>18</v>
      </c>
      <c r="E2965" s="5">
        <v>-30352</v>
      </c>
      <c r="F2965" s="3" t="s">
        <v>407</v>
      </c>
      <c r="G2965" s="3" t="s">
        <v>1553</v>
      </c>
      <c r="H2965" s="2" t="s">
        <v>21</v>
      </c>
      <c r="I2965" s="2" t="s">
        <v>6789</v>
      </c>
      <c r="J2965" s="3" t="str">
        <f>HYPERLINK("https://www.boe.es/gazeta/dias/1816/11/23/pdfs/GMD-1816-146.pdf#page=4","Abrir facsímil")</f>
        <v>Abrir facsímil</v>
      </c>
      <c r="K2965" s="3" t="s">
        <v>23</v>
      </c>
    </row>
    <row r="2966" spans="1:11" ht="42" customHeight="1">
      <c r="A2966" s="2" t="s">
        <v>6790</v>
      </c>
      <c r="B2966" s="2" t="s">
        <v>6791</v>
      </c>
      <c r="C2966" s="2" t="s">
        <v>67</v>
      </c>
      <c r="D2966" s="2" t="s">
        <v>18</v>
      </c>
      <c r="E2966" s="5">
        <v>-30361</v>
      </c>
      <c r="F2966" s="3" t="s">
        <v>1741</v>
      </c>
      <c r="G2966" s="3" t="s">
        <v>2889</v>
      </c>
      <c r="H2966" s="2" t="s">
        <v>21</v>
      </c>
      <c r="I2966" s="2" t="s">
        <v>6792</v>
      </c>
      <c r="J2966" s="3" t="str">
        <f>HYPERLINK("https://www.boe.es/gazeta/dias/1816/11/14/pdfs/GMD-1816-142.pdf#page=8","Abrir facsímil")</f>
        <v>Abrir facsímil</v>
      </c>
      <c r="K2966" s="3" t="s">
        <v>23</v>
      </c>
    </row>
    <row r="2967" spans="1:11" ht="42" customHeight="1">
      <c r="A2967" s="2" t="s">
        <v>6793</v>
      </c>
      <c r="B2967" s="2" t="s">
        <v>6794</v>
      </c>
      <c r="C2967" s="2" t="s">
        <v>34</v>
      </c>
      <c r="D2967" s="2" t="s">
        <v>35</v>
      </c>
      <c r="E2967" s="5">
        <v>-30618</v>
      </c>
      <c r="F2967" s="3" t="s">
        <v>207</v>
      </c>
      <c r="G2967" s="3" t="s">
        <v>42</v>
      </c>
      <c r="H2967" s="2" t="s">
        <v>21</v>
      </c>
      <c r="I2967" s="2" t="s">
        <v>6795</v>
      </c>
      <c r="J2967" s="3" t="str">
        <f>HYPERLINK("https://www.boe.es/gazeta/dias/1816/03/02/pdfs/GMD-1816-29.pdf#page=8","Abrir facsímil")</f>
        <v>Abrir facsímil</v>
      </c>
      <c r="K2967" s="3" t="s">
        <v>23</v>
      </c>
    </row>
    <row r="2968" spans="1:11" ht="42" customHeight="1">
      <c r="A2968" s="2" t="s">
        <v>6796</v>
      </c>
      <c r="B2968" s="2" t="s">
        <v>6797</v>
      </c>
      <c r="C2968" s="2" t="s">
        <v>111</v>
      </c>
      <c r="D2968" s="2" t="s">
        <v>112</v>
      </c>
      <c r="E2968" s="5">
        <v>-30375</v>
      </c>
      <c r="F2968" s="3" t="s">
        <v>404</v>
      </c>
      <c r="G2968" s="3" t="s">
        <v>1276</v>
      </c>
      <c r="H2968" s="2" t="s">
        <v>21</v>
      </c>
      <c r="I2968" s="2" t="s">
        <v>6798</v>
      </c>
      <c r="J2968" s="3" t="str">
        <f>HYPERLINK("https://www.boe.es/gazeta/dias/1816/10/31/pdfs/GMD-1816-136.pdf#page=5","Abrir facsímil")</f>
        <v>Abrir facsímil</v>
      </c>
      <c r="K2968" s="3" t="s">
        <v>23</v>
      </c>
    </row>
    <row r="2969" spans="1:11" ht="42" customHeight="1">
      <c r="A2969" s="2" t="s">
        <v>6799</v>
      </c>
      <c r="B2969" s="2" t="s">
        <v>6800</v>
      </c>
      <c r="C2969" s="2" t="s">
        <v>34</v>
      </c>
      <c r="D2969" s="2" t="s">
        <v>35</v>
      </c>
      <c r="E2969" s="5">
        <v>-30534</v>
      </c>
      <c r="F2969" s="3" t="s">
        <v>274</v>
      </c>
      <c r="G2969" s="3" t="s">
        <v>28</v>
      </c>
      <c r="H2969" s="2" t="s">
        <v>21</v>
      </c>
      <c r="I2969" s="2" t="s">
        <v>6801</v>
      </c>
      <c r="J2969" s="3" t="str">
        <f>HYPERLINK("https://www.boe.es/gazeta/dias/1816/05/25/pdfs/GMD-1816-66.pdf#page=6","Abrir facsímil")</f>
        <v>Abrir facsímil</v>
      </c>
      <c r="K2969" s="3" t="s">
        <v>23</v>
      </c>
    </row>
    <row r="2970" spans="1:11" ht="42" customHeight="1">
      <c r="A2970" s="2" t="s">
        <v>6802</v>
      </c>
      <c r="B2970" s="2" t="s">
        <v>6803</v>
      </c>
      <c r="C2970" s="2" t="s">
        <v>26</v>
      </c>
      <c r="D2970" s="2" t="s">
        <v>56</v>
      </c>
      <c r="E2970" s="5">
        <v>-30393</v>
      </c>
      <c r="F2970" s="3" t="s">
        <v>202</v>
      </c>
      <c r="G2970" s="3" t="s">
        <v>834</v>
      </c>
      <c r="H2970" s="2" t="s">
        <v>21</v>
      </c>
      <c r="I2970" s="2" t="s">
        <v>6804</v>
      </c>
      <c r="J2970" s="3" t="str">
        <f>HYPERLINK("https://www.boe.es/gazeta/dias/1816/10/13/pdfs/GMD-1816-128E.pdf#page=6","Abrir facsímil")</f>
        <v>Abrir facsímil</v>
      </c>
      <c r="K2970" s="3" t="s">
        <v>23</v>
      </c>
    </row>
    <row r="2971" spans="1:11" ht="42" customHeight="1">
      <c r="A2971" s="2" t="s">
        <v>6805</v>
      </c>
      <c r="B2971" s="2" t="s">
        <v>6806</v>
      </c>
      <c r="C2971" s="2" t="s">
        <v>67</v>
      </c>
      <c r="D2971" s="2" t="s">
        <v>18</v>
      </c>
      <c r="E2971" s="5">
        <v>-30655</v>
      </c>
      <c r="F2971" s="3" t="s">
        <v>170</v>
      </c>
      <c r="G2971" s="3" t="s">
        <v>47</v>
      </c>
      <c r="H2971" s="2" t="s">
        <v>29</v>
      </c>
      <c r="I2971" s="2" t="s">
        <v>6807</v>
      </c>
      <c r="J2971" s="3" t="str">
        <f>HYPERLINK("https://www.boe.es/gazeta/dias/1816/01/25/pdfs/GMD-1816-11.pdf#page=5","Abrir facsímil")</f>
        <v>Abrir facsímil</v>
      </c>
      <c r="K2971" s="3" t="s">
        <v>31</v>
      </c>
    </row>
    <row r="2972" spans="1:11" ht="42" customHeight="1">
      <c r="A2972" s="2" t="s">
        <v>6808</v>
      </c>
      <c r="B2972" s="2" t="s">
        <v>6809</v>
      </c>
      <c r="C2972" s="2" t="s">
        <v>111</v>
      </c>
      <c r="D2972" s="2" t="s">
        <v>112</v>
      </c>
      <c r="E2972" s="5">
        <v>-30342</v>
      </c>
      <c r="F2972" s="3" t="s">
        <v>116</v>
      </c>
      <c r="G2972" s="3" t="s">
        <v>42</v>
      </c>
      <c r="H2972" s="2" t="s">
        <v>21</v>
      </c>
      <c r="I2972" s="2" t="s">
        <v>6810</v>
      </c>
      <c r="J2972" s="3" t="str">
        <f>HYPERLINK("https://www.boe.es/gazeta/dias/1816/12/03/pdfs/GMD-1816-150.pdf#page=8","Abrir facsímil")</f>
        <v>Abrir facsímil</v>
      </c>
      <c r="K2972" s="3" t="s">
        <v>23</v>
      </c>
    </row>
    <row r="2973" spans="1:11" ht="42" customHeight="1">
      <c r="A2973" s="2" t="s">
        <v>6811</v>
      </c>
      <c r="B2973" s="2" t="s">
        <v>6812</v>
      </c>
      <c r="C2973" s="2" t="s">
        <v>26</v>
      </c>
      <c r="D2973" s="2" t="s">
        <v>18</v>
      </c>
      <c r="E2973" s="5">
        <v>-30387</v>
      </c>
      <c r="F2973" s="3" t="s">
        <v>224</v>
      </c>
      <c r="G2973" s="3" t="s">
        <v>28</v>
      </c>
      <c r="H2973" s="2" t="s">
        <v>21</v>
      </c>
      <c r="I2973" s="2" t="s">
        <v>6813</v>
      </c>
      <c r="J2973" s="3" t="str">
        <f>HYPERLINK("https://www.boe.es/gazeta/dias/1816/10/19/pdfs/GMD-1816-131.pdf#page=6","Abrir facsímil")</f>
        <v>Abrir facsímil</v>
      </c>
      <c r="K2973" s="3" t="s">
        <v>23</v>
      </c>
    </row>
    <row r="2974" spans="1:11" ht="42" customHeight="1">
      <c r="A2974" s="2" t="s">
        <v>6814</v>
      </c>
      <c r="B2974" s="2" t="s">
        <v>6815</v>
      </c>
      <c r="C2974" s="2" t="s">
        <v>34</v>
      </c>
      <c r="D2974" s="2" t="s">
        <v>35</v>
      </c>
      <c r="E2974" s="5">
        <v>-30375</v>
      </c>
      <c r="F2974" s="3" t="s">
        <v>404</v>
      </c>
      <c r="G2974" s="3" t="s">
        <v>1276</v>
      </c>
      <c r="H2974" s="2" t="s">
        <v>21</v>
      </c>
      <c r="I2974" s="2" t="s">
        <v>6816</v>
      </c>
      <c r="J2974" s="3" t="str">
        <f>HYPERLINK("https://www.boe.es/gazeta/dias/1816/10/31/pdfs/GMD-1816-136.pdf#page=5","Abrir facsímil")</f>
        <v>Abrir facsímil</v>
      </c>
      <c r="K2974" s="3" t="s">
        <v>23</v>
      </c>
    </row>
    <row r="2975" spans="1:11" ht="42" customHeight="1">
      <c r="A2975" s="2" t="s">
        <v>6817</v>
      </c>
      <c r="B2975" s="2" t="s">
        <v>6818</v>
      </c>
      <c r="C2975" s="2" t="s">
        <v>26</v>
      </c>
      <c r="D2975" s="2" t="s">
        <v>18</v>
      </c>
      <c r="E2975" s="5">
        <v>-30431</v>
      </c>
      <c r="F2975" s="3" t="s">
        <v>756</v>
      </c>
      <c r="G2975" s="3" t="s">
        <v>72</v>
      </c>
      <c r="H2975" s="2" t="s">
        <v>21</v>
      </c>
      <c r="I2975" s="2" t="s">
        <v>6819</v>
      </c>
      <c r="J2975" s="3" t="str">
        <f>HYPERLINK("https://www.boe.es/gazeta/dias/1816/09/05/pdfs/GMD-1816-110.pdf#page=7","Abrir facsímil")</f>
        <v>Abrir facsímil</v>
      </c>
      <c r="K2975" s="3" t="s">
        <v>23</v>
      </c>
    </row>
    <row r="2976" spans="1:11" ht="42" customHeight="1">
      <c r="A2976" s="2" t="s">
        <v>6820</v>
      </c>
      <c r="B2976" s="2" t="s">
        <v>6821</v>
      </c>
      <c r="C2976" s="2" t="s">
        <v>34</v>
      </c>
      <c r="D2976" s="2" t="s">
        <v>35</v>
      </c>
      <c r="E2976" s="5">
        <v>-30391</v>
      </c>
      <c r="F2976" s="3" t="s">
        <v>482</v>
      </c>
      <c r="G2976" s="3" t="s">
        <v>28</v>
      </c>
      <c r="H2976" s="2" t="s">
        <v>29</v>
      </c>
      <c r="I2976" s="2" t="s">
        <v>6822</v>
      </c>
      <c r="J2976" s="3" t="str">
        <f>HYPERLINK("https://www.boe.es/gazeta/dias/1816/10/15/pdfs/GMD-1816-129.pdf#page=6","Abrir facsímil")</f>
        <v>Abrir facsímil</v>
      </c>
      <c r="K2976" s="3" t="s">
        <v>31</v>
      </c>
    </row>
    <row r="2977" spans="1:11" ht="42" customHeight="1">
      <c r="A2977" s="2" t="s">
        <v>6823</v>
      </c>
      <c r="B2977" s="2" t="s">
        <v>6824</v>
      </c>
      <c r="C2977" s="2" t="s">
        <v>26</v>
      </c>
      <c r="D2977" s="2" t="s">
        <v>56</v>
      </c>
      <c r="E2977" s="5">
        <v>-30393</v>
      </c>
      <c r="F2977" s="3" t="s">
        <v>202</v>
      </c>
      <c r="G2977" s="3" t="s">
        <v>834</v>
      </c>
      <c r="H2977" s="2" t="s">
        <v>21</v>
      </c>
      <c r="I2977" s="2" t="s">
        <v>6825</v>
      </c>
      <c r="J2977" s="3" t="str">
        <f>HYPERLINK("https://www.boe.es/gazeta/dias/1816/10/13/pdfs/GMD-1816-128E.pdf#page=6","Abrir facsímil")</f>
        <v>Abrir facsímil</v>
      </c>
      <c r="K2977" s="3" t="s">
        <v>23</v>
      </c>
    </row>
    <row r="2978" spans="1:11" ht="42" customHeight="1">
      <c r="A2978" s="2" t="s">
        <v>6826</v>
      </c>
      <c r="B2978" s="2" t="s">
        <v>6827</v>
      </c>
      <c r="C2978" s="2" t="s">
        <v>34</v>
      </c>
      <c r="D2978" s="2" t="s">
        <v>35</v>
      </c>
      <c r="E2978" s="5">
        <v>-30641</v>
      </c>
      <c r="F2978" s="3" t="s">
        <v>192</v>
      </c>
      <c r="G2978" s="3" t="s">
        <v>42</v>
      </c>
      <c r="H2978" s="2" t="s">
        <v>21</v>
      </c>
      <c r="I2978" s="2" t="s">
        <v>6828</v>
      </c>
      <c r="J2978" s="3" t="str">
        <f>HYPERLINK("https://www.boe.es/gazeta/dias/1816/02/08/pdfs/GMD-1816-18.pdf#page=8","Abrir facsímil")</f>
        <v>Abrir facsímil</v>
      </c>
      <c r="K2978" s="3" t="s">
        <v>23</v>
      </c>
    </row>
    <row r="2979" spans="1:11" ht="42" customHeight="1">
      <c r="A2979" s="2" t="s">
        <v>6826</v>
      </c>
      <c r="B2979" s="2" t="s">
        <v>6827</v>
      </c>
      <c r="C2979" s="2" t="s">
        <v>41</v>
      </c>
      <c r="D2979" s="2" t="s">
        <v>18</v>
      </c>
      <c r="E2979" s="5">
        <v>-30559</v>
      </c>
      <c r="F2979" s="3" t="s">
        <v>165</v>
      </c>
      <c r="G2979" s="3" t="s">
        <v>166</v>
      </c>
      <c r="H2979" s="2" t="s">
        <v>21</v>
      </c>
      <c r="I2979" s="2" t="s">
        <v>6829</v>
      </c>
      <c r="J2979" s="3" t="str">
        <f>HYPERLINK("https://www.boe.es/gazeta/dias/1816/04/30/pdfs/GMD-1816-55.pdf#page=7","Abrir facsímil")</f>
        <v>Abrir facsímil</v>
      </c>
      <c r="K2979" s="3" t="s">
        <v>23</v>
      </c>
    </row>
    <row r="2980" spans="1:11" ht="42" customHeight="1">
      <c r="A2980" s="2" t="s">
        <v>6830</v>
      </c>
      <c r="B2980" s="2" t="s">
        <v>6831</v>
      </c>
      <c r="C2980" s="2" t="s">
        <v>111</v>
      </c>
      <c r="D2980" s="2" t="s">
        <v>112</v>
      </c>
      <c r="E2980" s="5">
        <v>-30375</v>
      </c>
      <c r="F2980" s="3" t="s">
        <v>404</v>
      </c>
      <c r="G2980" s="3" t="s">
        <v>1278</v>
      </c>
      <c r="H2980" s="2" t="s">
        <v>21</v>
      </c>
      <c r="I2980" s="2" t="s">
        <v>6832</v>
      </c>
      <c r="J2980" s="3" t="str">
        <f>HYPERLINK("https://www.boe.es/gazeta/dias/1816/10/31/pdfs/GMD-1816-136.pdf#page=7","Abrir facsímil")</f>
        <v>Abrir facsímil</v>
      </c>
      <c r="K2980" s="3" t="s">
        <v>23</v>
      </c>
    </row>
    <row r="2981" spans="1:11" ht="42" customHeight="1">
      <c r="A2981" s="2" t="s">
        <v>6833</v>
      </c>
      <c r="B2981" s="2" t="s">
        <v>6834</v>
      </c>
      <c r="C2981" s="2" t="s">
        <v>81</v>
      </c>
      <c r="D2981" s="2" t="s">
        <v>18</v>
      </c>
      <c r="E2981" s="5">
        <v>-30548</v>
      </c>
      <c r="F2981" s="3" t="s">
        <v>472</v>
      </c>
      <c r="G2981" s="3" t="s">
        <v>42</v>
      </c>
      <c r="H2981" s="2" t="s">
        <v>21</v>
      </c>
      <c r="I2981" s="2" t="s">
        <v>6835</v>
      </c>
      <c r="J2981" s="3" t="str">
        <f>HYPERLINK("https://www.boe.es/gazeta/dias/1816/05/11/pdfs/GMD-1816-60.pdf#page=8","Abrir facsímil")</f>
        <v>Abrir facsímil</v>
      </c>
      <c r="K2981" s="3" t="s">
        <v>23</v>
      </c>
    </row>
    <row r="2982" spans="1:11" ht="42" customHeight="1">
      <c r="A2982" s="2" t="s">
        <v>6836</v>
      </c>
      <c r="B2982" s="2" t="s">
        <v>6837</v>
      </c>
      <c r="C2982" s="2" t="s">
        <v>34</v>
      </c>
      <c r="D2982" s="2" t="s">
        <v>35</v>
      </c>
      <c r="E2982" s="5">
        <v>-30326</v>
      </c>
      <c r="F2982" s="3" t="s">
        <v>377</v>
      </c>
      <c r="G2982" s="3" t="s">
        <v>28</v>
      </c>
      <c r="H2982" s="2" t="s">
        <v>21</v>
      </c>
      <c r="I2982" s="2" t="s">
        <v>6838</v>
      </c>
      <c r="J2982" s="3" t="str">
        <f>HYPERLINK("https://www.boe.es/gazeta/dias/1816/12/19/pdfs/GMD-1816-157.pdf#page=6","Abrir facsímil")</f>
        <v>Abrir facsímil</v>
      </c>
      <c r="K2982" s="3" t="s">
        <v>23</v>
      </c>
    </row>
    <row r="2983" spans="1:11" ht="42" customHeight="1">
      <c r="A2983" s="2" t="s">
        <v>6839</v>
      </c>
      <c r="B2983" s="2" t="s">
        <v>6840</v>
      </c>
      <c r="C2983" s="2" t="s">
        <v>26</v>
      </c>
      <c r="D2983" s="2" t="s">
        <v>18</v>
      </c>
      <c r="E2983" s="5">
        <v>-30594</v>
      </c>
      <c r="F2983" s="3" t="s">
        <v>234</v>
      </c>
      <c r="G2983" s="3" t="s">
        <v>180</v>
      </c>
      <c r="H2983" s="2" t="s">
        <v>21</v>
      </c>
      <c r="I2983" s="2" t="s">
        <v>6841</v>
      </c>
      <c r="J2983" s="3" t="str">
        <f>HYPERLINK("https://www.boe.es/gazeta/dias/1816/03/26/pdfs/GMD-1816-40.pdf#page=10","Abrir facsímil")</f>
        <v>Abrir facsímil</v>
      </c>
      <c r="K2983" s="3" t="s">
        <v>23</v>
      </c>
    </row>
    <row r="2984" spans="1:11" ht="42" customHeight="1">
      <c r="A2984" s="2" t="s">
        <v>6842</v>
      </c>
      <c r="B2984" s="2" t="s">
        <v>6843</v>
      </c>
      <c r="C2984" s="2" t="s">
        <v>34</v>
      </c>
      <c r="D2984" s="2" t="s">
        <v>35</v>
      </c>
      <c r="E2984" s="5">
        <v>-30513</v>
      </c>
      <c r="F2984" s="3" t="s">
        <v>582</v>
      </c>
      <c r="G2984" s="3" t="s">
        <v>47</v>
      </c>
      <c r="H2984" s="2" t="s">
        <v>21</v>
      </c>
      <c r="I2984" s="2" t="s">
        <v>6844</v>
      </c>
      <c r="J2984" s="3" t="str">
        <f>HYPERLINK("https://www.boe.es/gazeta/dias/1816/06/15/pdfs/GMD-1816-75.pdf#page=5","Abrir facsímil")</f>
        <v>Abrir facsímil</v>
      </c>
      <c r="K2984" s="3" t="s">
        <v>23</v>
      </c>
    </row>
    <row r="2985" spans="1:11" ht="42" customHeight="1">
      <c r="A2985" s="2" t="s">
        <v>6845</v>
      </c>
      <c r="B2985" s="2" t="s">
        <v>6846</v>
      </c>
      <c r="C2985" s="2" t="s">
        <v>111</v>
      </c>
      <c r="D2985" s="2" t="s">
        <v>112</v>
      </c>
      <c r="E2985" s="5">
        <v>-30457</v>
      </c>
      <c r="F2985" s="3" t="s">
        <v>539</v>
      </c>
      <c r="G2985" s="3" t="s">
        <v>28</v>
      </c>
      <c r="H2985" s="2" t="s">
        <v>29</v>
      </c>
      <c r="I2985" s="2" t="s">
        <v>6847</v>
      </c>
      <c r="J2985" s="3" t="str">
        <f>HYPERLINK("https://www.boe.es/gazeta/dias/1816/08/10/pdfs/GMD-1816-99.pdf#page=6","Abrir facsímil")</f>
        <v>Abrir facsímil</v>
      </c>
      <c r="K2985" s="3" t="s">
        <v>31</v>
      </c>
    </row>
    <row r="2986" spans="1:11" ht="42" customHeight="1">
      <c r="A2986" s="2" t="s">
        <v>6848</v>
      </c>
      <c r="B2986" s="2" t="s">
        <v>6849</v>
      </c>
      <c r="C2986" s="2" t="s">
        <v>34</v>
      </c>
      <c r="D2986" s="2" t="s">
        <v>35</v>
      </c>
      <c r="E2986" s="5">
        <v>-30499</v>
      </c>
      <c r="F2986" s="3" t="s">
        <v>971</v>
      </c>
      <c r="G2986" s="3" t="s">
        <v>180</v>
      </c>
      <c r="H2986" s="2" t="s">
        <v>21</v>
      </c>
      <c r="I2986" s="2" t="s">
        <v>6850</v>
      </c>
      <c r="J2986" s="3" t="str">
        <f>HYPERLINK("https://www.boe.es/gazeta/dias/1816/06/29/pdfs/GMD-1816-81.pdf#page=10","Abrir facsímil")</f>
        <v>Abrir facsímil</v>
      </c>
      <c r="K2986" s="3" t="s">
        <v>23</v>
      </c>
    </row>
    <row r="2987" spans="1:11" ht="42" customHeight="1">
      <c r="A2987" s="2" t="s">
        <v>6851</v>
      </c>
      <c r="B2987" s="2" t="s">
        <v>6852</v>
      </c>
      <c r="C2987" s="2" t="s">
        <v>34</v>
      </c>
      <c r="D2987" s="2" t="s">
        <v>56</v>
      </c>
      <c r="E2987" s="5">
        <v>-30393</v>
      </c>
      <c r="F2987" s="3" t="s">
        <v>202</v>
      </c>
      <c r="G2987" s="3" t="s">
        <v>47</v>
      </c>
      <c r="H2987" s="2" t="s">
        <v>21</v>
      </c>
      <c r="I2987" s="2" t="s">
        <v>6853</v>
      </c>
      <c r="J2987" s="3" t="str">
        <f>HYPERLINK("https://www.boe.es/gazeta/dias/1816/10/13/pdfs/GMD-1816-128E.pdf#page=5","Abrir facsímil")</f>
        <v>Abrir facsímil</v>
      </c>
      <c r="K2987" s="3" t="s">
        <v>23</v>
      </c>
    </row>
    <row r="2988" spans="1:11" ht="42" customHeight="1">
      <c r="A2988" s="2" t="s">
        <v>6854</v>
      </c>
      <c r="B2988" s="2" t="s">
        <v>6855</v>
      </c>
      <c r="C2988" s="2" t="s">
        <v>26</v>
      </c>
      <c r="D2988" s="2" t="s">
        <v>18</v>
      </c>
      <c r="E2988" s="5">
        <v>-30387</v>
      </c>
      <c r="F2988" s="3" t="s">
        <v>224</v>
      </c>
      <c r="G2988" s="3" t="s">
        <v>28</v>
      </c>
      <c r="H2988" s="2" t="s">
        <v>21</v>
      </c>
      <c r="I2988" s="2" t="s">
        <v>6856</v>
      </c>
      <c r="J2988" s="3" t="str">
        <f>HYPERLINK("https://www.boe.es/gazeta/dias/1816/10/19/pdfs/GMD-1816-131.pdf#page=6","Abrir facsímil")</f>
        <v>Abrir facsímil</v>
      </c>
      <c r="K2988" s="3" t="s">
        <v>23</v>
      </c>
    </row>
    <row r="2989" spans="1:11" ht="42" customHeight="1">
      <c r="A2989" s="2" t="s">
        <v>6857</v>
      </c>
      <c r="B2989" s="2" t="s">
        <v>6858</v>
      </c>
      <c r="C2989" s="2" t="s">
        <v>41</v>
      </c>
      <c r="D2989" s="2" t="s">
        <v>18</v>
      </c>
      <c r="E2989" s="5">
        <v>-30494</v>
      </c>
      <c r="F2989" s="3" t="s">
        <v>174</v>
      </c>
      <c r="G2989" s="3" t="s">
        <v>175</v>
      </c>
      <c r="H2989" s="2" t="s">
        <v>21</v>
      </c>
      <c r="I2989" s="2" t="s">
        <v>6859</v>
      </c>
      <c r="J2989" s="3" t="str">
        <f>HYPERLINK("https://www.boe.es/gazeta/dias/1816/07/04/pdfs/GMD-1816-83.pdf#page=11","Abrir facsímil")</f>
        <v>Abrir facsímil</v>
      </c>
      <c r="K2989" s="3" t="s">
        <v>23</v>
      </c>
    </row>
    <row r="2990" spans="1:11" ht="42" customHeight="1">
      <c r="A2990" s="2" t="s">
        <v>6860</v>
      </c>
      <c r="B2990" s="2" t="s">
        <v>6861</v>
      </c>
      <c r="C2990" s="2" t="s">
        <v>67</v>
      </c>
      <c r="D2990" s="2" t="s">
        <v>18</v>
      </c>
      <c r="E2990" s="5">
        <v>-30676</v>
      </c>
      <c r="F2990" s="3" t="s">
        <v>1932</v>
      </c>
      <c r="G2990" s="3" t="s">
        <v>2724</v>
      </c>
      <c r="H2990" s="2" t="s">
        <v>21</v>
      </c>
      <c r="I2990" s="2" t="s">
        <v>6862</v>
      </c>
      <c r="J2990" s="3" t="str">
        <f>HYPERLINK("https://www.boe.es/gazeta/dias/1816/01/04/pdfs/GMD-1816-2.pdf#page=8","Abrir facsímil")</f>
        <v>Abrir facsímil</v>
      </c>
      <c r="K2990" s="3" t="s">
        <v>23</v>
      </c>
    </row>
    <row r="2991" spans="1:11" ht="42" customHeight="1">
      <c r="A2991" s="2" t="s">
        <v>6860</v>
      </c>
      <c r="B2991" s="2" t="s">
        <v>6861</v>
      </c>
      <c r="C2991" s="2" t="s">
        <v>34</v>
      </c>
      <c r="D2991" s="2" t="s">
        <v>35</v>
      </c>
      <c r="E2991" s="5">
        <v>-30410</v>
      </c>
      <c r="F2991" s="3" t="s">
        <v>1259</v>
      </c>
      <c r="G2991" s="3" t="s">
        <v>175</v>
      </c>
      <c r="H2991" s="2" t="s">
        <v>21</v>
      </c>
      <c r="I2991" s="2" t="s">
        <v>6863</v>
      </c>
      <c r="J2991" s="3" t="str">
        <f>HYPERLINK("https://www.boe.es/gazeta/dias/1816/09/26/pdfs/GMD-1816-119.pdf#page=11","Abrir facsímil")</f>
        <v>Abrir facsímil</v>
      </c>
      <c r="K2991" s="3" t="s">
        <v>23</v>
      </c>
    </row>
    <row r="2992" spans="1:11" ht="42" customHeight="1">
      <c r="A2992" s="2" t="s">
        <v>6864</v>
      </c>
      <c r="B2992" s="2" t="s">
        <v>6865</v>
      </c>
      <c r="C2992" s="2" t="s">
        <v>26</v>
      </c>
      <c r="D2992" s="2" t="s">
        <v>18</v>
      </c>
      <c r="E2992" s="5">
        <v>-30499</v>
      </c>
      <c r="F2992" s="3" t="s">
        <v>971</v>
      </c>
      <c r="G2992" s="3" t="s">
        <v>92</v>
      </c>
      <c r="H2992" s="2" t="s">
        <v>21</v>
      </c>
      <c r="I2992" s="2" t="s">
        <v>6866</v>
      </c>
      <c r="J2992" s="3" t="str">
        <f>HYPERLINK("https://www.boe.es/gazeta/dias/1816/06/29/pdfs/GMD-1816-81.pdf#page=9","Abrir facsímil")</f>
        <v>Abrir facsímil</v>
      </c>
      <c r="K2992" s="3" t="s">
        <v>23</v>
      </c>
    </row>
    <row r="2993" spans="1:11" ht="42" customHeight="1">
      <c r="A2993" s="2" t="s">
        <v>6867</v>
      </c>
      <c r="B2993" s="2" t="s">
        <v>6867</v>
      </c>
      <c r="C2993" s="2" t="s">
        <v>41</v>
      </c>
      <c r="D2993" s="2" t="s">
        <v>18</v>
      </c>
      <c r="E2993" s="5">
        <v>-30578</v>
      </c>
      <c r="F2993" s="3" t="s">
        <v>91</v>
      </c>
      <c r="G2993" s="3" t="s">
        <v>72</v>
      </c>
      <c r="H2993" s="2" t="s">
        <v>21</v>
      </c>
      <c r="I2993" s="2" t="s">
        <v>6868</v>
      </c>
      <c r="J2993" s="3" t="str">
        <f>HYPERLINK("https://www.boe.es/gazeta/dias/1816/04/11/pdfs/GMD-1816-47.pdf#page=7","Abrir facsímil")</f>
        <v>Abrir facsímil</v>
      </c>
      <c r="K2993" s="3" t="s">
        <v>23</v>
      </c>
    </row>
    <row r="2994" spans="1:11" ht="42" customHeight="1">
      <c r="A2994" s="2" t="s">
        <v>6867</v>
      </c>
      <c r="B2994" s="2" t="s">
        <v>6867</v>
      </c>
      <c r="C2994" s="2" t="s">
        <v>34</v>
      </c>
      <c r="D2994" s="2" t="s">
        <v>35</v>
      </c>
      <c r="E2994" s="5">
        <v>-30384</v>
      </c>
      <c r="F2994" s="3" t="s">
        <v>460</v>
      </c>
      <c r="G2994" s="3" t="s">
        <v>103</v>
      </c>
      <c r="H2994" s="2" t="s">
        <v>21</v>
      </c>
      <c r="I2994" s="2" t="s">
        <v>6869</v>
      </c>
      <c r="J2994" s="3" t="str">
        <f>HYPERLINK("https://www.boe.es/gazeta/dias/1816/10/22/pdfs/GMD-1816-132.pdf#page=4","Abrir facsímil")</f>
        <v>Abrir facsímil</v>
      </c>
      <c r="K2994" s="3" t="s">
        <v>23</v>
      </c>
    </row>
    <row r="2995" spans="1:11" ht="42" customHeight="1">
      <c r="A2995" s="2" t="s">
        <v>6870</v>
      </c>
      <c r="B2995" s="2" t="s">
        <v>6871</v>
      </c>
      <c r="C2995" s="2" t="s">
        <v>34</v>
      </c>
      <c r="D2995" s="2" t="s">
        <v>35</v>
      </c>
      <c r="E2995" s="5">
        <v>-30391</v>
      </c>
      <c r="F2995" s="3" t="s">
        <v>482</v>
      </c>
      <c r="G2995" s="3" t="s">
        <v>28</v>
      </c>
      <c r="H2995" s="2" t="s">
        <v>21</v>
      </c>
      <c r="I2995" s="2" t="s">
        <v>6872</v>
      </c>
      <c r="J2995" s="3" t="str">
        <f>HYPERLINK("https://www.boe.es/gazeta/dias/1816/10/15/pdfs/GMD-1816-129.pdf#page=6","Abrir facsímil")</f>
        <v>Abrir facsímil</v>
      </c>
      <c r="K2995" s="3" t="s">
        <v>23</v>
      </c>
    </row>
    <row r="2996" spans="1:11" ht="42" customHeight="1">
      <c r="A2996" s="2" t="s">
        <v>6873</v>
      </c>
      <c r="B2996" s="2" t="s">
        <v>6873</v>
      </c>
      <c r="C2996" s="2" t="s">
        <v>26</v>
      </c>
      <c r="D2996" s="2" t="s">
        <v>18</v>
      </c>
      <c r="E2996" s="5">
        <v>-30391</v>
      </c>
      <c r="F2996" s="3" t="s">
        <v>482</v>
      </c>
      <c r="G2996" s="3" t="s">
        <v>3258</v>
      </c>
      <c r="H2996" s="2" t="s">
        <v>21</v>
      </c>
      <c r="I2996" s="2" t="s">
        <v>6874</v>
      </c>
      <c r="J2996" s="3" t="str">
        <f>HYPERLINK("https://www.boe.es/gazeta/dias/1816/10/15/pdfs/GMD-1816-129.pdf#page=8","Abrir facsímil")</f>
        <v>Abrir facsímil</v>
      </c>
      <c r="K2996" s="3" t="s">
        <v>23</v>
      </c>
    </row>
    <row r="2997" spans="1:11" ht="42" customHeight="1">
      <c r="A2997" s="2" t="s">
        <v>6875</v>
      </c>
      <c r="B2997" s="2" t="s">
        <v>6876</v>
      </c>
      <c r="C2997" s="2" t="s">
        <v>41</v>
      </c>
      <c r="D2997" s="2" t="s">
        <v>18</v>
      </c>
      <c r="E2997" s="5">
        <v>-30494</v>
      </c>
      <c r="F2997" s="3" t="s">
        <v>174</v>
      </c>
      <c r="G2997" s="3" t="s">
        <v>175</v>
      </c>
      <c r="H2997" s="2" t="s">
        <v>21</v>
      </c>
      <c r="I2997" s="2" t="s">
        <v>6877</v>
      </c>
      <c r="J2997" s="3" t="str">
        <f>HYPERLINK("https://www.boe.es/gazeta/dias/1816/07/04/pdfs/GMD-1816-83.pdf#page=11","Abrir facsímil")</f>
        <v>Abrir facsímil</v>
      </c>
      <c r="K2997" s="3" t="s">
        <v>23</v>
      </c>
    </row>
    <row r="2998" spans="1:11" ht="42" customHeight="1">
      <c r="A2998" s="2" t="s">
        <v>6878</v>
      </c>
      <c r="B2998" s="2" t="s">
        <v>6879</v>
      </c>
      <c r="C2998" s="2" t="s">
        <v>111</v>
      </c>
      <c r="D2998" s="2" t="s">
        <v>112</v>
      </c>
      <c r="E2998" s="5">
        <v>-30443</v>
      </c>
      <c r="F2998" s="3" t="s">
        <v>259</v>
      </c>
      <c r="G2998" s="3" t="s">
        <v>72</v>
      </c>
      <c r="H2998" s="2" t="s">
        <v>29</v>
      </c>
      <c r="I2998" s="2" t="s">
        <v>6880</v>
      </c>
      <c r="J2998" s="3" t="str">
        <f>HYPERLINK("https://www.boe.es/gazeta/dias/1816/08/24/pdfs/GMD-1816-105.pdf#page=7","Abrir facsímil")</f>
        <v>Abrir facsímil</v>
      </c>
      <c r="K2998" s="3" t="s">
        <v>31</v>
      </c>
    </row>
    <row r="2999" spans="1:11" ht="42" customHeight="1">
      <c r="A2999" s="2" t="s">
        <v>6881</v>
      </c>
      <c r="B2999" s="2" t="s">
        <v>6882</v>
      </c>
      <c r="C2999" s="2" t="s">
        <v>26</v>
      </c>
      <c r="D2999" s="2" t="s">
        <v>18</v>
      </c>
      <c r="E2999" s="5">
        <v>-30494</v>
      </c>
      <c r="F2999" s="3" t="s">
        <v>174</v>
      </c>
      <c r="G2999" s="3" t="s">
        <v>175</v>
      </c>
      <c r="H2999" s="2" t="s">
        <v>21</v>
      </c>
      <c r="I2999" s="2" t="s">
        <v>6883</v>
      </c>
      <c r="J2999" s="3" t="str">
        <f>HYPERLINK("https://www.boe.es/gazeta/dias/1816/07/04/pdfs/GMD-1816-83.pdf#page=11","Abrir facsímil")</f>
        <v>Abrir facsímil</v>
      </c>
      <c r="K2999" s="3" t="s">
        <v>23</v>
      </c>
    </row>
    <row r="3000" spans="1:11" ht="42" customHeight="1">
      <c r="A3000" s="2" t="s">
        <v>6884</v>
      </c>
      <c r="B3000" s="2" t="s">
        <v>6884</v>
      </c>
      <c r="C3000" s="2" t="s">
        <v>81</v>
      </c>
      <c r="D3000" s="2" t="s">
        <v>18</v>
      </c>
      <c r="E3000" s="5">
        <v>-30319</v>
      </c>
      <c r="F3000" s="3" t="s">
        <v>131</v>
      </c>
      <c r="G3000" s="3" t="s">
        <v>2122</v>
      </c>
      <c r="H3000" s="2" t="s">
        <v>21</v>
      </c>
      <c r="I3000" s="2" t="s">
        <v>6885</v>
      </c>
      <c r="J3000" s="3" t="str">
        <f>HYPERLINK("https://www.boe.es/gazeta/dias/1816/12/26/pdfs/GMD-1816-160.pdf#page=7","Abrir facsímil")</f>
        <v>Abrir facsímil</v>
      </c>
      <c r="K3000" s="3" t="s">
        <v>23</v>
      </c>
    </row>
    <row r="3001" spans="1:11" ht="42" customHeight="1">
      <c r="A3001" s="2" t="s">
        <v>6886</v>
      </c>
      <c r="B3001" s="2" t="s">
        <v>6887</v>
      </c>
      <c r="C3001" s="2" t="s">
        <v>111</v>
      </c>
      <c r="D3001" s="2" t="s">
        <v>112</v>
      </c>
      <c r="E3001" s="5">
        <v>-30627</v>
      </c>
      <c r="F3001" s="3" t="s">
        <v>136</v>
      </c>
      <c r="G3001" s="3" t="s">
        <v>72</v>
      </c>
      <c r="H3001" s="2" t="s">
        <v>21</v>
      </c>
      <c r="I3001" s="2" t="s">
        <v>6888</v>
      </c>
      <c r="J3001" s="3" t="str">
        <f>HYPERLINK("https://www.boe.es/gazeta/dias/1816/02/22/pdfs/GMD-1816-24.pdf#page=7","Abrir facsímil")</f>
        <v>Abrir facsímil</v>
      </c>
      <c r="K3001" s="3" t="s">
        <v>23</v>
      </c>
    </row>
    <row r="3002" spans="1:11" ht="42" customHeight="1">
      <c r="A3002" s="2" t="s">
        <v>6886</v>
      </c>
      <c r="B3002" s="2" t="s">
        <v>6887</v>
      </c>
      <c r="C3002" s="2" t="s">
        <v>67</v>
      </c>
      <c r="D3002" s="2" t="s">
        <v>18</v>
      </c>
      <c r="E3002" s="5">
        <v>-30627</v>
      </c>
      <c r="F3002" s="3" t="s">
        <v>136</v>
      </c>
      <c r="G3002" s="3" t="s">
        <v>42</v>
      </c>
      <c r="H3002" s="2" t="s">
        <v>21</v>
      </c>
      <c r="I3002" s="2" t="s">
        <v>6889</v>
      </c>
      <c r="J3002" s="3" t="str">
        <f>HYPERLINK("https://www.boe.es/gazeta/dias/1816/02/22/pdfs/GMD-1816-24.pdf#page=8","Abrir facsímil")</f>
        <v>Abrir facsímil</v>
      </c>
      <c r="K3002" s="3" t="s">
        <v>23</v>
      </c>
    </row>
    <row r="3003" spans="1:11" ht="42" customHeight="1">
      <c r="A3003" s="2" t="s">
        <v>6886</v>
      </c>
      <c r="B3003" s="2" t="s">
        <v>6887</v>
      </c>
      <c r="C3003" s="2" t="s">
        <v>67</v>
      </c>
      <c r="D3003" s="2" t="s">
        <v>18</v>
      </c>
      <c r="E3003" s="5">
        <v>-30578</v>
      </c>
      <c r="F3003" s="3" t="s">
        <v>91</v>
      </c>
      <c r="G3003" s="3" t="s">
        <v>42</v>
      </c>
      <c r="H3003" s="2" t="s">
        <v>21</v>
      </c>
      <c r="I3003" s="2" t="s">
        <v>6890</v>
      </c>
      <c r="J3003" s="3" t="str">
        <f>HYPERLINK("https://www.boe.es/gazeta/dias/1816/04/11/pdfs/GMD-1816-47.pdf#page=8","Abrir facsímil")</f>
        <v>Abrir facsímil</v>
      </c>
      <c r="K3003" s="3" t="s">
        <v>23</v>
      </c>
    </row>
    <row r="3004" spans="1:11" ht="42" customHeight="1">
      <c r="A3004" s="2" t="s">
        <v>6891</v>
      </c>
      <c r="B3004" s="2" t="s">
        <v>6892</v>
      </c>
      <c r="C3004" s="2" t="s">
        <v>34</v>
      </c>
      <c r="D3004" s="2" t="s">
        <v>35</v>
      </c>
      <c r="E3004" s="5">
        <v>-30373</v>
      </c>
      <c r="F3004" s="3" t="s">
        <v>1280</v>
      </c>
      <c r="G3004" s="3" t="s">
        <v>72</v>
      </c>
      <c r="H3004" s="2" t="s">
        <v>21</v>
      </c>
      <c r="I3004" s="2" t="s">
        <v>6893</v>
      </c>
      <c r="J3004" s="3" t="str">
        <f>HYPERLINK("https://www.boe.es/gazeta/dias/1816/11/02/pdfs/GMD-1816-137.pdf#page=7","Abrir facsímil")</f>
        <v>Abrir facsímil</v>
      </c>
      <c r="K3004" s="3" t="s">
        <v>23</v>
      </c>
    </row>
    <row r="3005" spans="1:11" ht="42" customHeight="1">
      <c r="A3005" s="2" t="s">
        <v>6894</v>
      </c>
      <c r="B3005" s="2" t="s">
        <v>6895</v>
      </c>
      <c r="C3005" s="2" t="s">
        <v>34</v>
      </c>
      <c r="D3005" s="2" t="s">
        <v>35</v>
      </c>
      <c r="E3005" s="5">
        <v>-30650</v>
      </c>
      <c r="F3005" s="3" t="s">
        <v>1170</v>
      </c>
      <c r="G3005" s="3" t="s">
        <v>72</v>
      </c>
      <c r="H3005" s="2" t="s">
        <v>21</v>
      </c>
      <c r="I3005" s="2" t="s">
        <v>6896</v>
      </c>
      <c r="J3005" s="3" t="str">
        <f>HYPERLINK("https://www.boe.es/gazeta/dias/1816/01/30/pdfs/GMD-1816-14.pdf#page=7","Abrir facsímil")</f>
        <v>Abrir facsímil</v>
      </c>
      <c r="K3005" s="3" t="s">
        <v>23</v>
      </c>
    </row>
    <row r="3006" spans="1:11" ht="42" customHeight="1">
      <c r="A3006" s="2" t="s">
        <v>6897</v>
      </c>
      <c r="B3006" s="2" t="s">
        <v>6898</v>
      </c>
      <c r="C3006" s="2" t="s">
        <v>26</v>
      </c>
      <c r="D3006" s="2" t="s">
        <v>18</v>
      </c>
      <c r="E3006" s="5">
        <v>-30445</v>
      </c>
      <c r="F3006" s="3" t="s">
        <v>51</v>
      </c>
      <c r="G3006" s="3" t="s">
        <v>47</v>
      </c>
      <c r="H3006" s="2" t="s">
        <v>21</v>
      </c>
      <c r="I3006" s="2" t="s">
        <v>6899</v>
      </c>
      <c r="J3006" s="3" t="str">
        <f>HYPERLINK("https://www.boe.es/gazeta/dias/1816/08/22/pdfs/GMD-1816-104.pdf#page=5","Abrir facsímil")</f>
        <v>Abrir facsímil</v>
      </c>
      <c r="K3006" s="3" t="s">
        <v>23</v>
      </c>
    </row>
    <row r="3007" spans="1:11" ht="42" customHeight="1">
      <c r="A3007" s="2" t="s">
        <v>6900</v>
      </c>
      <c r="B3007" s="2" t="s">
        <v>6901</v>
      </c>
      <c r="C3007" s="2" t="s">
        <v>111</v>
      </c>
      <c r="D3007" s="2" t="s">
        <v>112</v>
      </c>
      <c r="E3007" s="5">
        <v>-30576</v>
      </c>
      <c r="F3007" s="3" t="s">
        <v>353</v>
      </c>
      <c r="G3007" s="3" t="s">
        <v>270</v>
      </c>
      <c r="H3007" s="2" t="s">
        <v>21</v>
      </c>
      <c r="I3007" s="2" t="s">
        <v>6902</v>
      </c>
      <c r="J3007" s="3" t="str">
        <f>HYPERLINK("https://www.boe.es/gazeta/dias/1816/04/13/pdfs/GMD-1816-48.pdf#page=2","Abrir facsímil")</f>
        <v>Abrir facsímil</v>
      </c>
      <c r="K3007" s="3" t="s">
        <v>23</v>
      </c>
    </row>
    <row r="3008" spans="1:11" ht="42" customHeight="1">
      <c r="A3008" s="2" t="s">
        <v>6903</v>
      </c>
      <c r="B3008" s="2" t="s">
        <v>6904</v>
      </c>
      <c r="C3008" s="2" t="s">
        <v>34</v>
      </c>
      <c r="D3008" s="2" t="s">
        <v>35</v>
      </c>
      <c r="E3008" s="5">
        <v>-30583</v>
      </c>
      <c r="F3008" s="3" t="s">
        <v>241</v>
      </c>
      <c r="G3008" s="3" t="s">
        <v>103</v>
      </c>
      <c r="H3008" s="2" t="s">
        <v>29</v>
      </c>
      <c r="I3008" s="2" t="s">
        <v>6905</v>
      </c>
      <c r="J3008" s="3" t="str">
        <f>HYPERLINK("https://www.boe.es/gazeta/dias/1816/04/06/pdfs/GMD-1816-45.pdf#page=4","Abrir facsímil")</f>
        <v>Abrir facsímil</v>
      </c>
      <c r="K3008" s="3" t="s">
        <v>31</v>
      </c>
    </row>
    <row r="3009" spans="1:11" ht="42" customHeight="1">
      <c r="A3009" s="2" t="s">
        <v>6906</v>
      </c>
      <c r="B3009" s="2" t="s">
        <v>6907</v>
      </c>
      <c r="C3009" s="2" t="s">
        <v>34</v>
      </c>
      <c r="D3009" s="2" t="s">
        <v>35</v>
      </c>
      <c r="E3009" s="5">
        <v>-30459</v>
      </c>
      <c r="F3009" s="3" t="s">
        <v>1957</v>
      </c>
      <c r="G3009" s="3" t="s">
        <v>42</v>
      </c>
      <c r="H3009" s="2" t="s">
        <v>21</v>
      </c>
      <c r="I3009" s="2" t="s">
        <v>6908</v>
      </c>
      <c r="J3009" s="3" t="str">
        <f>HYPERLINK("https://www.boe.es/gazeta/dias/1816/08/08/pdfs/GMD-1816-98.pdf#page=8","Abrir facsímil")</f>
        <v>Abrir facsímil</v>
      </c>
      <c r="K3009" s="3" t="s">
        <v>23</v>
      </c>
    </row>
    <row r="3010" spans="1:11" ht="42" customHeight="1">
      <c r="A3010" s="2" t="s">
        <v>6906</v>
      </c>
      <c r="B3010" s="2" t="s">
        <v>6907</v>
      </c>
      <c r="C3010" s="2" t="s">
        <v>34</v>
      </c>
      <c r="D3010" s="2" t="s">
        <v>35</v>
      </c>
      <c r="E3010" s="5">
        <v>-30391</v>
      </c>
      <c r="F3010" s="3" t="s">
        <v>482</v>
      </c>
      <c r="G3010" s="3" t="s">
        <v>28</v>
      </c>
      <c r="H3010" s="2" t="s">
        <v>21</v>
      </c>
      <c r="I3010" s="2" t="s">
        <v>6909</v>
      </c>
      <c r="J3010" s="3" t="str">
        <f>HYPERLINK("https://www.boe.es/gazeta/dias/1816/10/15/pdfs/GMD-1816-129.pdf#page=6","Abrir facsímil")</f>
        <v>Abrir facsímil</v>
      </c>
      <c r="K3010" s="3" t="s">
        <v>23</v>
      </c>
    </row>
    <row r="3011" spans="1:11" ht="42" customHeight="1">
      <c r="A3011" s="2" t="s">
        <v>6910</v>
      </c>
      <c r="B3011" s="2" t="s">
        <v>6911</v>
      </c>
      <c r="C3011" s="2" t="s">
        <v>67</v>
      </c>
      <c r="D3011" s="2" t="s">
        <v>18</v>
      </c>
      <c r="E3011" s="5">
        <v>-30536</v>
      </c>
      <c r="F3011" s="3" t="s">
        <v>580</v>
      </c>
      <c r="G3011" s="3" t="s">
        <v>42</v>
      </c>
      <c r="H3011" s="2" t="s">
        <v>21</v>
      </c>
      <c r="I3011" s="2" t="s">
        <v>6912</v>
      </c>
      <c r="J3011" s="3" t="str">
        <f>HYPERLINK("https://www.boe.es/gazeta/dias/1816/05/23/pdfs/GMD-1816-65.pdf#page=8","Abrir facsímil")</f>
        <v>Abrir facsímil</v>
      </c>
      <c r="K3011" s="3" t="s">
        <v>23</v>
      </c>
    </row>
    <row r="3012" spans="1:11" ht="42" customHeight="1">
      <c r="A3012" s="2" t="s">
        <v>6913</v>
      </c>
      <c r="B3012" s="2" t="s">
        <v>6914</v>
      </c>
      <c r="C3012" s="2" t="s">
        <v>67</v>
      </c>
      <c r="D3012" s="2" t="s">
        <v>18</v>
      </c>
      <c r="E3012" s="5">
        <v>-30422</v>
      </c>
      <c r="F3012" s="3" t="s">
        <v>803</v>
      </c>
      <c r="G3012" s="3" t="s">
        <v>1405</v>
      </c>
      <c r="H3012" s="2" t="s">
        <v>21</v>
      </c>
      <c r="I3012" s="2" t="s">
        <v>6915</v>
      </c>
      <c r="J3012" s="3" t="str">
        <f>HYPERLINK("https://www.boe.es/gazeta/dias/1816/09/14/pdfs/GMD-1816-114.pdf#page=8","Abrir facsímil")</f>
        <v>Abrir facsímil</v>
      </c>
      <c r="K3012" s="3" t="s">
        <v>23</v>
      </c>
    </row>
    <row r="3013" spans="1:11" ht="42" customHeight="1">
      <c r="A3013" s="2" t="s">
        <v>6916</v>
      </c>
      <c r="B3013" s="2" t="s">
        <v>6917</v>
      </c>
      <c r="C3013" s="2" t="s">
        <v>34</v>
      </c>
      <c r="D3013" s="2" t="s">
        <v>35</v>
      </c>
      <c r="E3013" s="5">
        <v>-30342</v>
      </c>
      <c r="F3013" s="3" t="s">
        <v>116</v>
      </c>
      <c r="G3013" s="3" t="s">
        <v>47</v>
      </c>
      <c r="H3013" s="2" t="s">
        <v>21</v>
      </c>
      <c r="I3013" s="2" t="s">
        <v>6918</v>
      </c>
      <c r="J3013" s="3" t="str">
        <f>HYPERLINK("https://www.boe.es/gazeta/dias/1816/12/03/pdfs/GMD-1816-150.pdf#page=5","Abrir facsímil")</f>
        <v>Abrir facsímil</v>
      </c>
      <c r="K3013" s="3" t="s">
        <v>23</v>
      </c>
    </row>
    <row r="3014" spans="1:11" ht="42" customHeight="1">
      <c r="A3014" s="2" t="s">
        <v>6919</v>
      </c>
      <c r="B3014" s="2" t="s">
        <v>6919</v>
      </c>
      <c r="C3014" s="2" t="s">
        <v>34</v>
      </c>
      <c r="D3014" s="2" t="s">
        <v>35</v>
      </c>
      <c r="E3014" s="5">
        <v>-30328</v>
      </c>
      <c r="F3014" s="3" t="s">
        <v>573</v>
      </c>
      <c r="G3014" s="3" t="s">
        <v>58</v>
      </c>
      <c r="H3014" s="2" t="s">
        <v>21</v>
      </c>
      <c r="I3014" s="2" t="s">
        <v>6920</v>
      </c>
      <c r="J3014" s="3" t="str">
        <f>HYPERLINK("https://www.boe.es/gazeta/dias/1816/12/17/pdfs/GMD-1816-156.pdf#page=1","Abrir facsímil")</f>
        <v>Abrir facsímil</v>
      </c>
      <c r="K3014" s="3" t="s">
        <v>23</v>
      </c>
    </row>
    <row r="3015" spans="1:11" ht="42" customHeight="1">
      <c r="A3015" s="2" t="s">
        <v>6921</v>
      </c>
      <c r="B3015" s="2" t="s">
        <v>6921</v>
      </c>
      <c r="C3015" s="2" t="s">
        <v>111</v>
      </c>
      <c r="D3015" s="2" t="s">
        <v>112</v>
      </c>
      <c r="E3015" s="5">
        <v>-30510</v>
      </c>
      <c r="F3015" s="3" t="s">
        <v>450</v>
      </c>
      <c r="G3015" s="3" t="s">
        <v>451</v>
      </c>
      <c r="H3015" s="2" t="s">
        <v>21</v>
      </c>
      <c r="I3015" s="2" t="s">
        <v>6922</v>
      </c>
      <c r="J3015" s="3" t="str">
        <f>HYPERLINK("https://www.boe.es/gazeta/dias/1816/06/18/pdfs/GMD-1816-76.pdf#page=8","Abrir facsímil")</f>
        <v>Abrir facsímil</v>
      </c>
      <c r="K3015" s="3" t="s">
        <v>23</v>
      </c>
    </row>
    <row r="3016" spans="1:11" ht="42" customHeight="1">
      <c r="A3016" s="2" t="s">
        <v>6923</v>
      </c>
      <c r="B3016" s="2" t="s">
        <v>6923</v>
      </c>
      <c r="C3016" s="2" t="s">
        <v>81</v>
      </c>
      <c r="D3016" s="2" t="s">
        <v>18</v>
      </c>
      <c r="E3016" s="5">
        <v>-30422</v>
      </c>
      <c r="F3016" s="3" t="s">
        <v>803</v>
      </c>
      <c r="G3016" s="3" t="s">
        <v>1405</v>
      </c>
      <c r="H3016" s="2" t="s">
        <v>21</v>
      </c>
      <c r="I3016" s="2" t="s">
        <v>6924</v>
      </c>
      <c r="J3016" s="3" t="str">
        <f>HYPERLINK("https://www.boe.es/gazeta/dias/1816/09/14/pdfs/GMD-1816-114.pdf#page=8","Abrir facsímil")</f>
        <v>Abrir facsímil</v>
      </c>
      <c r="K3016" s="3" t="s">
        <v>23</v>
      </c>
    </row>
    <row r="3017" spans="1:11" ht="42" customHeight="1">
      <c r="A3017" s="2" t="s">
        <v>6925</v>
      </c>
      <c r="B3017" s="2" t="s">
        <v>6925</v>
      </c>
      <c r="C3017" s="2" t="s">
        <v>41</v>
      </c>
      <c r="D3017" s="2" t="s">
        <v>18</v>
      </c>
      <c r="E3017" s="5">
        <v>-30667</v>
      </c>
      <c r="F3017" s="3" t="s">
        <v>659</v>
      </c>
      <c r="G3017" s="3" t="s">
        <v>42</v>
      </c>
      <c r="H3017" s="2" t="s">
        <v>21</v>
      </c>
      <c r="I3017" s="2" t="s">
        <v>6926</v>
      </c>
      <c r="J3017" s="3" t="str">
        <f>HYPERLINK("https://www.boe.es/gazeta/dias/1816/01/13/pdfs/GMD-1816-6.pdf#page=8","Abrir facsímil")</f>
        <v>Abrir facsímil</v>
      </c>
      <c r="K3017" s="3" t="s">
        <v>23</v>
      </c>
    </row>
    <row r="3018" spans="1:11" ht="42" customHeight="1">
      <c r="A3018" s="2" t="s">
        <v>6925</v>
      </c>
      <c r="B3018" s="2" t="s">
        <v>6925</v>
      </c>
      <c r="C3018" s="2" t="s">
        <v>34</v>
      </c>
      <c r="D3018" s="2" t="s">
        <v>35</v>
      </c>
      <c r="E3018" s="5">
        <v>-30662</v>
      </c>
      <c r="F3018" s="3" t="s">
        <v>485</v>
      </c>
      <c r="G3018" s="3" t="s">
        <v>72</v>
      </c>
      <c r="H3018" s="2" t="s">
        <v>21</v>
      </c>
      <c r="I3018" s="2" t="s">
        <v>6927</v>
      </c>
      <c r="J3018" s="3" t="str">
        <f>HYPERLINK("https://www.boe.es/gazeta/dias/1816/01/18/pdfs/GMD-1816-8.pdf#page=7","Abrir facsímil")</f>
        <v>Abrir facsímil</v>
      </c>
      <c r="K3018" s="3" t="s">
        <v>23</v>
      </c>
    </row>
    <row r="3019" spans="1:11" ht="42" customHeight="1">
      <c r="A3019" s="2" t="s">
        <v>6928</v>
      </c>
      <c r="B3019" s="2" t="s">
        <v>6929</v>
      </c>
      <c r="C3019" s="2" t="s">
        <v>34</v>
      </c>
      <c r="D3019" s="2" t="s">
        <v>35</v>
      </c>
      <c r="E3019" s="5">
        <v>-30412</v>
      </c>
      <c r="F3019" s="3" t="s">
        <v>388</v>
      </c>
      <c r="G3019" s="3" t="s">
        <v>389</v>
      </c>
      <c r="H3019" s="2" t="s">
        <v>21</v>
      </c>
      <c r="I3019" s="2" t="s">
        <v>6930</v>
      </c>
      <c r="J3019" s="3" t="str">
        <f>HYPERLINK("https://www.boe.es/gazeta/dias/1816/09/24/pdfs/GMD-1816-118.pdf#page=4","Abrir facsímil")</f>
        <v>Abrir facsímil</v>
      </c>
      <c r="K3019" s="3" t="s">
        <v>23</v>
      </c>
    </row>
    <row r="3020" spans="1:11" ht="42" customHeight="1">
      <c r="A3020" s="2" t="s">
        <v>6931</v>
      </c>
      <c r="B3020" s="2" t="s">
        <v>6932</v>
      </c>
      <c r="C3020" s="2" t="s">
        <v>26</v>
      </c>
      <c r="D3020" s="2" t="s">
        <v>18</v>
      </c>
      <c r="E3020" s="5">
        <v>-30366</v>
      </c>
      <c r="F3020" s="3" t="s">
        <v>179</v>
      </c>
      <c r="G3020" s="3" t="s">
        <v>47</v>
      </c>
      <c r="H3020" s="2" t="s">
        <v>21</v>
      </c>
      <c r="I3020" s="2" t="s">
        <v>6933</v>
      </c>
      <c r="J3020" s="3" t="str">
        <f>HYPERLINK("https://www.boe.es/gazeta/dias/1816/11/09/pdfs/GMD-1816-140.pdf#page=5","Abrir facsímil")</f>
        <v>Abrir facsímil</v>
      </c>
      <c r="K3020" s="3" t="s">
        <v>23</v>
      </c>
    </row>
    <row r="3021" spans="1:11" ht="42" customHeight="1">
      <c r="A3021" s="2" t="s">
        <v>6934</v>
      </c>
      <c r="B3021" s="2" t="s">
        <v>6935</v>
      </c>
      <c r="C3021" s="2" t="s">
        <v>81</v>
      </c>
      <c r="D3021" s="2" t="s">
        <v>18</v>
      </c>
      <c r="E3021" s="5">
        <v>-30461</v>
      </c>
      <c r="F3021" s="3" t="s">
        <v>912</v>
      </c>
      <c r="G3021" s="3" t="s">
        <v>42</v>
      </c>
      <c r="H3021" s="2" t="s">
        <v>29</v>
      </c>
      <c r="I3021" s="2" t="s">
        <v>6936</v>
      </c>
      <c r="J3021" s="3" t="str">
        <f>HYPERLINK("https://www.boe.es/gazeta/dias/1816/08/06/pdfs/GMD-1816-97.pdf#page=8","Abrir facsímil")</f>
        <v>Abrir facsímil</v>
      </c>
      <c r="K3021" s="3" t="s">
        <v>31</v>
      </c>
    </row>
    <row r="3022" spans="1:11" ht="42" customHeight="1">
      <c r="A3022" s="2" t="s">
        <v>6937</v>
      </c>
      <c r="B3022" s="2" t="s">
        <v>6938</v>
      </c>
      <c r="C3022" s="2" t="s">
        <v>34</v>
      </c>
      <c r="D3022" s="2" t="s">
        <v>35</v>
      </c>
      <c r="E3022" s="5">
        <v>-30499</v>
      </c>
      <c r="F3022" s="3" t="s">
        <v>971</v>
      </c>
      <c r="G3022" s="3" t="s">
        <v>72</v>
      </c>
      <c r="H3022" s="2" t="s">
        <v>21</v>
      </c>
      <c r="I3022" s="2" t="s">
        <v>6939</v>
      </c>
      <c r="J3022" s="3" t="str">
        <f>HYPERLINK("https://www.boe.es/gazeta/dias/1816/06/29/pdfs/GMD-1816-81.pdf#page=7","Abrir facsímil")</f>
        <v>Abrir facsímil</v>
      </c>
      <c r="K3022" s="3" t="s">
        <v>23</v>
      </c>
    </row>
    <row r="3023" spans="1:11" ht="42" customHeight="1">
      <c r="A3023" s="2" t="s">
        <v>6940</v>
      </c>
      <c r="B3023" s="2" t="s">
        <v>6941</v>
      </c>
      <c r="C3023" s="2" t="s">
        <v>34</v>
      </c>
      <c r="D3023" s="2" t="s">
        <v>35</v>
      </c>
      <c r="E3023" s="5">
        <v>-30499</v>
      </c>
      <c r="F3023" s="3" t="s">
        <v>971</v>
      </c>
      <c r="G3023" s="3" t="s">
        <v>92</v>
      </c>
      <c r="H3023" s="2" t="s">
        <v>21</v>
      </c>
      <c r="I3023" s="2" t="s">
        <v>6942</v>
      </c>
      <c r="J3023" s="3" t="str">
        <f>HYPERLINK("https://www.boe.es/gazeta/dias/1816/06/29/pdfs/GMD-1816-81.pdf#page=9","Abrir facsímil")</f>
        <v>Abrir facsímil</v>
      </c>
      <c r="K3023" s="3" t="s">
        <v>23</v>
      </c>
    </row>
    <row r="3024" spans="1:11" ht="42" customHeight="1">
      <c r="A3024" s="2" t="s">
        <v>6943</v>
      </c>
      <c r="B3024" s="2" t="s">
        <v>6944</v>
      </c>
      <c r="C3024" s="2" t="s">
        <v>34</v>
      </c>
      <c r="D3024" s="2" t="s">
        <v>35</v>
      </c>
      <c r="E3024" s="5">
        <v>-30499</v>
      </c>
      <c r="F3024" s="3" t="s">
        <v>971</v>
      </c>
      <c r="G3024" s="3" t="s">
        <v>72</v>
      </c>
      <c r="H3024" s="2" t="s">
        <v>21</v>
      </c>
      <c r="I3024" s="2" t="s">
        <v>6945</v>
      </c>
      <c r="J3024" s="3" t="str">
        <f>HYPERLINK("https://www.boe.es/gazeta/dias/1816/06/29/pdfs/GMD-1816-81.pdf#page=7","Abrir facsímil")</f>
        <v>Abrir facsímil</v>
      </c>
      <c r="K3024" s="3" t="s">
        <v>23</v>
      </c>
    </row>
    <row r="3025" spans="1:11" ht="42" customHeight="1">
      <c r="A3025" s="2" t="s">
        <v>6946</v>
      </c>
      <c r="B3025" s="2" t="s">
        <v>6947</v>
      </c>
      <c r="C3025" s="2" t="s">
        <v>41</v>
      </c>
      <c r="D3025" s="2" t="s">
        <v>18</v>
      </c>
      <c r="E3025" s="5">
        <v>-30387</v>
      </c>
      <c r="F3025" s="3" t="s">
        <v>224</v>
      </c>
      <c r="G3025" s="3" t="s">
        <v>28</v>
      </c>
      <c r="H3025" s="2" t="s">
        <v>21</v>
      </c>
      <c r="I3025" s="2" t="s">
        <v>6948</v>
      </c>
      <c r="J3025" s="3" t="str">
        <f>HYPERLINK("https://www.boe.es/gazeta/dias/1816/10/19/pdfs/GMD-1816-131.pdf#page=6","Abrir facsímil")</f>
        <v>Abrir facsímil</v>
      </c>
      <c r="K3025" s="3" t="s">
        <v>23</v>
      </c>
    </row>
    <row r="3026" spans="1:11" ht="42" customHeight="1">
      <c r="A3026" s="2" t="s">
        <v>6949</v>
      </c>
      <c r="B3026" s="2" t="s">
        <v>6950</v>
      </c>
      <c r="C3026" s="2" t="s">
        <v>111</v>
      </c>
      <c r="D3026" s="2" t="s">
        <v>112</v>
      </c>
      <c r="E3026" s="5">
        <v>-30387</v>
      </c>
      <c r="F3026" s="3" t="s">
        <v>224</v>
      </c>
      <c r="G3026" s="3" t="s">
        <v>28</v>
      </c>
      <c r="H3026" s="2" t="s">
        <v>21</v>
      </c>
      <c r="I3026" s="2" t="s">
        <v>6951</v>
      </c>
      <c r="J3026" s="3" t="str">
        <f>HYPERLINK("https://www.boe.es/gazeta/dias/1816/10/19/pdfs/GMD-1816-131.pdf#page=6","Abrir facsímil")</f>
        <v>Abrir facsímil</v>
      </c>
      <c r="K3026" s="3" t="s">
        <v>23</v>
      </c>
    </row>
    <row r="3027" spans="1:11" ht="42" customHeight="1">
      <c r="A3027" s="2" t="s">
        <v>6952</v>
      </c>
      <c r="B3027" s="2" t="s">
        <v>6953</v>
      </c>
      <c r="C3027" s="2" t="s">
        <v>111</v>
      </c>
      <c r="D3027" s="2" t="s">
        <v>112</v>
      </c>
      <c r="E3027" s="5">
        <v>-30387</v>
      </c>
      <c r="F3027" s="3" t="s">
        <v>224</v>
      </c>
      <c r="G3027" s="3" t="s">
        <v>28</v>
      </c>
      <c r="H3027" s="2" t="s">
        <v>29</v>
      </c>
      <c r="I3027" s="2" t="s">
        <v>6954</v>
      </c>
      <c r="J3027" s="3" t="str">
        <f>HYPERLINK("https://www.boe.es/gazeta/dias/1816/10/19/pdfs/GMD-1816-131.pdf#page=6","Abrir facsímil")</f>
        <v>Abrir facsímil</v>
      </c>
      <c r="K3027" s="3" t="s">
        <v>31</v>
      </c>
    </row>
    <row r="3028" spans="1:11" ht="42" customHeight="1">
      <c r="A3028" s="2" t="s">
        <v>6955</v>
      </c>
      <c r="B3028" s="2" t="s">
        <v>6956</v>
      </c>
      <c r="C3028" s="2" t="s">
        <v>17</v>
      </c>
      <c r="D3028" s="2" t="s">
        <v>18</v>
      </c>
      <c r="E3028" s="5">
        <v>-30473</v>
      </c>
      <c r="F3028" s="3" t="s">
        <v>336</v>
      </c>
      <c r="G3028" s="3" t="s">
        <v>1615</v>
      </c>
      <c r="H3028" s="2" t="s">
        <v>29</v>
      </c>
      <c r="I3028" s="2" t="s">
        <v>6957</v>
      </c>
      <c r="J3028" s="3" t="str">
        <f>HYPERLINK("https://www.boe.es/gazeta/dias/1816/07/25/pdfs/GMD-1816-92.pdf#page=6","Abrir facsímil")</f>
        <v>Abrir facsímil</v>
      </c>
      <c r="K3028" s="3" t="s">
        <v>31</v>
      </c>
    </row>
    <row r="3029" spans="1:11" ht="42" customHeight="1">
      <c r="A3029" s="2" t="s">
        <v>6958</v>
      </c>
      <c r="B3029" s="2" t="s">
        <v>6959</v>
      </c>
      <c r="C3029" s="2" t="s">
        <v>387</v>
      </c>
      <c r="D3029" s="2" t="s">
        <v>18</v>
      </c>
      <c r="E3029" s="5">
        <v>-30314</v>
      </c>
      <c r="F3029" s="3" t="s">
        <v>1899</v>
      </c>
      <c r="G3029" s="3" t="s">
        <v>72</v>
      </c>
      <c r="H3029" s="2" t="s">
        <v>29</v>
      </c>
      <c r="I3029" s="2" t="s">
        <v>6960</v>
      </c>
      <c r="J3029" s="3" t="str">
        <f>HYPERLINK("https://www.boe.es/gazeta/dias/1816/12/31/pdfs/GMD-1816-162.pdf#page=7","Abrir facsímil")</f>
        <v>Abrir facsímil</v>
      </c>
      <c r="K3029" s="3" t="s">
        <v>31</v>
      </c>
    </row>
    <row r="3030" spans="1:11" ht="42" customHeight="1">
      <c r="A3030" s="2" t="s">
        <v>6961</v>
      </c>
      <c r="B3030" s="2" t="s">
        <v>6962</v>
      </c>
      <c r="C3030" s="2" t="s">
        <v>34</v>
      </c>
      <c r="D3030" s="2" t="s">
        <v>35</v>
      </c>
      <c r="E3030" s="5">
        <v>-30492</v>
      </c>
      <c r="F3030" s="3" t="s">
        <v>248</v>
      </c>
      <c r="G3030" s="3" t="s">
        <v>28</v>
      </c>
      <c r="H3030" s="2" t="s">
        <v>29</v>
      </c>
      <c r="I3030" s="2" t="s">
        <v>6963</v>
      </c>
      <c r="J3030" s="3" t="str">
        <f>HYPERLINK("https://www.boe.es/gazeta/dias/1816/07/06/pdfs/GMD-1816-84.pdf#page=6","Abrir facsímil")</f>
        <v>Abrir facsímil</v>
      </c>
      <c r="K3030" s="3" t="s">
        <v>31</v>
      </c>
    </row>
    <row r="3031" spans="1:11" ht="42" customHeight="1">
      <c r="A3031" s="2" t="s">
        <v>6964</v>
      </c>
      <c r="B3031" s="2" t="s">
        <v>6965</v>
      </c>
      <c r="C3031" s="2" t="s">
        <v>26</v>
      </c>
      <c r="D3031" s="2" t="s">
        <v>18</v>
      </c>
      <c r="E3031" s="5">
        <v>-30340</v>
      </c>
      <c r="F3031" s="3" t="s">
        <v>1618</v>
      </c>
      <c r="G3031" s="3" t="s">
        <v>47</v>
      </c>
      <c r="H3031" s="2" t="s">
        <v>29</v>
      </c>
      <c r="I3031" s="2" t="s">
        <v>6966</v>
      </c>
      <c r="J3031" s="3" t="str">
        <f>HYPERLINK("https://www.boe.es/gazeta/dias/1816/12/05/pdfs/GMD-1816-151.pdf#page=5","Abrir facsímil")</f>
        <v>Abrir facsímil</v>
      </c>
      <c r="K3031" s="3" t="s">
        <v>31</v>
      </c>
    </row>
    <row r="3032" spans="1:11" ht="42" customHeight="1">
      <c r="A3032" s="2" t="s">
        <v>6967</v>
      </c>
      <c r="B3032" s="2" t="s">
        <v>6968</v>
      </c>
      <c r="C3032" s="2" t="s">
        <v>41</v>
      </c>
      <c r="D3032" s="2" t="s">
        <v>18</v>
      </c>
      <c r="E3032" s="5">
        <v>-30356</v>
      </c>
      <c r="F3032" s="3" t="s">
        <v>824</v>
      </c>
      <c r="G3032" s="3" t="s">
        <v>42</v>
      </c>
      <c r="H3032" s="2" t="s">
        <v>29</v>
      </c>
      <c r="I3032" s="2" t="s">
        <v>6969</v>
      </c>
      <c r="J3032" s="3" t="str">
        <f>HYPERLINK("https://www.boe.es/gazeta/dias/1816/11/19/pdfs/GMD-1816-144.pdf#page=8","Abrir facsímil")</f>
        <v>Abrir facsímil</v>
      </c>
      <c r="K3032" s="3" t="s">
        <v>31</v>
      </c>
    </row>
    <row r="3033" spans="1:11" ht="42" customHeight="1">
      <c r="A3033" s="2" t="s">
        <v>6970</v>
      </c>
      <c r="B3033" s="2" t="s">
        <v>6971</v>
      </c>
      <c r="C3033" s="2" t="s">
        <v>34</v>
      </c>
      <c r="D3033" s="2" t="s">
        <v>35</v>
      </c>
      <c r="E3033" s="5">
        <v>-30494</v>
      </c>
      <c r="F3033" s="3" t="s">
        <v>174</v>
      </c>
      <c r="G3033" s="3" t="s">
        <v>42</v>
      </c>
      <c r="H3033" s="2" t="s">
        <v>29</v>
      </c>
      <c r="I3033" s="2" t="s">
        <v>6972</v>
      </c>
      <c r="J3033" s="3" t="str">
        <f>HYPERLINK("https://www.boe.es/gazeta/dias/1816/07/04/pdfs/GMD-1816-83.pdf#page=8","Abrir facsímil")</f>
        <v>Abrir facsímil</v>
      </c>
      <c r="K3033" s="3" t="s">
        <v>31</v>
      </c>
    </row>
    <row r="3034" spans="1:11" ht="42" customHeight="1">
      <c r="A3034" s="2" t="s">
        <v>6973</v>
      </c>
      <c r="B3034" s="2" t="s">
        <v>6974</v>
      </c>
      <c r="C3034" s="2" t="s">
        <v>26</v>
      </c>
      <c r="D3034" s="2" t="s">
        <v>18</v>
      </c>
      <c r="E3034" s="5">
        <v>-30436</v>
      </c>
      <c r="F3034" s="3" t="s">
        <v>102</v>
      </c>
      <c r="G3034" s="3" t="s">
        <v>175</v>
      </c>
      <c r="H3034" s="2" t="s">
        <v>29</v>
      </c>
      <c r="I3034" s="2" t="s">
        <v>6975</v>
      </c>
      <c r="J3034" s="3" t="str">
        <f>HYPERLINK("https://www.boe.es/gazeta/dias/1816/08/31/pdfs/GMD-1816-108.pdf#page=11","Abrir facsímil")</f>
        <v>Abrir facsímil</v>
      </c>
      <c r="K3034" s="3" t="s">
        <v>31</v>
      </c>
    </row>
    <row r="3035" spans="1:11" ht="42" customHeight="1">
      <c r="A3035" s="2" t="s">
        <v>6976</v>
      </c>
      <c r="B3035" s="2" t="s">
        <v>6977</v>
      </c>
      <c r="C3035" s="2" t="s">
        <v>34</v>
      </c>
      <c r="D3035" s="2" t="s">
        <v>35</v>
      </c>
      <c r="E3035" s="5">
        <v>-30573</v>
      </c>
      <c r="F3035" s="3" t="s">
        <v>840</v>
      </c>
      <c r="G3035" s="3" t="s">
        <v>47</v>
      </c>
      <c r="H3035" s="2" t="s">
        <v>29</v>
      </c>
      <c r="I3035" s="2" t="s">
        <v>6978</v>
      </c>
      <c r="J3035" s="3" t="str">
        <f>HYPERLINK("https://www.boe.es/gazeta/dias/1816/04/16/pdfs/GMD-1816-49.pdf#page=5","Abrir facsímil")</f>
        <v>Abrir facsímil</v>
      </c>
      <c r="K3035" s="3" t="s">
        <v>31</v>
      </c>
    </row>
    <row r="3036" spans="1:11" ht="42" customHeight="1">
      <c r="A3036" s="2" t="s">
        <v>6979</v>
      </c>
      <c r="B3036" s="2" t="s">
        <v>6979</v>
      </c>
      <c r="C3036" s="2" t="s">
        <v>34</v>
      </c>
      <c r="D3036" s="2" t="s">
        <v>35</v>
      </c>
      <c r="E3036" s="5">
        <v>-30639</v>
      </c>
      <c r="F3036" s="3" t="s">
        <v>87</v>
      </c>
      <c r="G3036" s="3" t="s">
        <v>72</v>
      </c>
      <c r="H3036" s="2" t="s">
        <v>21</v>
      </c>
      <c r="I3036" s="2" t="s">
        <v>6980</v>
      </c>
      <c r="J3036" s="3" t="str">
        <f>HYPERLINK("https://www.boe.es/gazeta/dias/1816/02/10/pdfs/GMD-1816-19.pdf#page=7","Abrir facsímil")</f>
        <v>Abrir facsímil</v>
      </c>
      <c r="K3036" s="3" t="s">
        <v>23</v>
      </c>
    </row>
    <row r="3037" spans="1:11" ht="42" customHeight="1">
      <c r="A3037" s="2" t="s">
        <v>6979</v>
      </c>
      <c r="B3037" s="2" t="s">
        <v>6979</v>
      </c>
      <c r="C3037" s="2" t="s">
        <v>26</v>
      </c>
      <c r="D3037" s="2" t="s">
        <v>18</v>
      </c>
      <c r="E3037" s="5">
        <v>-30622</v>
      </c>
      <c r="F3037" s="3" t="s">
        <v>27</v>
      </c>
      <c r="G3037" s="3" t="s">
        <v>2195</v>
      </c>
      <c r="H3037" s="2" t="s">
        <v>21</v>
      </c>
      <c r="I3037" s="2" t="s">
        <v>6981</v>
      </c>
      <c r="J3037" s="3" t="str">
        <f>HYPERLINK("https://www.boe.es/gazeta/dias/1816/02/27/pdfs/GMD-1816-26.pdf#page=8","Abrir facsímil")</f>
        <v>Abrir facsímil</v>
      </c>
      <c r="K3037" s="3" t="s">
        <v>23</v>
      </c>
    </row>
    <row r="3038" spans="1:11" ht="42" customHeight="1">
      <c r="A3038" s="2" t="s">
        <v>6979</v>
      </c>
      <c r="B3038" s="2" t="s">
        <v>6979</v>
      </c>
      <c r="C3038" s="2" t="s">
        <v>34</v>
      </c>
      <c r="D3038" s="2" t="s">
        <v>35</v>
      </c>
      <c r="E3038" s="5">
        <v>-30580</v>
      </c>
      <c r="F3038" s="3" t="s">
        <v>107</v>
      </c>
      <c r="G3038" s="3" t="s">
        <v>28</v>
      </c>
      <c r="H3038" s="2" t="s">
        <v>21</v>
      </c>
      <c r="I3038" s="2" t="s">
        <v>6982</v>
      </c>
      <c r="J3038" s="3" t="str">
        <f>HYPERLINK("https://www.boe.es/gazeta/dias/1816/04/09/pdfs/GMD-1816-46.pdf#page=6","Abrir facsímil")</f>
        <v>Abrir facsímil</v>
      </c>
      <c r="K3038" s="3" t="s">
        <v>23</v>
      </c>
    </row>
    <row r="3039" spans="1:11" ht="42" customHeight="1">
      <c r="A3039" s="2" t="s">
        <v>6979</v>
      </c>
      <c r="B3039" s="2" t="s">
        <v>6979</v>
      </c>
      <c r="C3039" s="2" t="s">
        <v>26</v>
      </c>
      <c r="D3039" s="2" t="s">
        <v>18</v>
      </c>
      <c r="E3039" s="5">
        <v>-30580</v>
      </c>
      <c r="F3039" s="3" t="s">
        <v>107</v>
      </c>
      <c r="G3039" s="3" t="s">
        <v>72</v>
      </c>
      <c r="H3039" s="2" t="s">
        <v>21</v>
      </c>
      <c r="I3039" s="2" t="s">
        <v>6983</v>
      </c>
      <c r="J3039" s="3" t="str">
        <f>HYPERLINK("https://www.boe.es/gazeta/dias/1816/04/09/pdfs/GMD-1816-46.pdf#page=7","Abrir facsímil")</f>
        <v>Abrir facsímil</v>
      </c>
      <c r="K3039" s="3" t="s">
        <v>23</v>
      </c>
    </row>
    <row r="3040" spans="1:11" ht="42" customHeight="1">
      <c r="A3040" s="2" t="s">
        <v>6979</v>
      </c>
      <c r="B3040" s="2" t="s">
        <v>6979</v>
      </c>
      <c r="C3040" s="2" t="s">
        <v>111</v>
      </c>
      <c r="D3040" s="2" t="s">
        <v>112</v>
      </c>
      <c r="E3040" s="5">
        <v>-30552</v>
      </c>
      <c r="F3040" s="3" t="s">
        <v>1842</v>
      </c>
      <c r="G3040" s="3" t="s">
        <v>72</v>
      </c>
      <c r="H3040" s="2" t="s">
        <v>21</v>
      </c>
      <c r="I3040" s="2" t="s">
        <v>6984</v>
      </c>
      <c r="J3040" s="3" t="str">
        <f>HYPERLINK("https://www.boe.es/gazeta/dias/1816/05/07/pdfs/GMD-1816-58.pdf#page=7","Abrir facsímil")</f>
        <v>Abrir facsímil</v>
      </c>
      <c r="K3040" s="3" t="s">
        <v>23</v>
      </c>
    </row>
    <row r="3041" spans="1:11" ht="42" customHeight="1">
      <c r="A3041" s="2" t="s">
        <v>6979</v>
      </c>
      <c r="B3041" s="2" t="s">
        <v>6979</v>
      </c>
      <c r="C3041" s="2" t="s">
        <v>111</v>
      </c>
      <c r="D3041" s="2" t="s">
        <v>112</v>
      </c>
      <c r="E3041" s="5">
        <v>-30508</v>
      </c>
      <c r="F3041" s="3" t="s">
        <v>36</v>
      </c>
      <c r="G3041" s="3" t="s">
        <v>1054</v>
      </c>
      <c r="H3041" s="2" t="s">
        <v>21</v>
      </c>
      <c r="I3041" s="2" t="s">
        <v>6985</v>
      </c>
      <c r="J3041" s="3" t="str">
        <f>HYPERLINK("https://www.boe.es/gazeta/dias/1816/06/20/pdfs/GMD-1816-77.pdf#page=4","Abrir facsímil")</f>
        <v>Abrir facsímil</v>
      </c>
      <c r="K3041" s="3" t="s">
        <v>23</v>
      </c>
    </row>
    <row r="3042" spans="1:11" ht="42" customHeight="1">
      <c r="A3042" s="2" t="s">
        <v>6979</v>
      </c>
      <c r="B3042" s="2" t="s">
        <v>6979</v>
      </c>
      <c r="C3042" s="2" t="s">
        <v>26</v>
      </c>
      <c r="D3042" s="2" t="s">
        <v>18</v>
      </c>
      <c r="E3042" s="5">
        <v>-30494</v>
      </c>
      <c r="F3042" s="3" t="s">
        <v>174</v>
      </c>
      <c r="G3042" s="3" t="s">
        <v>175</v>
      </c>
      <c r="H3042" s="2" t="s">
        <v>21</v>
      </c>
      <c r="I3042" s="2" t="s">
        <v>6986</v>
      </c>
      <c r="J3042" s="3" t="str">
        <f>HYPERLINK("https://www.boe.es/gazeta/dias/1816/07/04/pdfs/GMD-1816-83.pdf#page=11","Abrir facsímil")</f>
        <v>Abrir facsímil</v>
      </c>
      <c r="K3042" s="3" t="s">
        <v>23</v>
      </c>
    </row>
    <row r="3043" spans="1:11" ht="42" customHeight="1">
      <c r="A3043" s="2" t="s">
        <v>6979</v>
      </c>
      <c r="B3043" s="2" t="s">
        <v>6979</v>
      </c>
      <c r="C3043" s="2" t="s">
        <v>67</v>
      </c>
      <c r="D3043" s="2" t="s">
        <v>18</v>
      </c>
      <c r="E3043" s="5">
        <v>-30450</v>
      </c>
      <c r="F3043" s="3" t="s">
        <v>349</v>
      </c>
      <c r="G3043" s="3" t="s">
        <v>103</v>
      </c>
      <c r="H3043" s="2" t="s">
        <v>21</v>
      </c>
      <c r="I3043" s="2" t="s">
        <v>6987</v>
      </c>
      <c r="J3043" s="3" t="str">
        <f>HYPERLINK("https://www.boe.es/gazeta/dias/1816/08/17/pdfs/GMD-1816-102.pdf#page=4","Abrir facsímil")</f>
        <v>Abrir facsímil</v>
      </c>
      <c r="K3043" s="3" t="s">
        <v>23</v>
      </c>
    </row>
    <row r="3044" spans="1:11" ht="42" customHeight="1">
      <c r="A3044" s="2" t="s">
        <v>6979</v>
      </c>
      <c r="B3044" s="2" t="s">
        <v>6979</v>
      </c>
      <c r="C3044" s="2" t="s">
        <v>34</v>
      </c>
      <c r="D3044" s="2" t="s">
        <v>35</v>
      </c>
      <c r="E3044" s="5">
        <v>-30447</v>
      </c>
      <c r="F3044" s="3" t="s">
        <v>151</v>
      </c>
      <c r="G3044" s="3" t="s">
        <v>47</v>
      </c>
      <c r="H3044" s="2" t="s">
        <v>21</v>
      </c>
      <c r="I3044" s="2" t="s">
        <v>6988</v>
      </c>
      <c r="J3044" s="3" t="str">
        <f>HYPERLINK("https://www.boe.es/gazeta/dias/1816/08/20/pdfs/GMD-1816-103.pdf#page=5","Abrir facsímil")</f>
        <v>Abrir facsímil</v>
      </c>
      <c r="K3044" s="3" t="s">
        <v>23</v>
      </c>
    </row>
    <row r="3045" spans="1:11" ht="42" customHeight="1">
      <c r="A3045" s="2" t="s">
        <v>6979</v>
      </c>
      <c r="B3045" s="2" t="s">
        <v>6979</v>
      </c>
      <c r="C3045" s="2" t="s">
        <v>34</v>
      </c>
      <c r="D3045" s="2" t="s">
        <v>35</v>
      </c>
      <c r="E3045" s="5">
        <v>-30433</v>
      </c>
      <c r="F3045" s="3" t="s">
        <v>954</v>
      </c>
      <c r="G3045" s="3" t="s">
        <v>103</v>
      </c>
      <c r="H3045" s="2" t="s">
        <v>21</v>
      </c>
      <c r="I3045" s="2" t="s">
        <v>6989</v>
      </c>
      <c r="J3045" s="3" t="str">
        <f>HYPERLINK("https://www.boe.es/gazeta/dias/1816/09/03/pdfs/GMD-1816-109.pdf#page=4","Abrir facsímil")</f>
        <v>Abrir facsímil</v>
      </c>
      <c r="K3045" s="3" t="s">
        <v>23</v>
      </c>
    </row>
    <row r="3046" spans="1:11" ht="42" customHeight="1">
      <c r="A3046" s="2" t="s">
        <v>6979</v>
      </c>
      <c r="B3046" s="2" t="s">
        <v>6979</v>
      </c>
      <c r="C3046" s="2" t="s">
        <v>387</v>
      </c>
      <c r="D3046" s="2" t="s">
        <v>18</v>
      </c>
      <c r="E3046" s="5">
        <v>-30422</v>
      </c>
      <c r="F3046" s="3" t="s">
        <v>803</v>
      </c>
      <c r="G3046" s="3" t="s">
        <v>47</v>
      </c>
      <c r="H3046" s="2" t="s">
        <v>21</v>
      </c>
      <c r="I3046" s="2" t="s">
        <v>6990</v>
      </c>
      <c r="J3046" s="3" t="str">
        <f>HYPERLINK("https://www.boe.es/gazeta/dias/1816/09/14/pdfs/GMD-1816-114.pdf#page=5","Abrir facsímil")</f>
        <v>Abrir facsímil</v>
      </c>
      <c r="K3046" s="3" t="s">
        <v>23</v>
      </c>
    </row>
    <row r="3047" spans="1:11" ht="42" customHeight="1">
      <c r="A3047" s="2" t="s">
        <v>6979</v>
      </c>
      <c r="B3047" s="2" t="s">
        <v>6979</v>
      </c>
      <c r="C3047" s="2" t="s">
        <v>26</v>
      </c>
      <c r="D3047" s="2" t="s">
        <v>18</v>
      </c>
      <c r="E3047" s="5">
        <v>-30391</v>
      </c>
      <c r="F3047" s="3" t="s">
        <v>482</v>
      </c>
      <c r="G3047" s="3" t="s">
        <v>103</v>
      </c>
      <c r="H3047" s="2" t="s">
        <v>21</v>
      </c>
      <c r="I3047" s="2" t="s">
        <v>6991</v>
      </c>
      <c r="J3047" s="3" t="str">
        <f>HYPERLINK("https://www.boe.es/gazeta/dias/1816/10/15/pdfs/GMD-1816-129.pdf#page=4","Abrir facsímil")</f>
        <v>Abrir facsímil</v>
      </c>
      <c r="K3047" s="3" t="s">
        <v>23</v>
      </c>
    </row>
    <row r="3048" spans="1:11" ht="42" customHeight="1">
      <c r="A3048" s="2" t="s">
        <v>6979</v>
      </c>
      <c r="B3048" s="2" t="s">
        <v>6979</v>
      </c>
      <c r="C3048" s="2" t="s">
        <v>26</v>
      </c>
      <c r="D3048" s="2" t="s">
        <v>18</v>
      </c>
      <c r="E3048" s="5">
        <v>-30391</v>
      </c>
      <c r="F3048" s="3" t="s">
        <v>482</v>
      </c>
      <c r="G3048" s="3" t="s">
        <v>47</v>
      </c>
      <c r="H3048" s="2" t="s">
        <v>21</v>
      </c>
      <c r="I3048" s="2" t="s">
        <v>6992</v>
      </c>
      <c r="J3048" s="3" t="str">
        <f>HYPERLINK("https://www.boe.es/gazeta/dias/1816/10/15/pdfs/GMD-1816-129.pdf#page=5","Abrir facsímil")</f>
        <v>Abrir facsímil</v>
      </c>
      <c r="K3048" s="3" t="s">
        <v>23</v>
      </c>
    </row>
    <row r="3049" spans="1:11" ht="42" customHeight="1">
      <c r="A3049" s="2" t="s">
        <v>6979</v>
      </c>
      <c r="B3049" s="2" t="s">
        <v>6979</v>
      </c>
      <c r="C3049" s="2" t="s">
        <v>111</v>
      </c>
      <c r="D3049" s="2" t="s">
        <v>112</v>
      </c>
      <c r="E3049" s="5">
        <v>-30375</v>
      </c>
      <c r="F3049" s="3" t="s">
        <v>404</v>
      </c>
      <c r="G3049" s="3" t="s">
        <v>1276</v>
      </c>
      <c r="H3049" s="2" t="s">
        <v>21</v>
      </c>
      <c r="I3049" s="2" t="s">
        <v>6993</v>
      </c>
      <c r="J3049" s="3" t="str">
        <f>HYPERLINK("https://www.boe.es/gazeta/dias/1816/10/31/pdfs/GMD-1816-136.pdf#page=5","Abrir facsímil")</f>
        <v>Abrir facsímil</v>
      </c>
      <c r="K3049" s="3" t="s">
        <v>23</v>
      </c>
    </row>
    <row r="3050" spans="1:11" ht="42" customHeight="1">
      <c r="A3050" s="2" t="s">
        <v>6979</v>
      </c>
      <c r="B3050" s="2" t="s">
        <v>6979</v>
      </c>
      <c r="C3050" s="2" t="s">
        <v>26</v>
      </c>
      <c r="D3050" s="2" t="s">
        <v>18</v>
      </c>
      <c r="E3050" s="5">
        <v>-30375</v>
      </c>
      <c r="F3050" s="3" t="s">
        <v>404</v>
      </c>
      <c r="G3050" s="3" t="s">
        <v>405</v>
      </c>
      <c r="H3050" s="2" t="s">
        <v>21</v>
      </c>
      <c r="I3050" s="2" t="s">
        <v>6994</v>
      </c>
      <c r="J3050" s="3" t="str">
        <f>HYPERLINK("https://www.boe.es/gazeta/dias/1816/10/31/pdfs/GMD-1816-136.pdf#page=6","Abrir facsímil")</f>
        <v>Abrir facsímil</v>
      </c>
      <c r="K3050" s="3" t="s">
        <v>23</v>
      </c>
    </row>
    <row r="3051" spans="1:11" ht="42" customHeight="1">
      <c r="A3051" s="2" t="s">
        <v>6979</v>
      </c>
      <c r="B3051" s="2" t="s">
        <v>6979</v>
      </c>
      <c r="C3051" s="2" t="s">
        <v>67</v>
      </c>
      <c r="D3051" s="2" t="s">
        <v>18</v>
      </c>
      <c r="E3051" s="5">
        <v>-30370</v>
      </c>
      <c r="F3051" s="3" t="s">
        <v>669</v>
      </c>
      <c r="G3051" s="3" t="s">
        <v>2076</v>
      </c>
      <c r="H3051" s="2" t="s">
        <v>21</v>
      </c>
      <c r="I3051" s="2" t="s">
        <v>6995</v>
      </c>
      <c r="J3051" s="3" t="str">
        <f>HYPERLINK("https://www.boe.es/gazeta/dias/1816/11/05/pdfs/GMD-1816-138.pdf#page=8","Abrir facsímil")</f>
        <v>Abrir facsímil</v>
      </c>
      <c r="K3051" s="3" t="s">
        <v>23</v>
      </c>
    </row>
    <row r="3052" spans="1:11" ht="42" customHeight="1">
      <c r="A3052" s="2" t="s">
        <v>6979</v>
      </c>
      <c r="B3052" s="2" t="s">
        <v>6979</v>
      </c>
      <c r="C3052" s="2" t="s">
        <v>34</v>
      </c>
      <c r="D3052" s="2" t="s">
        <v>35</v>
      </c>
      <c r="E3052" s="5">
        <v>-30359</v>
      </c>
      <c r="F3052" s="3" t="s">
        <v>812</v>
      </c>
      <c r="G3052" s="3" t="s">
        <v>72</v>
      </c>
      <c r="H3052" s="2" t="s">
        <v>21</v>
      </c>
      <c r="I3052" s="2" t="s">
        <v>6996</v>
      </c>
      <c r="J3052" s="3" t="str">
        <f>HYPERLINK("https://www.boe.es/gazeta/dias/1816/11/16/pdfs/GMD-1816-143.pdf#page=7","Abrir facsímil")</f>
        <v>Abrir facsímil</v>
      </c>
      <c r="K3052" s="3" t="s">
        <v>23</v>
      </c>
    </row>
    <row r="3053" spans="1:11" ht="42" customHeight="1">
      <c r="A3053" s="2" t="s">
        <v>6979</v>
      </c>
      <c r="B3053" s="2" t="s">
        <v>6979</v>
      </c>
      <c r="C3053" s="2" t="s">
        <v>111</v>
      </c>
      <c r="D3053" s="2" t="s">
        <v>112</v>
      </c>
      <c r="E3053" s="5">
        <v>-30321</v>
      </c>
      <c r="F3053" s="3" t="s">
        <v>1086</v>
      </c>
      <c r="G3053" s="3" t="s">
        <v>175</v>
      </c>
      <c r="H3053" s="2" t="s">
        <v>21</v>
      </c>
      <c r="I3053" s="2" t="s">
        <v>6997</v>
      </c>
      <c r="J3053" s="3" t="str">
        <f>HYPERLINK("https://www.boe.es/gazeta/dias/1816/12/24/pdfs/GMD-1816-159.pdf#page=11","Abrir facsímil")</f>
        <v>Abrir facsímil</v>
      </c>
      <c r="K3053" s="3" t="s">
        <v>23</v>
      </c>
    </row>
    <row r="3054" spans="1:11" ht="42" customHeight="1">
      <c r="A3054" s="2" t="s">
        <v>6998</v>
      </c>
      <c r="B3054" s="2" t="s">
        <v>6999</v>
      </c>
      <c r="C3054" s="2" t="s">
        <v>387</v>
      </c>
      <c r="D3054" s="2" t="s">
        <v>18</v>
      </c>
      <c r="E3054" s="5">
        <v>-30363</v>
      </c>
      <c r="F3054" s="3" t="s">
        <v>570</v>
      </c>
      <c r="G3054" s="3" t="s">
        <v>42</v>
      </c>
      <c r="H3054" s="2" t="s">
        <v>21</v>
      </c>
      <c r="I3054" s="2" t="s">
        <v>7000</v>
      </c>
      <c r="J3054" s="3" t="str">
        <f>HYPERLINK("https://www.boe.es/gazeta/dias/1816/11/12/pdfs/GMD-1816-141.pdf#page=8","Abrir facsímil")</f>
        <v>Abrir facsímil</v>
      </c>
      <c r="K3054" s="3" t="s">
        <v>23</v>
      </c>
    </row>
    <row r="3055" spans="1:11" ht="42" customHeight="1">
      <c r="A3055" s="2" t="s">
        <v>7001</v>
      </c>
      <c r="B3055" s="2" t="s">
        <v>7002</v>
      </c>
      <c r="C3055" s="2" t="s">
        <v>111</v>
      </c>
      <c r="D3055" s="2" t="s">
        <v>112</v>
      </c>
      <c r="E3055" s="5">
        <v>-30370</v>
      </c>
      <c r="F3055" s="3" t="s">
        <v>669</v>
      </c>
      <c r="G3055" s="3" t="s">
        <v>2076</v>
      </c>
      <c r="H3055" s="2" t="s">
        <v>21</v>
      </c>
      <c r="I3055" s="2" t="s">
        <v>7003</v>
      </c>
      <c r="J3055" s="3" t="str">
        <f>HYPERLINK("https://www.boe.es/gazeta/dias/1816/11/05/pdfs/GMD-1816-138.pdf#page=8","Abrir facsímil")</f>
        <v>Abrir facsímil</v>
      </c>
      <c r="K3055" s="3" t="s">
        <v>23</v>
      </c>
    </row>
    <row r="3056" spans="1:11" ht="42" customHeight="1">
      <c r="A3056" s="2" t="s">
        <v>7004</v>
      </c>
      <c r="B3056" s="2" t="s">
        <v>7005</v>
      </c>
      <c r="C3056" s="2" t="s">
        <v>34</v>
      </c>
      <c r="D3056" s="2" t="s">
        <v>35</v>
      </c>
      <c r="E3056" s="5">
        <v>-30529</v>
      </c>
      <c r="F3056" s="3" t="s">
        <v>432</v>
      </c>
      <c r="G3056" s="3" t="s">
        <v>28</v>
      </c>
      <c r="H3056" s="2" t="s">
        <v>21</v>
      </c>
      <c r="I3056" s="2" t="s">
        <v>7006</v>
      </c>
      <c r="J3056" s="3" t="str">
        <f>HYPERLINK("https://www.boe.es/gazeta/dias/1816/05/30/pdfs/GMD-1816-68.pdf#page=6","Abrir facsímil")</f>
        <v>Abrir facsímil</v>
      </c>
      <c r="K3056" s="3" t="s">
        <v>23</v>
      </c>
    </row>
    <row r="3057" spans="1:11" ht="42" customHeight="1">
      <c r="A3057" s="2" t="s">
        <v>7004</v>
      </c>
      <c r="B3057" s="2" t="s">
        <v>7005</v>
      </c>
      <c r="C3057" s="2" t="s">
        <v>67</v>
      </c>
      <c r="D3057" s="2" t="s">
        <v>18</v>
      </c>
      <c r="E3057" s="5">
        <v>-30478</v>
      </c>
      <c r="F3057" s="3" t="s">
        <v>123</v>
      </c>
      <c r="G3057" s="3" t="s">
        <v>28</v>
      </c>
      <c r="H3057" s="2" t="s">
        <v>21</v>
      </c>
      <c r="I3057" s="2" t="s">
        <v>7007</v>
      </c>
      <c r="J3057" s="3" t="str">
        <f>HYPERLINK("https://www.boe.es/gazeta/dias/1816/07/20/pdfs/GMD-1816-90.pdf#page=6","Abrir facsímil")</f>
        <v>Abrir facsímil</v>
      </c>
      <c r="K3057" s="3" t="s">
        <v>23</v>
      </c>
    </row>
    <row r="3058" spans="1:11" ht="42" customHeight="1">
      <c r="A3058" s="2" t="s">
        <v>7008</v>
      </c>
      <c r="B3058" s="2" t="s">
        <v>7009</v>
      </c>
      <c r="C3058" s="2" t="s">
        <v>34</v>
      </c>
      <c r="D3058" s="2" t="s">
        <v>35</v>
      </c>
      <c r="E3058" s="5">
        <v>-30487</v>
      </c>
      <c r="F3058" s="3" t="s">
        <v>397</v>
      </c>
      <c r="G3058" s="3" t="s">
        <v>103</v>
      </c>
      <c r="H3058" s="2" t="s">
        <v>21</v>
      </c>
      <c r="I3058" s="2" t="s">
        <v>7010</v>
      </c>
      <c r="J3058" s="3" t="str">
        <f>HYPERLINK("https://www.boe.es/gazeta/dias/1816/07/11/pdfs/GMD-1816-86.pdf#page=4","Abrir facsímil")</f>
        <v>Abrir facsímil</v>
      </c>
      <c r="K3058" s="3" t="s">
        <v>23</v>
      </c>
    </row>
    <row r="3059" spans="1:11" ht="42" customHeight="1">
      <c r="A3059" s="2" t="s">
        <v>7011</v>
      </c>
      <c r="B3059" s="2" t="s">
        <v>7012</v>
      </c>
      <c r="C3059" s="2" t="s">
        <v>34</v>
      </c>
      <c r="D3059" s="2" t="s">
        <v>35</v>
      </c>
      <c r="E3059" s="5">
        <v>-30468</v>
      </c>
      <c r="F3059" s="3" t="s">
        <v>383</v>
      </c>
      <c r="G3059" s="3" t="s">
        <v>6201</v>
      </c>
      <c r="H3059" s="2" t="s">
        <v>21</v>
      </c>
      <c r="I3059" s="2" t="s">
        <v>7013</v>
      </c>
      <c r="J3059" s="3" t="str">
        <f>HYPERLINK("https://www.boe.es/gazeta/dias/1816/07/30/pdfs/GMD-1816-94.pdf#page=4","Abrir facsímil")</f>
        <v>Abrir facsímil</v>
      </c>
      <c r="K3059" s="3" t="s">
        <v>23</v>
      </c>
    </row>
    <row r="3060" spans="1:11" ht="42" customHeight="1">
      <c r="A3060" s="2" t="s">
        <v>7014</v>
      </c>
      <c r="B3060" s="2" t="s">
        <v>7015</v>
      </c>
      <c r="C3060" s="2" t="s">
        <v>26</v>
      </c>
      <c r="D3060" s="2" t="s">
        <v>18</v>
      </c>
      <c r="E3060" s="5">
        <v>-30478</v>
      </c>
      <c r="F3060" s="3" t="s">
        <v>123</v>
      </c>
      <c r="G3060" s="3" t="s">
        <v>2092</v>
      </c>
      <c r="H3060" s="2" t="s">
        <v>21</v>
      </c>
      <c r="I3060" s="2" t="s">
        <v>7016</v>
      </c>
      <c r="J3060" s="3" t="str">
        <f>HYPERLINK("https://www.boe.es/gazeta/dias/1816/07/20/pdfs/GMD-1816-90.pdf#page=5","Abrir facsímil")</f>
        <v>Abrir facsímil</v>
      </c>
      <c r="K3060" s="3" t="s">
        <v>23</v>
      </c>
    </row>
    <row r="3061" spans="1:11" ht="42" customHeight="1">
      <c r="A3061" s="2" t="s">
        <v>7017</v>
      </c>
      <c r="B3061" s="2" t="s">
        <v>7018</v>
      </c>
      <c r="C3061" s="2" t="s">
        <v>67</v>
      </c>
      <c r="D3061" s="2" t="s">
        <v>18</v>
      </c>
      <c r="E3061" s="5">
        <v>-30363</v>
      </c>
      <c r="F3061" s="3" t="s">
        <v>570</v>
      </c>
      <c r="G3061" s="3" t="s">
        <v>942</v>
      </c>
      <c r="H3061" s="2" t="s">
        <v>21</v>
      </c>
      <c r="I3061" s="2" t="s">
        <v>7019</v>
      </c>
      <c r="J3061" s="3" t="str">
        <f>HYPERLINK("https://www.boe.es/gazeta/dias/1816/11/12/pdfs/GMD-1816-141.pdf#page=6","Abrir facsímil")</f>
        <v>Abrir facsímil</v>
      </c>
      <c r="K3061" s="3" t="s">
        <v>23</v>
      </c>
    </row>
    <row r="3062" spans="1:11" ht="42" customHeight="1">
      <c r="A3062" s="2" t="s">
        <v>7020</v>
      </c>
      <c r="B3062" s="2" t="s">
        <v>7021</v>
      </c>
      <c r="C3062" s="2" t="s">
        <v>111</v>
      </c>
      <c r="D3062" s="2" t="s">
        <v>112</v>
      </c>
      <c r="E3062" s="5">
        <v>-30363</v>
      </c>
      <c r="F3062" s="3" t="s">
        <v>570</v>
      </c>
      <c r="G3062" s="3" t="s">
        <v>942</v>
      </c>
      <c r="H3062" s="2" t="s">
        <v>21</v>
      </c>
      <c r="I3062" s="2" t="s">
        <v>7022</v>
      </c>
      <c r="J3062" s="3" t="str">
        <f>HYPERLINK("https://www.boe.es/gazeta/dias/1816/11/12/pdfs/GMD-1816-141.pdf#page=6","Abrir facsímil")</f>
        <v>Abrir facsímil</v>
      </c>
      <c r="K3062" s="3" t="s">
        <v>23</v>
      </c>
    </row>
    <row r="3063" spans="1:11" ht="42" customHeight="1">
      <c r="A3063" s="2" t="s">
        <v>7023</v>
      </c>
      <c r="B3063" s="2" t="s">
        <v>7024</v>
      </c>
      <c r="C3063" s="2" t="s">
        <v>111</v>
      </c>
      <c r="D3063" s="2" t="s">
        <v>112</v>
      </c>
      <c r="E3063" s="5">
        <v>-30384</v>
      </c>
      <c r="F3063" s="3" t="s">
        <v>460</v>
      </c>
      <c r="G3063" s="3" t="s">
        <v>103</v>
      </c>
      <c r="H3063" s="2" t="s">
        <v>21</v>
      </c>
      <c r="I3063" s="2" t="s">
        <v>7025</v>
      </c>
      <c r="J3063" s="3" t="str">
        <f>HYPERLINK("https://www.boe.es/gazeta/dias/1816/10/22/pdfs/GMD-1816-132.pdf#page=4","Abrir facsímil")</f>
        <v>Abrir facsímil</v>
      </c>
      <c r="K3063" s="3" t="s">
        <v>23</v>
      </c>
    </row>
    <row r="3064" spans="1:11" ht="42" customHeight="1">
      <c r="A3064" s="2" t="s">
        <v>7026</v>
      </c>
      <c r="B3064" s="2" t="s">
        <v>7027</v>
      </c>
      <c r="C3064" s="2" t="s">
        <v>111</v>
      </c>
      <c r="D3064" s="2" t="s">
        <v>112</v>
      </c>
      <c r="E3064" s="5">
        <v>-30564</v>
      </c>
      <c r="F3064" s="3" t="s">
        <v>963</v>
      </c>
      <c r="G3064" s="3" t="s">
        <v>1662</v>
      </c>
      <c r="H3064" s="2" t="s">
        <v>21</v>
      </c>
      <c r="I3064" s="2" t="s">
        <v>7028</v>
      </c>
      <c r="J3064" s="3" t="str">
        <f>HYPERLINK("https://www.boe.es/gazeta/dias/1816/04/25/pdfs/GMD-1816-53.pdf#page=7","Abrir facsímil")</f>
        <v>Abrir facsímil</v>
      </c>
      <c r="K3064" s="3" t="s">
        <v>23</v>
      </c>
    </row>
    <row r="3065" spans="1:11" ht="42" customHeight="1">
      <c r="A3065" s="2" t="s">
        <v>7029</v>
      </c>
      <c r="B3065" s="2" t="s">
        <v>7030</v>
      </c>
      <c r="C3065" s="2" t="s">
        <v>34</v>
      </c>
      <c r="D3065" s="2" t="s">
        <v>35</v>
      </c>
      <c r="E3065" s="5">
        <v>-30520</v>
      </c>
      <c r="F3065" s="3" t="s">
        <v>731</v>
      </c>
      <c r="G3065" s="3" t="s">
        <v>28</v>
      </c>
      <c r="H3065" s="2" t="s">
        <v>21</v>
      </c>
      <c r="I3065" s="2" t="s">
        <v>7031</v>
      </c>
      <c r="J3065" s="3" t="str">
        <f>HYPERLINK("https://www.boe.es/gazeta/dias/1816/06/08/pdfs/GMD-1816-72.pdf#page=6","Abrir facsímil")</f>
        <v>Abrir facsímil</v>
      </c>
      <c r="K3065" s="3" t="s">
        <v>23</v>
      </c>
    </row>
    <row r="3066" spans="1:11" ht="42" customHeight="1">
      <c r="A3066" s="2" t="s">
        <v>7032</v>
      </c>
      <c r="B3066" s="2" t="s">
        <v>7033</v>
      </c>
      <c r="C3066" s="2" t="s">
        <v>34</v>
      </c>
      <c r="D3066" s="2" t="s">
        <v>56</v>
      </c>
      <c r="E3066" s="5">
        <v>-30393</v>
      </c>
      <c r="F3066" s="3" t="s">
        <v>202</v>
      </c>
      <c r="G3066" s="3" t="s">
        <v>184</v>
      </c>
      <c r="H3066" s="2" t="s">
        <v>29</v>
      </c>
      <c r="I3066" s="2" t="s">
        <v>7034</v>
      </c>
      <c r="J3066" s="3" t="str">
        <f>HYPERLINK("https://www.boe.es/gazeta/dias/1816/10/13/pdfs/GMD-1816-128E.pdf#page=3","Abrir facsímil")</f>
        <v>Abrir facsímil</v>
      </c>
      <c r="K3066" s="3" t="s">
        <v>31</v>
      </c>
    </row>
    <row r="3067" spans="1:11" ht="42" customHeight="1">
      <c r="A3067" s="2" t="s">
        <v>7035</v>
      </c>
      <c r="B3067" s="2" t="s">
        <v>7036</v>
      </c>
      <c r="C3067" s="2" t="s">
        <v>26</v>
      </c>
      <c r="D3067" s="2" t="s">
        <v>56</v>
      </c>
      <c r="E3067" s="5">
        <v>-30393</v>
      </c>
      <c r="F3067" s="3" t="s">
        <v>202</v>
      </c>
      <c r="G3067" s="3" t="s">
        <v>47</v>
      </c>
      <c r="H3067" s="2" t="s">
        <v>21</v>
      </c>
      <c r="I3067" s="2" t="s">
        <v>7037</v>
      </c>
      <c r="J3067" s="3" t="str">
        <f>HYPERLINK("https://www.boe.es/gazeta/dias/1816/10/13/pdfs/GMD-1816-128E.pdf#page=5","Abrir facsímil")</f>
        <v>Abrir facsímil</v>
      </c>
      <c r="K3067" s="3" t="s">
        <v>23</v>
      </c>
    </row>
    <row r="3068" spans="1:11" ht="42" customHeight="1">
      <c r="A3068" s="2" t="s">
        <v>7038</v>
      </c>
      <c r="B3068" s="2" t="s">
        <v>7039</v>
      </c>
      <c r="C3068" s="2" t="s">
        <v>41</v>
      </c>
      <c r="D3068" s="2" t="s">
        <v>18</v>
      </c>
      <c r="E3068" s="5">
        <v>-30475</v>
      </c>
      <c r="F3068" s="3" t="s">
        <v>319</v>
      </c>
      <c r="G3068" s="3" t="s">
        <v>2731</v>
      </c>
      <c r="H3068" s="2" t="s">
        <v>21</v>
      </c>
      <c r="I3068" s="2" t="s">
        <v>7040</v>
      </c>
      <c r="J3068" s="3" t="str">
        <f>HYPERLINK("https://www.boe.es/gazeta/dias/1816/07/23/pdfs/GMD-1816-91.pdf#page=6","Abrir facsímil")</f>
        <v>Abrir facsímil</v>
      </c>
      <c r="K3068" s="3" t="s">
        <v>23</v>
      </c>
    </row>
    <row r="3069" spans="1:11" ht="42" customHeight="1">
      <c r="A3069" s="2" t="s">
        <v>7041</v>
      </c>
      <c r="B3069" s="2" t="s">
        <v>7042</v>
      </c>
      <c r="C3069" s="2" t="s">
        <v>34</v>
      </c>
      <c r="D3069" s="2" t="s">
        <v>35</v>
      </c>
      <c r="E3069" s="5">
        <v>-30487</v>
      </c>
      <c r="F3069" s="3" t="s">
        <v>397</v>
      </c>
      <c r="G3069" s="3" t="s">
        <v>52</v>
      </c>
      <c r="H3069" s="2" t="s">
        <v>21</v>
      </c>
      <c r="I3069" s="2" t="s">
        <v>7043</v>
      </c>
      <c r="J3069" s="3" t="str">
        <f>HYPERLINK("https://www.boe.es/gazeta/dias/1816/07/11/pdfs/GMD-1816-86.pdf#page=12","Abrir facsímil")</f>
        <v>Abrir facsímil</v>
      </c>
      <c r="K3069" s="3" t="s">
        <v>23</v>
      </c>
    </row>
    <row r="3070" spans="1:11" ht="42" customHeight="1">
      <c r="A3070" s="2" t="s">
        <v>7044</v>
      </c>
      <c r="B3070" s="2" t="s">
        <v>7044</v>
      </c>
      <c r="C3070" s="2" t="s">
        <v>111</v>
      </c>
      <c r="D3070" s="2" t="s">
        <v>112</v>
      </c>
      <c r="E3070" s="5">
        <v>-30342</v>
      </c>
      <c r="F3070" s="3" t="s">
        <v>116</v>
      </c>
      <c r="G3070" s="3" t="s">
        <v>270</v>
      </c>
      <c r="H3070" s="2" t="s">
        <v>21</v>
      </c>
      <c r="I3070" s="2" t="s">
        <v>7045</v>
      </c>
      <c r="J3070" s="3" t="str">
        <f>HYPERLINK("https://www.boe.es/gazeta/dias/1816/12/03/pdfs/GMD-1816-150.pdf#page=2","Abrir facsímil")</f>
        <v>Abrir facsímil</v>
      </c>
      <c r="K3070" s="3" t="s">
        <v>23</v>
      </c>
    </row>
    <row r="3071" spans="1:11" ht="42" customHeight="1">
      <c r="A3071" s="2" t="s">
        <v>7046</v>
      </c>
      <c r="B3071" s="2" t="s">
        <v>7047</v>
      </c>
      <c r="C3071" s="2" t="s">
        <v>34</v>
      </c>
      <c r="D3071" s="2" t="s">
        <v>56</v>
      </c>
      <c r="E3071" s="5">
        <v>-30393</v>
      </c>
      <c r="F3071" s="3" t="s">
        <v>202</v>
      </c>
      <c r="G3071" s="3" t="s">
        <v>42</v>
      </c>
      <c r="H3071" s="2" t="s">
        <v>21</v>
      </c>
      <c r="I3071" s="2" t="s">
        <v>7048</v>
      </c>
      <c r="J3071" s="3" t="str">
        <f>HYPERLINK("https://www.boe.es/gazeta/dias/1816/10/13/pdfs/GMD-1816-128E.pdf#page=8","Abrir facsímil")</f>
        <v>Abrir facsímil</v>
      </c>
      <c r="K3071" s="3" t="s">
        <v>23</v>
      </c>
    </row>
    <row r="3072" spans="1:11" ht="42" customHeight="1">
      <c r="A3072" s="2" t="s">
        <v>7049</v>
      </c>
      <c r="B3072" s="2" t="s">
        <v>7050</v>
      </c>
      <c r="C3072" s="2" t="s">
        <v>81</v>
      </c>
      <c r="D3072" s="2" t="s">
        <v>18</v>
      </c>
      <c r="E3072" s="5">
        <v>-30384</v>
      </c>
      <c r="F3072" s="3" t="s">
        <v>460</v>
      </c>
      <c r="G3072" s="3" t="s">
        <v>42</v>
      </c>
      <c r="H3072" s="2" t="s">
        <v>21</v>
      </c>
      <c r="I3072" s="2" t="s">
        <v>7051</v>
      </c>
      <c r="J3072" s="3" t="str">
        <f>HYPERLINK("https://www.boe.es/gazeta/dias/1816/10/22/pdfs/GMD-1816-132.pdf#page=8","Abrir facsímil")</f>
        <v>Abrir facsímil</v>
      </c>
      <c r="K3072" s="3" t="s">
        <v>23</v>
      </c>
    </row>
    <row r="3073" spans="1:11" ht="42" customHeight="1">
      <c r="A3073" s="2" t="s">
        <v>7052</v>
      </c>
      <c r="B3073" s="2" t="s">
        <v>7052</v>
      </c>
      <c r="C3073" s="2" t="s">
        <v>111</v>
      </c>
      <c r="D3073" s="2" t="s">
        <v>112</v>
      </c>
      <c r="E3073" s="5">
        <v>-30632</v>
      </c>
      <c r="F3073" s="3" t="s">
        <v>89</v>
      </c>
      <c r="G3073" s="3" t="s">
        <v>184</v>
      </c>
      <c r="H3073" s="2" t="s">
        <v>21</v>
      </c>
      <c r="I3073" s="2" t="s">
        <v>7053</v>
      </c>
      <c r="J3073" s="3" t="str">
        <f>HYPERLINK("https://www.boe.es/gazeta/dias/1816/02/17/pdfs/GMD-1816-22.pdf#page=3","Abrir facsímil")</f>
        <v>Abrir facsímil</v>
      </c>
      <c r="K3073" s="3" t="s">
        <v>23</v>
      </c>
    </row>
    <row r="3074" spans="1:11" ht="42" customHeight="1">
      <c r="A3074" s="2" t="s">
        <v>7054</v>
      </c>
      <c r="B3074" s="2" t="s">
        <v>7055</v>
      </c>
      <c r="C3074" s="2" t="s">
        <v>67</v>
      </c>
      <c r="D3074" s="2" t="s">
        <v>18</v>
      </c>
      <c r="E3074" s="5">
        <v>-30401</v>
      </c>
      <c r="F3074" s="3" t="s">
        <v>652</v>
      </c>
      <c r="G3074" s="3" t="s">
        <v>103</v>
      </c>
      <c r="H3074" s="2" t="s">
        <v>21</v>
      </c>
      <c r="I3074" s="2" t="s">
        <v>7056</v>
      </c>
      <c r="J3074" s="3" t="str">
        <f>HYPERLINK("https://www.boe.es/gazeta/dias/1816/10/05/pdfs/GMD-1816-123.pdf#page=4","Abrir facsímil")</f>
        <v>Abrir facsímil</v>
      </c>
      <c r="K3074" s="3" t="s">
        <v>23</v>
      </c>
    </row>
    <row r="3075" spans="1:11" ht="42" customHeight="1">
      <c r="A3075" s="2" t="s">
        <v>7057</v>
      </c>
      <c r="B3075" s="2" t="s">
        <v>7057</v>
      </c>
      <c r="C3075" s="2" t="s">
        <v>34</v>
      </c>
      <c r="D3075" s="2" t="s">
        <v>35</v>
      </c>
      <c r="E3075" s="5">
        <v>-30522</v>
      </c>
      <c r="F3075" s="3" t="s">
        <v>282</v>
      </c>
      <c r="G3075" s="3" t="s">
        <v>5310</v>
      </c>
      <c r="H3075" s="2" t="s">
        <v>21</v>
      </c>
      <c r="I3075" s="2" t="s">
        <v>7058</v>
      </c>
      <c r="J3075" s="3" t="str">
        <f>HYPERLINK("https://www.boe.es/gazeta/dias/1816/06/06/pdfs/GMD-1816-71.pdf#page=4","Abrir facsímil")</f>
        <v>Abrir facsímil</v>
      </c>
      <c r="K3075" s="3" t="s">
        <v>23</v>
      </c>
    </row>
    <row r="3076" spans="1:11" ht="42" customHeight="1">
      <c r="A3076" s="2" t="s">
        <v>7059</v>
      </c>
      <c r="B3076" s="2" t="s">
        <v>7060</v>
      </c>
      <c r="C3076" s="2" t="s">
        <v>67</v>
      </c>
      <c r="D3076" s="2" t="s">
        <v>18</v>
      </c>
      <c r="E3076" s="5">
        <v>-30478</v>
      </c>
      <c r="F3076" s="3" t="s">
        <v>123</v>
      </c>
      <c r="G3076" s="3" t="s">
        <v>2092</v>
      </c>
      <c r="H3076" s="2" t="s">
        <v>21</v>
      </c>
      <c r="I3076" s="2" t="s">
        <v>7061</v>
      </c>
      <c r="J3076" s="3" t="str">
        <f>HYPERLINK("https://www.boe.es/gazeta/dias/1816/07/20/pdfs/GMD-1816-90.pdf#page=5","Abrir facsímil")</f>
        <v>Abrir facsímil</v>
      </c>
      <c r="K3076" s="3" t="s">
        <v>23</v>
      </c>
    </row>
    <row r="3077" spans="1:11" ht="42" customHeight="1">
      <c r="A3077" s="2" t="s">
        <v>7062</v>
      </c>
      <c r="B3077" s="2" t="s">
        <v>7063</v>
      </c>
      <c r="C3077" s="2" t="s">
        <v>34</v>
      </c>
      <c r="D3077" s="2" t="s">
        <v>35</v>
      </c>
      <c r="E3077" s="5">
        <v>-30429</v>
      </c>
      <c r="F3077" s="3" t="s">
        <v>598</v>
      </c>
      <c r="G3077" s="3" t="s">
        <v>184</v>
      </c>
      <c r="H3077" s="2" t="s">
        <v>21</v>
      </c>
      <c r="I3077" s="2" t="s">
        <v>7064</v>
      </c>
      <c r="J3077" s="3" t="str">
        <f>HYPERLINK("https://www.boe.es/gazeta/dias/1816/09/07/pdfs/GMD-1816-111.pdf#page=3","Abrir facsímil")</f>
        <v>Abrir facsímil</v>
      </c>
      <c r="K3077" s="3" t="s">
        <v>23</v>
      </c>
    </row>
    <row r="3078" spans="1:11" ht="42" customHeight="1">
      <c r="A3078" s="2" t="s">
        <v>7065</v>
      </c>
      <c r="B3078" s="2" t="s">
        <v>7065</v>
      </c>
      <c r="C3078" s="2" t="s">
        <v>34</v>
      </c>
      <c r="D3078" s="2" t="s">
        <v>35</v>
      </c>
      <c r="E3078" s="5">
        <v>-30576</v>
      </c>
      <c r="F3078" s="3" t="s">
        <v>353</v>
      </c>
      <c r="G3078" s="3" t="s">
        <v>184</v>
      </c>
      <c r="H3078" s="2" t="s">
        <v>21</v>
      </c>
      <c r="I3078" s="2" t="s">
        <v>7066</v>
      </c>
      <c r="J3078" s="3" t="str">
        <f>HYPERLINK("https://www.boe.es/gazeta/dias/1816/04/13/pdfs/GMD-1816-48.pdf#page=3","Abrir facsímil")</f>
        <v>Abrir facsímil</v>
      </c>
      <c r="K3078" s="3" t="s">
        <v>23</v>
      </c>
    </row>
    <row r="3079" spans="1:11" ht="42" customHeight="1">
      <c r="A3079" s="2" t="s">
        <v>7067</v>
      </c>
      <c r="B3079" s="2" t="s">
        <v>7067</v>
      </c>
      <c r="C3079" s="2" t="s">
        <v>34</v>
      </c>
      <c r="D3079" s="2" t="s">
        <v>35</v>
      </c>
      <c r="E3079" s="5">
        <v>-30499</v>
      </c>
      <c r="F3079" s="3" t="s">
        <v>971</v>
      </c>
      <c r="G3079" s="3" t="s">
        <v>58</v>
      </c>
      <c r="H3079" s="2" t="s">
        <v>21</v>
      </c>
      <c r="I3079" s="2" t="s">
        <v>7068</v>
      </c>
      <c r="J3079" s="3" t="str">
        <f>HYPERLINK("https://www.boe.es/gazeta/dias/1816/06/29/pdfs/GMD-1816-81.pdf#page=1","Abrir facsímil")</f>
        <v>Abrir facsímil</v>
      </c>
      <c r="K3079" s="3" t="s">
        <v>23</v>
      </c>
    </row>
    <row r="3080" spans="1:11" ht="42" customHeight="1">
      <c r="A3080" s="2" t="s">
        <v>7069</v>
      </c>
      <c r="B3080" s="2" t="s">
        <v>7069</v>
      </c>
      <c r="C3080" s="2" t="s">
        <v>34</v>
      </c>
      <c r="D3080" s="2" t="s">
        <v>35</v>
      </c>
      <c r="E3080" s="5">
        <v>-30548</v>
      </c>
      <c r="F3080" s="3" t="s">
        <v>472</v>
      </c>
      <c r="G3080" s="3" t="s">
        <v>184</v>
      </c>
      <c r="H3080" s="2" t="s">
        <v>21</v>
      </c>
      <c r="I3080" s="2" t="s">
        <v>7070</v>
      </c>
      <c r="J3080" s="3" t="str">
        <f>HYPERLINK("https://www.boe.es/gazeta/dias/1816/05/11/pdfs/GMD-1816-60.pdf#page=3","Abrir facsímil")</f>
        <v>Abrir facsímil</v>
      </c>
      <c r="K3080" s="3" t="s">
        <v>23</v>
      </c>
    </row>
    <row r="3081" spans="1:11" ht="42" customHeight="1">
      <c r="A3081" s="2" t="s">
        <v>7071</v>
      </c>
      <c r="B3081" s="2" t="s">
        <v>7071</v>
      </c>
      <c r="C3081" s="2" t="s">
        <v>34</v>
      </c>
      <c r="D3081" s="2" t="s">
        <v>35</v>
      </c>
      <c r="E3081" s="5">
        <v>-30639</v>
      </c>
      <c r="F3081" s="3" t="s">
        <v>87</v>
      </c>
      <c r="G3081" s="3" t="s">
        <v>7072</v>
      </c>
      <c r="H3081" s="2" t="s">
        <v>21</v>
      </c>
      <c r="I3081" s="2" t="s">
        <v>7073</v>
      </c>
      <c r="J3081" s="3" t="str">
        <f>HYPERLINK("https://www.boe.es/gazeta/dias/1816/02/10/pdfs/GMD-1816-19.pdf#page=4","Abrir facsímil")</f>
        <v>Abrir facsímil</v>
      </c>
      <c r="K3081" s="3" t="s">
        <v>23</v>
      </c>
    </row>
    <row r="3082" spans="1:11" ht="42" customHeight="1">
      <c r="A3082" s="2" t="s">
        <v>7074</v>
      </c>
      <c r="B3082" s="2" t="s">
        <v>7074</v>
      </c>
      <c r="C3082" s="2" t="s">
        <v>34</v>
      </c>
      <c r="D3082" s="2" t="s">
        <v>35</v>
      </c>
      <c r="E3082" s="5">
        <v>-30468</v>
      </c>
      <c r="F3082" s="3" t="s">
        <v>383</v>
      </c>
      <c r="G3082" s="3" t="s">
        <v>184</v>
      </c>
      <c r="H3082" s="2" t="s">
        <v>21</v>
      </c>
      <c r="I3082" s="2" t="s">
        <v>7075</v>
      </c>
      <c r="J3082" s="3" t="str">
        <f>HYPERLINK("https://www.boe.es/gazeta/dias/1816/07/30/pdfs/GMD-1816-94.pdf#page=3","Abrir facsímil")</f>
        <v>Abrir facsímil</v>
      </c>
      <c r="K3082" s="3" t="s">
        <v>23</v>
      </c>
    </row>
    <row r="3083" spans="1:11" ht="42" customHeight="1">
      <c r="A3083" s="2" t="s">
        <v>7076</v>
      </c>
      <c r="B3083" s="2" t="s">
        <v>7077</v>
      </c>
      <c r="C3083" s="2" t="s">
        <v>26</v>
      </c>
      <c r="D3083" s="2" t="s">
        <v>18</v>
      </c>
      <c r="E3083" s="5">
        <v>-30608</v>
      </c>
      <c r="F3083" s="3" t="s">
        <v>550</v>
      </c>
      <c r="G3083" s="3" t="s">
        <v>72</v>
      </c>
      <c r="H3083" s="2" t="s">
        <v>21</v>
      </c>
      <c r="I3083" s="2" t="s">
        <v>7078</v>
      </c>
      <c r="J3083" s="3" t="str">
        <f>HYPERLINK("https://www.boe.es/gazeta/dias/1816/03/12/pdfs/GMD-1816-33.pdf#page=7","Abrir facsímil")</f>
        <v>Abrir facsímil</v>
      </c>
      <c r="K3083" s="3" t="s">
        <v>23</v>
      </c>
    </row>
    <row r="3084" spans="1:11" ht="42" customHeight="1">
      <c r="A3084" s="2" t="s">
        <v>7079</v>
      </c>
      <c r="B3084" s="2" t="s">
        <v>7079</v>
      </c>
      <c r="C3084" s="2" t="s">
        <v>26</v>
      </c>
      <c r="D3084" s="2" t="s">
        <v>18</v>
      </c>
      <c r="E3084" s="5">
        <v>-30342</v>
      </c>
      <c r="F3084" s="3" t="s">
        <v>116</v>
      </c>
      <c r="G3084" s="3" t="s">
        <v>184</v>
      </c>
      <c r="H3084" s="2" t="s">
        <v>21</v>
      </c>
      <c r="I3084" s="2" t="s">
        <v>7080</v>
      </c>
      <c r="J3084" s="3" t="str">
        <f>HYPERLINK("https://www.boe.es/gazeta/dias/1816/12/03/pdfs/GMD-1816-150.pdf#page=3","Abrir facsímil")</f>
        <v>Abrir facsímil</v>
      </c>
      <c r="K3084" s="3" t="s">
        <v>23</v>
      </c>
    </row>
    <row r="3085" spans="1:11" ht="42" customHeight="1">
      <c r="A3085" s="2" t="s">
        <v>7081</v>
      </c>
      <c r="B3085" s="2" t="s">
        <v>7082</v>
      </c>
      <c r="C3085" s="2" t="s">
        <v>34</v>
      </c>
      <c r="D3085" s="2" t="s">
        <v>35</v>
      </c>
      <c r="E3085" s="5">
        <v>-30655</v>
      </c>
      <c r="F3085" s="3" t="s">
        <v>170</v>
      </c>
      <c r="G3085" s="3" t="s">
        <v>72</v>
      </c>
      <c r="H3085" s="2" t="s">
        <v>21</v>
      </c>
      <c r="I3085" s="2" t="s">
        <v>7083</v>
      </c>
      <c r="J3085" s="3" t="str">
        <f>HYPERLINK("https://www.boe.es/gazeta/dias/1816/01/25/pdfs/GMD-1816-11.pdf#page=7","Abrir facsímil")</f>
        <v>Abrir facsímil</v>
      </c>
      <c r="K3085" s="3" t="s">
        <v>23</v>
      </c>
    </row>
    <row r="3086" spans="1:11" ht="42" customHeight="1">
      <c r="A3086" s="2" t="s">
        <v>7084</v>
      </c>
      <c r="B3086" s="2" t="s">
        <v>7084</v>
      </c>
      <c r="C3086" s="2" t="s">
        <v>34</v>
      </c>
      <c r="D3086" s="2" t="s">
        <v>35</v>
      </c>
      <c r="E3086" s="5">
        <v>-30517</v>
      </c>
      <c r="F3086" s="3" t="s">
        <v>557</v>
      </c>
      <c r="G3086" s="3" t="s">
        <v>270</v>
      </c>
      <c r="H3086" s="2" t="s">
        <v>21</v>
      </c>
      <c r="I3086" s="2" t="s">
        <v>7085</v>
      </c>
      <c r="J3086" s="3" t="str">
        <f>HYPERLINK("https://www.boe.es/gazeta/dias/1816/06/11/pdfs/GMD-1816-73.pdf#page=2","Abrir facsímil")</f>
        <v>Abrir facsímil</v>
      </c>
      <c r="K3086" s="3" t="s">
        <v>23</v>
      </c>
    </row>
    <row r="3087" spans="1:11" ht="42" customHeight="1">
      <c r="A3087" s="2" t="s">
        <v>7086</v>
      </c>
      <c r="B3087" s="2" t="s">
        <v>7087</v>
      </c>
      <c r="C3087" s="2" t="s">
        <v>111</v>
      </c>
      <c r="D3087" s="2" t="s">
        <v>112</v>
      </c>
      <c r="E3087" s="5">
        <v>-30678</v>
      </c>
      <c r="F3087" s="3" t="s">
        <v>76</v>
      </c>
      <c r="G3087" s="3" t="s">
        <v>103</v>
      </c>
      <c r="H3087" s="2" t="s">
        <v>21</v>
      </c>
      <c r="I3087" s="2" t="s">
        <v>7088</v>
      </c>
      <c r="J3087" s="3" t="str">
        <f>HYPERLINK("https://www.boe.es/gazeta/dias/1816/01/02/pdfs/GMD-1816-1.pdf#page=4","Abrir facsímil")</f>
        <v>Abrir facsímil</v>
      </c>
      <c r="K3087" s="3" t="s">
        <v>23</v>
      </c>
    </row>
    <row r="3088" spans="1:11" ht="42" customHeight="1">
      <c r="A3088" s="2" t="s">
        <v>7089</v>
      </c>
      <c r="B3088" s="2" t="s">
        <v>7090</v>
      </c>
      <c r="C3088" s="2" t="s">
        <v>26</v>
      </c>
      <c r="D3088" s="2" t="s">
        <v>18</v>
      </c>
      <c r="E3088" s="5">
        <v>-30429</v>
      </c>
      <c r="F3088" s="3" t="s">
        <v>598</v>
      </c>
      <c r="G3088" s="3" t="s">
        <v>103</v>
      </c>
      <c r="H3088" s="2" t="s">
        <v>21</v>
      </c>
      <c r="I3088" s="2" t="s">
        <v>7091</v>
      </c>
      <c r="J3088" s="3" t="str">
        <f>HYPERLINK("https://www.boe.es/gazeta/dias/1816/09/07/pdfs/GMD-1816-111.pdf#page=4","Abrir facsímil")</f>
        <v>Abrir facsímil</v>
      </c>
      <c r="K3088" s="3" t="s">
        <v>23</v>
      </c>
    </row>
    <row r="3089" spans="1:11" ht="42" customHeight="1">
      <c r="A3089" s="2" t="s">
        <v>7092</v>
      </c>
      <c r="B3089" s="2" t="s">
        <v>7093</v>
      </c>
      <c r="C3089" s="2" t="s">
        <v>111</v>
      </c>
      <c r="D3089" s="2" t="s">
        <v>112</v>
      </c>
      <c r="E3089" s="5">
        <v>-30513</v>
      </c>
      <c r="F3089" s="3" t="s">
        <v>582</v>
      </c>
      <c r="G3089" s="3" t="s">
        <v>1129</v>
      </c>
      <c r="H3089" s="2" t="s">
        <v>21</v>
      </c>
      <c r="I3089" s="2" t="s">
        <v>7094</v>
      </c>
      <c r="J3089" s="3" t="str">
        <f>HYPERLINK("https://www.boe.es/gazeta/dias/1816/06/15/pdfs/GMD-1816-75.pdf#page=4","Abrir facsímil")</f>
        <v>Abrir facsímil</v>
      </c>
      <c r="K3089" s="3" t="s">
        <v>23</v>
      </c>
    </row>
    <row r="3090" spans="1:11" ht="42" customHeight="1">
      <c r="A3090" s="2" t="s">
        <v>7095</v>
      </c>
      <c r="B3090" s="2" t="s">
        <v>7096</v>
      </c>
      <c r="C3090" s="2" t="s">
        <v>26</v>
      </c>
      <c r="D3090" s="2" t="s">
        <v>18</v>
      </c>
      <c r="E3090" s="5">
        <v>-30548</v>
      </c>
      <c r="F3090" s="3" t="s">
        <v>472</v>
      </c>
      <c r="G3090" s="3" t="s">
        <v>5330</v>
      </c>
      <c r="H3090" s="2" t="s">
        <v>21</v>
      </c>
      <c r="I3090" s="2" t="s">
        <v>7097</v>
      </c>
      <c r="J3090" s="3" t="str">
        <f>HYPERLINK("https://www.boe.es/gazeta/dias/1816/05/11/pdfs/GMD-1816-60.pdf#page=7","Abrir facsímil")</f>
        <v>Abrir facsímil</v>
      </c>
      <c r="K3090" s="3" t="s">
        <v>23</v>
      </c>
    </row>
    <row r="3091" spans="1:11" ht="42" customHeight="1">
      <c r="A3091" s="2" t="s">
        <v>7098</v>
      </c>
      <c r="B3091" s="2" t="s">
        <v>7099</v>
      </c>
      <c r="C3091" s="2" t="s">
        <v>34</v>
      </c>
      <c r="D3091" s="2" t="s">
        <v>35</v>
      </c>
      <c r="E3091" s="5">
        <v>-30482</v>
      </c>
      <c r="F3091" s="3" t="s">
        <v>370</v>
      </c>
      <c r="G3091" s="3" t="s">
        <v>103</v>
      </c>
      <c r="H3091" s="2" t="s">
        <v>21</v>
      </c>
      <c r="I3091" s="2" t="s">
        <v>7100</v>
      </c>
      <c r="J3091" s="3" t="str">
        <f>HYPERLINK("https://www.boe.es/gazeta/dias/1816/07/16/pdfs/GMD-1816-88.pdf#page=4","Abrir facsímil")</f>
        <v>Abrir facsímil</v>
      </c>
      <c r="K3091" s="3" t="s">
        <v>23</v>
      </c>
    </row>
    <row r="3092" spans="1:11" ht="42" customHeight="1">
      <c r="A3092" s="2" t="s">
        <v>7101</v>
      </c>
      <c r="B3092" s="2" t="s">
        <v>7102</v>
      </c>
      <c r="C3092" s="2" t="s">
        <v>26</v>
      </c>
      <c r="D3092" s="2" t="s">
        <v>18</v>
      </c>
      <c r="E3092" s="5">
        <v>-30450</v>
      </c>
      <c r="F3092" s="3" t="s">
        <v>349</v>
      </c>
      <c r="G3092" s="3" t="s">
        <v>28</v>
      </c>
      <c r="H3092" s="2" t="s">
        <v>21</v>
      </c>
      <c r="I3092" s="2" t="s">
        <v>7103</v>
      </c>
      <c r="J3092" s="3" t="str">
        <f>HYPERLINK("https://www.boe.es/gazeta/dias/1816/08/17/pdfs/GMD-1816-102.pdf#page=6","Abrir facsímil")</f>
        <v>Abrir facsímil</v>
      </c>
      <c r="K3092" s="3" t="s">
        <v>23</v>
      </c>
    </row>
    <row r="3093" spans="1:11" ht="42" customHeight="1">
      <c r="A3093" s="2" t="s">
        <v>7104</v>
      </c>
      <c r="B3093" s="2" t="s">
        <v>7105</v>
      </c>
      <c r="C3093" s="2" t="s">
        <v>67</v>
      </c>
      <c r="D3093" s="2" t="s">
        <v>18</v>
      </c>
      <c r="E3093" s="5">
        <v>-30585</v>
      </c>
      <c r="F3093" s="3" t="s">
        <v>633</v>
      </c>
      <c r="G3093" s="3" t="s">
        <v>42</v>
      </c>
      <c r="H3093" s="2" t="s">
        <v>21</v>
      </c>
      <c r="I3093" s="2" t="s">
        <v>7106</v>
      </c>
      <c r="J3093" s="3" t="str">
        <f>HYPERLINK("https://www.boe.es/gazeta/dias/1816/04/04/pdfs/GMD-1816-44.pdf#page=8","Abrir facsímil")</f>
        <v>Abrir facsímil</v>
      </c>
      <c r="K3093" s="3" t="s">
        <v>23</v>
      </c>
    </row>
    <row r="3094" spans="1:11" ht="42" customHeight="1">
      <c r="A3094" s="2" t="s">
        <v>7107</v>
      </c>
      <c r="B3094" s="2" t="s">
        <v>7108</v>
      </c>
      <c r="C3094" s="2" t="s">
        <v>26</v>
      </c>
      <c r="D3094" s="2" t="s">
        <v>18</v>
      </c>
      <c r="E3094" s="5">
        <v>-30436</v>
      </c>
      <c r="F3094" s="3" t="s">
        <v>102</v>
      </c>
      <c r="G3094" s="3" t="s">
        <v>184</v>
      </c>
      <c r="H3094" s="2" t="s">
        <v>21</v>
      </c>
      <c r="I3094" s="2" t="s">
        <v>7109</v>
      </c>
      <c r="J3094" s="3" t="str">
        <f>HYPERLINK("https://www.boe.es/gazeta/dias/1816/08/31/pdfs/GMD-1816-108.pdf#page=3","Abrir facsímil")</f>
        <v>Abrir facsímil</v>
      </c>
      <c r="K3094" s="3" t="s">
        <v>23</v>
      </c>
    </row>
    <row r="3095" spans="1:11" ht="42" customHeight="1">
      <c r="A3095" s="2" t="s">
        <v>7110</v>
      </c>
      <c r="B3095" s="2" t="s">
        <v>7111</v>
      </c>
      <c r="C3095" s="2" t="s">
        <v>111</v>
      </c>
      <c r="D3095" s="2" t="s">
        <v>112</v>
      </c>
      <c r="E3095" s="5">
        <v>-30632</v>
      </c>
      <c r="F3095" s="3" t="s">
        <v>89</v>
      </c>
      <c r="G3095" s="3" t="s">
        <v>42</v>
      </c>
      <c r="H3095" s="2" t="s">
        <v>21</v>
      </c>
      <c r="I3095" s="2" t="s">
        <v>7112</v>
      </c>
      <c r="J3095" s="3" t="str">
        <f>HYPERLINK("https://www.boe.es/gazeta/dias/1816/02/17/pdfs/GMD-1816-22.pdf#page=8","Abrir facsímil")</f>
        <v>Abrir facsímil</v>
      </c>
      <c r="K3095" s="3" t="s">
        <v>23</v>
      </c>
    </row>
    <row r="3096" spans="1:11" ht="42" customHeight="1">
      <c r="A3096" s="2" t="s">
        <v>7113</v>
      </c>
      <c r="B3096" s="2" t="s">
        <v>7114</v>
      </c>
      <c r="C3096" s="2" t="s">
        <v>111</v>
      </c>
      <c r="D3096" s="2" t="s">
        <v>112</v>
      </c>
      <c r="E3096" s="5">
        <v>-30655</v>
      </c>
      <c r="F3096" s="3" t="s">
        <v>170</v>
      </c>
      <c r="G3096" s="3" t="s">
        <v>42</v>
      </c>
      <c r="H3096" s="2" t="s">
        <v>21</v>
      </c>
      <c r="I3096" s="2" t="s">
        <v>7115</v>
      </c>
      <c r="J3096" s="3" t="str">
        <f>HYPERLINK("https://www.boe.es/gazeta/dias/1816/01/25/pdfs/GMD-1816-11.pdf#page=8","Abrir facsímil")</f>
        <v>Abrir facsímil</v>
      </c>
      <c r="K3096" s="3" t="s">
        <v>23</v>
      </c>
    </row>
    <row r="3097" spans="1:11" ht="42" customHeight="1">
      <c r="A3097" s="2" t="s">
        <v>7113</v>
      </c>
      <c r="B3097" s="2" t="s">
        <v>7114</v>
      </c>
      <c r="C3097" s="2" t="s">
        <v>111</v>
      </c>
      <c r="D3097" s="2" t="s">
        <v>112</v>
      </c>
      <c r="E3097" s="5">
        <v>-30608</v>
      </c>
      <c r="F3097" s="3" t="s">
        <v>550</v>
      </c>
      <c r="G3097" s="3" t="s">
        <v>42</v>
      </c>
      <c r="H3097" s="2" t="s">
        <v>21</v>
      </c>
      <c r="I3097" s="2" t="s">
        <v>7116</v>
      </c>
      <c r="J3097" s="3" t="str">
        <f>HYPERLINK("https://www.boe.es/gazeta/dias/1816/03/12/pdfs/GMD-1816-33.pdf#page=8","Abrir facsímil")</f>
        <v>Abrir facsímil</v>
      </c>
      <c r="K3097" s="3" t="s">
        <v>23</v>
      </c>
    </row>
    <row r="3098" spans="1:11" ht="42" customHeight="1">
      <c r="A3098" s="2" t="s">
        <v>7113</v>
      </c>
      <c r="B3098" s="2" t="s">
        <v>7114</v>
      </c>
      <c r="C3098" s="2" t="s">
        <v>17</v>
      </c>
      <c r="D3098" s="2" t="s">
        <v>18</v>
      </c>
      <c r="E3098" s="5">
        <v>-30555</v>
      </c>
      <c r="F3098" s="3" t="s">
        <v>345</v>
      </c>
      <c r="G3098" s="3" t="s">
        <v>42</v>
      </c>
      <c r="H3098" s="2" t="s">
        <v>21</v>
      </c>
      <c r="I3098" s="2" t="s">
        <v>7117</v>
      </c>
      <c r="J3098" s="3" t="str">
        <f>HYPERLINK("https://www.boe.es/gazeta/dias/1816/05/04/pdfs/GMD-1816-57.pdf#page=8","Abrir facsímil")</f>
        <v>Abrir facsímil</v>
      </c>
      <c r="K3098" s="3" t="s">
        <v>23</v>
      </c>
    </row>
    <row r="3099" spans="1:11" ht="42" customHeight="1">
      <c r="A3099" s="2" t="s">
        <v>7118</v>
      </c>
      <c r="B3099" s="2" t="s">
        <v>7119</v>
      </c>
      <c r="C3099" s="2" t="s">
        <v>17</v>
      </c>
      <c r="D3099" s="2" t="s">
        <v>18</v>
      </c>
      <c r="E3099" s="5">
        <v>-30501</v>
      </c>
      <c r="F3099" s="3" t="s">
        <v>475</v>
      </c>
      <c r="G3099" s="3" t="s">
        <v>1735</v>
      </c>
      <c r="H3099" s="2" t="s">
        <v>21</v>
      </c>
      <c r="I3099" s="2" t="s">
        <v>7120</v>
      </c>
      <c r="J3099" s="3" t="str">
        <f>HYPERLINK("https://www.boe.es/gazeta/dias/1816/06/27/pdfs/GMD-1816-80.pdf#page=8","Abrir facsímil")</f>
        <v>Abrir facsímil</v>
      </c>
      <c r="K3099" s="3" t="s">
        <v>23</v>
      </c>
    </row>
    <row r="3100" spans="1:11" ht="42" customHeight="1">
      <c r="A3100" s="2" t="s">
        <v>7121</v>
      </c>
      <c r="B3100" s="2" t="s">
        <v>7121</v>
      </c>
      <c r="C3100" s="2" t="s">
        <v>34</v>
      </c>
      <c r="D3100" s="2" t="s">
        <v>35</v>
      </c>
      <c r="E3100" s="5">
        <v>-30333</v>
      </c>
      <c r="F3100" s="3" t="s">
        <v>1005</v>
      </c>
      <c r="G3100" s="3" t="s">
        <v>184</v>
      </c>
      <c r="H3100" s="2" t="s">
        <v>21</v>
      </c>
      <c r="I3100" s="2" t="s">
        <v>7122</v>
      </c>
      <c r="J3100" s="3" t="str">
        <f>HYPERLINK("https://www.boe.es/gazeta/dias/1816/12/12/pdfs/GMD-1816-154.pdf#page=3","Abrir facsímil")</f>
        <v>Abrir facsímil</v>
      </c>
      <c r="K3100" s="3" t="s">
        <v>23</v>
      </c>
    </row>
    <row r="3101" spans="1:11" ht="42" customHeight="1">
      <c r="A3101" s="2" t="s">
        <v>7123</v>
      </c>
      <c r="B3101" s="2" t="s">
        <v>7124</v>
      </c>
      <c r="C3101" s="2" t="s">
        <v>67</v>
      </c>
      <c r="D3101" s="2" t="s">
        <v>18</v>
      </c>
      <c r="E3101" s="5">
        <v>-30394</v>
      </c>
      <c r="F3101" s="3" t="s">
        <v>589</v>
      </c>
      <c r="G3101" s="3" t="s">
        <v>72</v>
      </c>
      <c r="H3101" s="2" t="s">
        <v>21</v>
      </c>
      <c r="I3101" s="2" t="s">
        <v>7125</v>
      </c>
      <c r="J3101" s="3" t="str">
        <f>HYPERLINK("https://www.boe.es/gazeta/dias/1816/10/12/pdfs/GMD-1816-127.pdf#page=7","Abrir facsímil")</f>
        <v>Abrir facsímil</v>
      </c>
      <c r="K3101" s="3" t="s">
        <v>23</v>
      </c>
    </row>
    <row r="3102" spans="1:11" ht="42" customHeight="1">
      <c r="A3102" s="2" t="s">
        <v>7126</v>
      </c>
      <c r="B3102" s="2" t="s">
        <v>7127</v>
      </c>
      <c r="C3102" s="2" t="s">
        <v>34</v>
      </c>
      <c r="D3102" s="2" t="s">
        <v>35</v>
      </c>
      <c r="E3102" s="5">
        <v>-30604</v>
      </c>
      <c r="F3102" s="3" t="s">
        <v>488</v>
      </c>
      <c r="G3102" s="3" t="s">
        <v>489</v>
      </c>
      <c r="H3102" s="2" t="s">
        <v>21</v>
      </c>
      <c r="I3102" s="2" t="s">
        <v>7128</v>
      </c>
      <c r="J3102" s="3" t="str">
        <f>HYPERLINK("https://www.boe.es/gazeta/dias/1816/03/16/pdfs/GMD-1816-35.pdf#page=4","Abrir facsímil")</f>
        <v>Abrir facsímil</v>
      </c>
      <c r="K3102" s="3" t="s">
        <v>23</v>
      </c>
    </row>
    <row r="3103" spans="1:11" ht="42" customHeight="1">
      <c r="A3103" s="2" t="s">
        <v>7126</v>
      </c>
      <c r="B3103" s="2" t="s">
        <v>7127</v>
      </c>
      <c r="C3103" s="2" t="s">
        <v>34</v>
      </c>
      <c r="D3103" s="2" t="s">
        <v>35</v>
      </c>
      <c r="E3103" s="5">
        <v>-30604</v>
      </c>
      <c r="F3103" s="3" t="s">
        <v>488</v>
      </c>
      <c r="G3103" s="3" t="s">
        <v>47</v>
      </c>
      <c r="H3103" s="2" t="s">
        <v>21</v>
      </c>
      <c r="I3103" s="2" t="s">
        <v>7129</v>
      </c>
      <c r="J3103" s="3" t="str">
        <f>HYPERLINK("https://www.boe.es/gazeta/dias/1816/03/16/pdfs/GMD-1816-35.pdf#page=5","Abrir facsímil")</f>
        <v>Abrir facsímil</v>
      </c>
      <c r="K3103" s="3" t="s">
        <v>23</v>
      </c>
    </row>
    <row r="3104" spans="1:11" ht="42" customHeight="1">
      <c r="A3104" s="2" t="s">
        <v>7126</v>
      </c>
      <c r="B3104" s="2" t="s">
        <v>7127</v>
      </c>
      <c r="C3104" s="2" t="s">
        <v>111</v>
      </c>
      <c r="D3104" s="2" t="s">
        <v>112</v>
      </c>
      <c r="E3104" s="5">
        <v>-30438</v>
      </c>
      <c r="F3104" s="3" t="s">
        <v>299</v>
      </c>
      <c r="G3104" s="3" t="s">
        <v>92</v>
      </c>
      <c r="H3104" s="2" t="s">
        <v>21</v>
      </c>
      <c r="I3104" s="2" t="s">
        <v>7130</v>
      </c>
      <c r="J3104" s="3" t="str">
        <f>HYPERLINK("https://www.boe.es/gazeta/dias/1816/08/29/pdfs/GMD-1816-107.pdf#page=9","Abrir facsímil")</f>
        <v>Abrir facsímil</v>
      </c>
      <c r="K3104" s="3" t="s">
        <v>23</v>
      </c>
    </row>
    <row r="3105" spans="1:11" ht="42" customHeight="1">
      <c r="A3105" s="2" t="s">
        <v>7131</v>
      </c>
      <c r="B3105" s="2" t="s">
        <v>7132</v>
      </c>
      <c r="C3105" s="2" t="s">
        <v>26</v>
      </c>
      <c r="D3105" s="2" t="s">
        <v>18</v>
      </c>
      <c r="E3105" s="5">
        <v>-30366</v>
      </c>
      <c r="F3105" s="3" t="s">
        <v>179</v>
      </c>
      <c r="G3105" s="3" t="s">
        <v>28</v>
      </c>
      <c r="H3105" s="2" t="s">
        <v>21</v>
      </c>
      <c r="I3105" s="2" t="s">
        <v>7133</v>
      </c>
      <c r="J3105" s="3" t="str">
        <f>HYPERLINK("https://www.boe.es/gazeta/dias/1816/11/09/pdfs/GMD-1816-140.pdf#page=6","Abrir facsímil")</f>
        <v>Abrir facsímil</v>
      </c>
      <c r="K3105" s="3" t="s">
        <v>23</v>
      </c>
    </row>
    <row r="3106" spans="1:11" ht="42" customHeight="1">
      <c r="A3106" s="2" t="s">
        <v>7134</v>
      </c>
      <c r="B3106" s="2" t="s">
        <v>7134</v>
      </c>
      <c r="C3106" s="2" t="s">
        <v>111</v>
      </c>
      <c r="D3106" s="2" t="s">
        <v>112</v>
      </c>
      <c r="E3106" s="5">
        <v>-30669</v>
      </c>
      <c r="F3106" s="3" t="s">
        <v>3499</v>
      </c>
      <c r="G3106" s="3" t="s">
        <v>72</v>
      </c>
      <c r="H3106" s="2" t="s">
        <v>21</v>
      </c>
      <c r="I3106" s="2" t="s">
        <v>7135</v>
      </c>
      <c r="J3106" s="3" t="str">
        <f>HYPERLINK("https://www.boe.es/gazeta/dias/1816/01/11/pdfs/GMD-1816-5.pdf#page=7","Abrir facsímil")</f>
        <v>Abrir facsímil</v>
      </c>
      <c r="K3106" s="3" t="s">
        <v>23</v>
      </c>
    </row>
    <row r="3107" spans="1:11" ht="42" customHeight="1">
      <c r="A3107" s="2" t="s">
        <v>7134</v>
      </c>
      <c r="B3107" s="2" t="s">
        <v>7134</v>
      </c>
      <c r="C3107" s="2" t="s">
        <v>26</v>
      </c>
      <c r="D3107" s="2" t="s">
        <v>18</v>
      </c>
      <c r="E3107" s="5">
        <v>-30655</v>
      </c>
      <c r="F3107" s="3" t="s">
        <v>170</v>
      </c>
      <c r="G3107" s="3" t="s">
        <v>72</v>
      </c>
      <c r="H3107" s="2" t="s">
        <v>21</v>
      </c>
      <c r="I3107" s="2" t="s">
        <v>7136</v>
      </c>
      <c r="J3107" s="3" t="str">
        <f>HYPERLINK("https://www.boe.es/gazeta/dias/1816/01/25/pdfs/GMD-1816-11.pdf#page=7","Abrir facsímil")</f>
        <v>Abrir facsímil</v>
      </c>
      <c r="K3107" s="3" t="s">
        <v>23</v>
      </c>
    </row>
    <row r="3108" spans="1:11" ht="42" customHeight="1">
      <c r="A3108" s="2" t="s">
        <v>7134</v>
      </c>
      <c r="B3108" s="2" t="s">
        <v>7134</v>
      </c>
      <c r="C3108" s="2" t="s">
        <v>34</v>
      </c>
      <c r="D3108" s="2" t="s">
        <v>35</v>
      </c>
      <c r="E3108" s="5">
        <v>-30639</v>
      </c>
      <c r="F3108" s="3" t="s">
        <v>87</v>
      </c>
      <c r="G3108" s="3" t="s">
        <v>28</v>
      </c>
      <c r="H3108" s="2" t="s">
        <v>21</v>
      </c>
      <c r="I3108" s="2" t="s">
        <v>7137</v>
      </c>
      <c r="J3108" s="3" t="str">
        <f>HYPERLINK("https://www.boe.es/gazeta/dias/1816/02/10/pdfs/GMD-1816-19.pdf#page=6","Abrir facsímil")</f>
        <v>Abrir facsímil</v>
      </c>
      <c r="K3108" s="3" t="s">
        <v>23</v>
      </c>
    </row>
    <row r="3109" spans="1:11" ht="42" customHeight="1">
      <c r="A3109" s="2" t="s">
        <v>7134</v>
      </c>
      <c r="B3109" s="2" t="s">
        <v>7134</v>
      </c>
      <c r="C3109" s="2" t="s">
        <v>34</v>
      </c>
      <c r="D3109" s="2" t="s">
        <v>35</v>
      </c>
      <c r="E3109" s="5">
        <v>-30639</v>
      </c>
      <c r="F3109" s="3" t="s">
        <v>87</v>
      </c>
      <c r="G3109" s="3" t="s">
        <v>72</v>
      </c>
      <c r="H3109" s="2" t="s">
        <v>21</v>
      </c>
      <c r="I3109" s="2" t="s">
        <v>7138</v>
      </c>
      <c r="J3109" s="3" t="str">
        <f>HYPERLINK("https://www.boe.es/gazeta/dias/1816/02/10/pdfs/GMD-1816-19.pdf#page=7","Abrir facsímil")</f>
        <v>Abrir facsímil</v>
      </c>
      <c r="K3109" s="3" t="s">
        <v>23</v>
      </c>
    </row>
    <row r="3110" spans="1:11" ht="42" customHeight="1">
      <c r="A3110" s="2" t="s">
        <v>7134</v>
      </c>
      <c r="B3110" s="2" t="s">
        <v>7134</v>
      </c>
      <c r="C3110" s="2" t="s">
        <v>26</v>
      </c>
      <c r="D3110" s="2" t="s">
        <v>18</v>
      </c>
      <c r="E3110" s="5">
        <v>-30583</v>
      </c>
      <c r="F3110" s="3" t="s">
        <v>241</v>
      </c>
      <c r="G3110" s="3" t="s">
        <v>42</v>
      </c>
      <c r="H3110" s="2" t="s">
        <v>21</v>
      </c>
      <c r="I3110" s="2" t="s">
        <v>7139</v>
      </c>
      <c r="J3110" s="3" t="str">
        <f>HYPERLINK("https://www.boe.es/gazeta/dias/1816/04/06/pdfs/GMD-1816-45.pdf#page=8","Abrir facsímil")</f>
        <v>Abrir facsímil</v>
      </c>
      <c r="K3110" s="3" t="s">
        <v>23</v>
      </c>
    </row>
    <row r="3111" spans="1:11" ht="42" customHeight="1">
      <c r="A3111" s="2" t="s">
        <v>7134</v>
      </c>
      <c r="B3111" s="2" t="s">
        <v>7134</v>
      </c>
      <c r="C3111" s="2" t="s">
        <v>34</v>
      </c>
      <c r="D3111" s="2" t="s">
        <v>35</v>
      </c>
      <c r="E3111" s="5">
        <v>-30580</v>
      </c>
      <c r="F3111" s="3" t="s">
        <v>107</v>
      </c>
      <c r="G3111" s="3" t="s">
        <v>72</v>
      </c>
      <c r="H3111" s="2" t="s">
        <v>21</v>
      </c>
      <c r="I3111" s="2" t="s">
        <v>7140</v>
      </c>
      <c r="J3111" s="3" t="str">
        <f>HYPERLINK("https://www.boe.es/gazeta/dias/1816/04/09/pdfs/GMD-1816-46.pdf#page=7","Abrir facsímil")</f>
        <v>Abrir facsímil</v>
      </c>
      <c r="K3111" s="3" t="s">
        <v>23</v>
      </c>
    </row>
    <row r="3112" spans="1:11" ht="42" customHeight="1">
      <c r="A3112" s="2" t="s">
        <v>7134</v>
      </c>
      <c r="B3112" s="2" t="s">
        <v>7134</v>
      </c>
      <c r="C3112" s="2" t="s">
        <v>41</v>
      </c>
      <c r="D3112" s="2" t="s">
        <v>18</v>
      </c>
      <c r="E3112" s="5">
        <v>-30496</v>
      </c>
      <c r="F3112" s="3" t="s">
        <v>290</v>
      </c>
      <c r="G3112" s="3" t="s">
        <v>291</v>
      </c>
      <c r="H3112" s="2" t="s">
        <v>21</v>
      </c>
      <c r="I3112" s="2" t="s">
        <v>7141</v>
      </c>
      <c r="J3112" s="3" t="str">
        <f>HYPERLINK("https://www.boe.es/gazeta/dias/1816/07/02/pdfs/GMD-1816-82.pdf#page=7","Abrir facsímil")</f>
        <v>Abrir facsímil</v>
      </c>
      <c r="K3112" s="3" t="s">
        <v>23</v>
      </c>
    </row>
    <row r="3113" spans="1:11" ht="42" customHeight="1">
      <c r="A3113" s="2" t="s">
        <v>7134</v>
      </c>
      <c r="B3113" s="2" t="s">
        <v>7134</v>
      </c>
      <c r="C3113" s="2" t="s">
        <v>81</v>
      </c>
      <c r="D3113" s="2" t="s">
        <v>18</v>
      </c>
      <c r="E3113" s="5">
        <v>-30482</v>
      </c>
      <c r="F3113" s="3" t="s">
        <v>370</v>
      </c>
      <c r="G3113" s="3" t="s">
        <v>92</v>
      </c>
      <c r="H3113" s="2" t="s">
        <v>21</v>
      </c>
      <c r="I3113" s="2" t="s">
        <v>7142</v>
      </c>
      <c r="J3113" s="3" t="str">
        <f>HYPERLINK("https://www.boe.es/gazeta/dias/1816/07/16/pdfs/GMD-1816-88.pdf#page=9","Abrir facsímil")</f>
        <v>Abrir facsímil</v>
      </c>
      <c r="K3113" s="3" t="s">
        <v>23</v>
      </c>
    </row>
    <row r="3114" spans="1:11" ht="42" customHeight="1">
      <c r="A3114" s="2" t="s">
        <v>7134</v>
      </c>
      <c r="B3114" s="2" t="s">
        <v>7134</v>
      </c>
      <c r="C3114" s="2" t="s">
        <v>34</v>
      </c>
      <c r="D3114" s="2" t="s">
        <v>35</v>
      </c>
      <c r="E3114" s="5">
        <v>-30473</v>
      </c>
      <c r="F3114" s="3" t="s">
        <v>336</v>
      </c>
      <c r="G3114" s="3" t="s">
        <v>7143</v>
      </c>
      <c r="H3114" s="2" t="s">
        <v>21</v>
      </c>
      <c r="I3114" s="2" t="s">
        <v>7144</v>
      </c>
      <c r="J3114" s="3" t="str">
        <f>HYPERLINK("https://www.boe.es/gazeta/dias/1816/07/25/pdfs/GMD-1816-92.pdf#page=9","Abrir facsímil")</f>
        <v>Abrir facsímil</v>
      </c>
      <c r="K3114" s="3" t="s">
        <v>23</v>
      </c>
    </row>
    <row r="3115" spans="1:11" ht="42" customHeight="1">
      <c r="A3115" s="2" t="s">
        <v>7134</v>
      </c>
      <c r="B3115" s="2" t="s">
        <v>7134</v>
      </c>
      <c r="C3115" s="2" t="s">
        <v>34</v>
      </c>
      <c r="D3115" s="2" t="s">
        <v>35</v>
      </c>
      <c r="E3115" s="5">
        <v>-30473</v>
      </c>
      <c r="F3115" s="3" t="s">
        <v>336</v>
      </c>
      <c r="G3115" s="3" t="s">
        <v>42</v>
      </c>
      <c r="H3115" s="2" t="s">
        <v>21</v>
      </c>
      <c r="I3115" s="2" t="s">
        <v>7145</v>
      </c>
      <c r="J3115" s="3" t="str">
        <f>HYPERLINK("https://www.boe.es/gazeta/dias/1816/07/25/pdfs/GMD-1816-92.pdf#page=8","Abrir facsímil")</f>
        <v>Abrir facsímil</v>
      </c>
      <c r="K3115" s="3" t="s">
        <v>23</v>
      </c>
    </row>
    <row r="3116" spans="1:11" ht="42" customHeight="1">
      <c r="A3116" s="2" t="s">
        <v>7134</v>
      </c>
      <c r="B3116" s="2" t="s">
        <v>7134</v>
      </c>
      <c r="C3116" s="2" t="s">
        <v>67</v>
      </c>
      <c r="D3116" s="2" t="s">
        <v>18</v>
      </c>
      <c r="E3116" s="5">
        <v>-30443</v>
      </c>
      <c r="F3116" s="3" t="s">
        <v>259</v>
      </c>
      <c r="G3116" s="3" t="s">
        <v>260</v>
      </c>
      <c r="H3116" s="2" t="s">
        <v>21</v>
      </c>
      <c r="I3116" s="2" t="s">
        <v>7146</v>
      </c>
      <c r="J3116" s="3" t="str">
        <f>HYPERLINK("https://www.boe.es/gazeta/dias/1816/08/24/pdfs/GMD-1816-105.pdf#page=8","Abrir facsímil")</f>
        <v>Abrir facsímil</v>
      </c>
      <c r="K3116" s="3" t="s">
        <v>23</v>
      </c>
    </row>
    <row r="3117" spans="1:11" ht="42" customHeight="1">
      <c r="A3117" s="2" t="s">
        <v>7134</v>
      </c>
      <c r="B3117" s="2" t="s">
        <v>7134</v>
      </c>
      <c r="C3117" s="2" t="s">
        <v>81</v>
      </c>
      <c r="D3117" s="2" t="s">
        <v>18</v>
      </c>
      <c r="E3117" s="5">
        <v>-30405</v>
      </c>
      <c r="F3117" s="3" t="s">
        <v>587</v>
      </c>
      <c r="G3117" s="3" t="s">
        <v>42</v>
      </c>
      <c r="H3117" s="2" t="s">
        <v>21</v>
      </c>
      <c r="I3117" s="2" t="s">
        <v>7147</v>
      </c>
      <c r="J3117" s="3" t="str">
        <f>HYPERLINK("https://www.boe.es/gazeta/dias/1816/10/01/pdfs/GMD-1816-121.pdf#page=8","Abrir facsímil")</f>
        <v>Abrir facsímil</v>
      </c>
      <c r="K3117" s="3" t="s">
        <v>23</v>
      </c>
    </row>
    <row r="3118" spans="1:11" ht="42" customHeight="1">
      <c r="A3118" s="2" t="s">
        <v>7134</v>
      </c>
      <c r="B3118" s="2" t="s">
        <v>7134</v>
      </c>
      <c r="C3118" s="2" t="s">
        <v>81</v>
      </c>
      <c r="D3118" s="2" t="s">
        <v>18</v>
      </c>
      <c r="E3118" s="5">
        <v>-30319</v>
      </c>
      <c r="F3118" s="3" t="s">
        <v>131</v>
      </c>
      <c r="G3118" s="3" t="s">
        <v>2122</v>
      </c>
      <c r="H3118" s="2" t="s">
        <v>21</v>
      </c>
      <c r="I3118" s="2" t="s">
        <v>7148</v>
      </c>
      <c r="J3118" s="3" t="str">
        <f>HYPERLINK("https://www.boe.es/gazeta/dias/1816/12/26/pdfs/GMD-1816-160.pdf#page=7","Abrir facsímil")</f>
        <v>Abrir facsímil</v>
      </c>
      <c r="K3118" s="3" t="s">
        <v>23</v>
      </c>
    </row>
    <row r="3119" spans="1:11" ht="42" customHeight="1">
      <c r="A3119" s="2" t="s">
        <v>7149</v>
      </c>
      <c r="B3119" s="2" t="s">
        <v>7150</v>
      </c>
      <c r="C3119" s="2" t="s">
        <v>111</v>
      </c>
      <c r="D3119" s="2" t="s">
        <v>112</v>
      </c>
      <c r="E3119" s="5">
        <v>-30536</v>
      </c>
      <c r="F3119" s="3" t="s">
        <v>580</v>
      </c>
      <c r="G3119" s="3" t="s">
        <v>42</v>
      </c>
      <c r="H3119" s="2" t="s">
        <v>21</v>
      </c>
      <c r="I3119" s="2" t="s">
        <v>7151</v>
      </c>
      <c r="J3119" s="3" t="str">
        <f>HYPERLINK("https://www.boe.es/gazeta/dias/1816/05/23/pdfs/GMD-1816-65.pdf#page=8","Abrir facsímil")</f>
        <v>Abrir facsímil</v>
      </c>
      <c r="K3119" s="3" t="s">
        <v>23</v>
      </c>
    </row>
    <row r="3120" spans="1:11" ht="42" customHeight="1">
      <c r="A3120" s="2" t="s">
        <v>7152</v>
      </c>
      <c r="B3120" s="2" t="s">
        <v>7153</v>
      </c>
      <c r="C3120" s="2" t="s">
        <v>34</v>
      </c>
      <c r="D3120" s="2" t="s">
        <v>35</v>
      </c>
      <c r="E3120" s="5">
        <v>-30473</v>
      </c>
      <c r="F3120" s="3" t="s">
        <v>336</v>
      </c>
      <c r="G3120" s="3" t="s">
        <v>1615</v>
      </c>
      <c r="H3120" s="2" t="s">
        <v>21</v>
      </c>
      <c r="I3120" s="2" t="s">
        <v>7154</v>
      </c>
      <c r="J3120" s="3" t="str">
        <f>HYPERLINK("https://www.boe.es/gazeta/dias/1816/07/25/pdfs/GMD-1816-92.pdf#page=6","Abrir facsímil")</f>
        <v>Abrir facsímil</v>
      </c>
      <c r="K3120" s="3" t="s">
        <v>23</v>
      </c>
    </row>
    <row r="3121" spans="1:11" ht="42" customHeight="1">
      <c r="A3121" s="2" t="s">
        <v>7155</v>
      </c>
      <c r="B3121" s="2" t="s">
        <v>7156</v>
      </c>
      <c r="C3121" s="2" t="s">
        <v>34</v>
      </c>
      <c r="D3121" s="2" t="s">
        <v>35</v>
      </c>
      <c r="E3121" s="5">
        <v>-30629</v>
      </c>
      <c r="F3121" s="3" t="s">
        <v>904</v>
      </c>
      <c r="G3121" s="3" t="s">
        <v>42</v>
      </c>
      <c r="H3121" s="2" t="s">
        <v>29</v>
      </c>
      <c r="I3121" s="2" t="s">
        <v>7157</v>
      </c>
      <c r="J3121" s="3" t="str">
        <f>HYPERLINK("https://www.boe.es/gazeta/dias/1816/02/20/pdfs/GMD-1816-23.pdf#page=8","Abrir facsímil")</f>
        <v>Abrir facsímil</v>
      </c>
      <c r="K3121" s="3" t="s">
        <v>31</v>
      </c>
    </row>
    <row r="3122" spans="1:11" ht="42" customHeight="1">
      <c r="A3122" s="2" t="s">
        <v>7158</v>
      </c>
      <c r="B3122" s="2" t="s">
        <v>7159</v>
      </c>
      <c r="C3122" s="2" t="s">
        <v>26</v>
      </c>
      <c r="D3122" s="2" t="s">
        <v>18</v>
      </c>
      <c r="E3122" s="5">
        <v>-30401</v>
      </c>
      <c r="F3122" s="3" t="s">
        <v>652</v>
      </c>
      <c r="G3122" s="3" t="s">
        <v>42</v>
      </c>
      <c r="H3122" s="2" t="s">
        <v>21</v>
      </c>
      <c r="I3122" s="2" t="s">
        <v>7160</v>
      </c>
      <c r="J3122" s="3" t="str">
        <f>HYPERLINK("https://www.boe.es/gazeta/dias/1816/10/05/pdfs/GMD-1816-123.pdf#page=8","Abrir facsímil")</f>
        <v>Abrir facsímil</v>
      </c>
      <c r="K3122" s="3" t="s">
        <v>23</v>
      </c>
    </row>
    <row r="3123" spans="1:11" ht="42" customHeight="1">
      <c r="A3123" s="2" t="s">
        <v>7161</v>
      </c>
      <c r="B3123" s="2" t="s">
        <v>7162</v>
      </c>
      <c r="C3123" s="2" t="s">
        <v>34</v>
      </c>
      <c r="D3123" s="2" t="s">
        <v>35</v>
      </c>
      <c r="E3123" s="5">
        <v>-30564</v>
      </c>
      <c r="F3123" s="3" t="s">
        <v>963</v>
      </c>
      <c r="G3123" s="3" t="s">
        <v>47</v>
      </c>
      <c r="H3123" s="2" t="s">
        <v>21</v>
      </c>
      <c r="I3123" s="2" t="s">
        <v>7163</v>
      </c>
      <c r="J3123" s="3" t="str">
        <f>HYPERLINK("https://www.boe.es/gazeta/dias/1816/04/25/pdfs/GMD-1816-53.pdf#page=5","Abrir facsímil")</f>
        <v>Abrir facsímil</v>
      </c>
      <c r="K3123" s="3" t="s">
        <v>23</v>
      </c>
    </row>
    <row r="3124" spans="1:11" ht="42" customHeight="1">
      <c r="A3124" s="2" t="s">
        <v>7164</v>
      </c>
      <c r="B3124" s="2" t="s">
        <v>7165</v>
      </c>
      <c r="C3124" s="2" t="s">
        <v>34</v>
      </c>
      <c r="D3124" s="2" t="s">
        <v>35</v>
      </c>
      <c r="E3124" s="5">
        <v>-30634</v>
      </c>
      <c r="F3124" s="3" t="s">
        <v>1104</v>
      </c>
      <c r="G3124" s="3" t="s">
        <v>2234</v>
      </c>
      <c r="H3124" s="2" t="s">
        <v>21</v>
      </c>
      <c r="I3124" s="2" t="s">
        <v>7166</v>
      </c>
      <c r="J3124" s="3" t="str">
        <f>HYPERLINK("https://www.boe.es/gazeta/dias/1816/02/15/pdfs/GMD-1816-21.pdf#page=8","Abrir facsímil")</f>
        <v>Abrir facsímil</v>
      </c>
      <c r="K3124" s="3" t="s">
        <v>23</v>
      </c>
    </row>
    <row r="3125" spans="1:11" ht="42" customHeight="1">
      <c r="A3125" s="2" t="s">
        <v>7167</v>
      </c>
      <c r="B3125" s="2" t="s">
        <v>7167</v>
      </c>
      <c r="C3125" s="2" t="s">
        <v>34</v>
      </c>
      <c r="D3125" s="2" t="s">
        <v>35</v>
      </c>
      <c r="E3125" s="5">
        <v>-30594</v>
      </c>
      <c r="F3125" s="3" t="s">
        <v>234</v>
      </c>
      <c r="G3125" s="3" t="s">
        <v>103</v>
      </c>
      <c r="H3125" s="2" t="s">
        <v>21</v>
      </c>
      <c r="I3125" s="2" t="s">
        <v>7168</v>
      </c>
      <c r="J3125" s="3" t="str">
        <f>HYPERLINK("https://www.boe.es/gazeta/dias/1816/03/26/pdfs/GMD-1816-40.pdf#page=4","Abrir facsímil")</f>
        <v>Abrir facsímil</v>
      </c>
      <c r="K3125" s="3" t="s">
        <v>23</v>
      </c>
    </row>
    <row r="3126" spans="1:11" ht="42" customHeight="1">
      <c r="A3126" s="2" t="s">
        <v>7167</v>
      </c>
      <c r="B3126" s="2" t="s">
        <v>7167</v>
      </c>
      <c r="C3126" s="2" t="s">
        <v>34</v>
      </c>
      <c r="D3126" s="2" t="s">
        <v>35</v>
      </c>
      <c r="E3126" s="5">
        <v>-30594</v>
      </c>
      <c r="F3126" s="3" t="s">
        <v>234</v>
      </c>
      <c r="G3126" s="3" t="s">
        <v>47</v>
      </c>
      <c r="H3126" s="2" t="s">
        <v>21</v>
      </c>
      <c r="I3126" s="2" t="s">
        <v>7169</v>
      </c>
      <c r="J3126" s="3" t="str">
        <f>HYPERLINK("https://www.boe.es/gazeta/dias/1816/03/26/pdfs/GMD-1816-40.pdf#page=5","Abrir facsímil")</f>
        <v>Abrir facsímil</v>
      </c>
      <c r="K3126" s="3" t="s">
        <v>23</v>
      </c>
    </row>
    <row r="3127" spans="1:11" ht="42" customHeight="1">
      <c r="A3127" s="2" t="s">
        <v>7167</v>
      </c>
      <c r="B3127" s="2" t="s">
        <v>7167</v>
      </c>
      <c r="C3127" s="2" t="s">
        <v>34</v>
      </c>
      <c r="D3127" s="2" t="s">
        <v>35</v>
      </c>
      <c r="E3127" s="5">
        <v>-30592</v>
      </c>
      <c r="F3127" s="3" t="s">
        <v>236</v>
      </c>
      <c r="G3127" s="3" t="s">
        <v>184</v>
      </c>
      <c r="H3127" s="2" t="s">
        <v>21</v>
      </c>
      <c r="I3127" s="2" t="s">
        <v>7170</v>
      </c>
      <c r="J3127" s="3" t="str">
        <f>HYPERLINK("https://www.boe.es/gazeta/dias/1816/03/28/pdfs/GMD-1816-41.pdf#page=3","Abrir facsímil")</f>
        <v>Abrir facsímil</v>
      </c>
      <c r="K3127" s="3" t="s">
        <v>23</v>
      </c>
    </row>
    <row r="3128" spans="1:11" ht="42" customHeight="1">
      <c r="A3128" s="2" t="s">
        <v>7171</v>
      </c>
      <c r="B3128" s="2" t="s">
        <v>7172</v>
      </c>
      <c r="C3128" s="2" t="s">
        <v>34</v>
      </c>
      <c r="D3128" s="2" t="s">
        <v>35</v>
      </c>
      <c r="E3128" s="5">
        <v>-30599</v>
      </c>
      <c r="F3128" s="3" t="s">
        <v>552</v>
      </c>
      <c r="G3128" s="3" t="s">
        <v>72</v>
      </c>
      <c r="H3128" s="2" t="s">
        <v>21</v>
      </c>
      <c r="I3128" s="2" t="s">
        <v>7173</v>
      </c>
      <c r="J3128" s="3" t="str">
        <f>HYPERLINK("https://www.boe.es/gazeta/dias/1816/03/21/pdfs/GMD-1816-38.pdf#page=7","Abrir facsímil")</f>
        <v>Abrir facsímil</v>
      </c>
      <c r="K3128" s="3" t="s">
        <v>23</v>
      </c>
    </row>
    <row r="3129" spans="1:11" ht="42" customHeight="1">
      <c r="A3129" s="2" t="s">
        <v>7171</v>
      </c>
      <c r="B3129" s="2" t="s">
        <v>7172</v>
      </c>
      <c r="C3129" s="2" t="s">
        <v>34</v>
      </c>
      <c r="D3129" s="2" t="s">
        <v>35</v>
      </c>
      <c r="E3129" s="5">
        <v>-30592</v>
      </c>
      <c r="F3129" s="3" t="s">
        <v>236</v>
      </c>
      <c r="G3129" s="3" t="s">
        <v>184</v>
      </c>
      <c r="H3129" s="2" t="s">
        <v>21</v>
      </c>
      <c r="I3129" s="2" t="s">
        <v>7174</v>
      </c>
      <c r="J3129" s="3" t="str">
        <f>HYPERLINK("https://www.boe.es/gazeta/dias/1816/03/28/pdfs/GMD-1816-41.pdf#page=3","Abrir facsímil")</f>
        <v>Abrir facsímil</v>
      </c>
      <c r="K3129" s="3" t="s">
        <v>23</v>
      </c>
    </row>
    <row r="3130" spans="1:11" ht="42" customHeight="1">
      <c r="A3130" s="2" t="s">
        <v>7175</v>
      </c>
      <c r="B3130" s="2" t="s">
        <v>7175</v>
      </c>
      <c r="C3130" s="2" t="s">
        <v>34</v>
      </c>
      <c r="D3130" s="2" t="s">
        <v>35</v>
      </c>
      <c r="E3130" s="5">
        <v>-30527</v>
      </c>
      <c r="F3130" s="3" t="s">
        <v>304</v>
      </c>
      <c r="G3130" s="3" t="s">
        <v>47</v>
      </c>
      <c r="H3130" s="2" t="s">
        <v>21</v>
      </c>
      <c r="I3130" s="2" t="s">
        <v>7176</v>
      </c>
      <c r="J3130" s="3" t="str">
        <f>HYPERLINK("https://www.boe.es/gazeta/dias/1816/06/01/pdfs/GMD-1816-69.pdf#page=5","Abrir facsímil")</f>
        <v>Abrir facsímil</v>
      </c>
      <c r="K3130" s="3" t="s">
        <v>23</v>
      </c>
    </row>
    <row r="3131" spans="1:11" ht="42" customHeight="1">
      <c r="A3131" s="2" t="s">
        <v>7177</v>
      </c>
      <c r="B3131" s="2" t="s">
        <v>7178</v>
      </c>
      <c r="C3131" s="2" t="s">
        <v>111</v>
      </c>
      <c r="D3131" s="2" t="s">
        <v>112</v>
      </c>
      <c r="E3131" s="5">
        <v>-30326</v>
      </c>
      <c r="F3131" s="3" t="s">
        <v>377</v>
      </c>
      <c r="G3131" s="3" t="s">
        <v>42</v>
      </c>
      <c r="H3131" s="2" t="s">
        <v>21</v>
      </c>
      <c r="I3131" s="2" t="s">
        <v>7179</v>
      </c>
      <c r="J3131" s="3" t="str">
        <f>HYPERLINK("https://www.boe.es/gazeta/dias/1816/12/19/pdfs/GMD-1816-157.pdf#page=8","Abrir facsímil")</f>
        <v>Abrir facsímil</v>
      </c>
      <c r="K3131" s="3" t="s">
        <v>23</v>
      </c>
    </row>
    <row r="3132" spans="1:11" ht="42" customHeight="1">
      <c r="A3132" s="2" t="s">
        <v>7180</v>
      </c>
      <c r="B3132" s="2" t="s">
        <v>7181</v>
      </c>
      <c r="C3132" s="2" t="s">
        <v>111</v>
      </c>
      <c r="D3132" s="2" t="s">
        <v>112</v>
      </c>
      <c r="E3132" s="5">
        <v>-30347</v>
      </c>
      <c r="F3132" s="3" t="s">
        <v>2994</v>
      </c>
      <c r="G3132" s="3" t="s">
        <v>72</v>
      </c>
      <c r="H3132" s="2" t="s">
        <v>21</v>
      </c>
      <c r="I3132" s="2" t="s">
        <v>7182</v>
      </c>
      <c r="J3132" s="3" t="str">
        <f>HYPERLINK("https://www.boe.es/gazeta/dias/1816/11/28/pdfs/GMD-1816-148.pdf#page=7","Abrir facsímil")</f>
        <v>Abrir facsímil</v>
      </c>
      <c r="K3132" s="3" t="s">
        <v>23</v>
      </c>
    </row>
    <row r="3133" spans="1:11" ht="42" customHeight="1">
      <c r="A3133" s="2" t="s">
        <v>7183</v>
      </c>
      <c r="B3133" s="2" t="s">
        <v>7184</v>
      </c>
      <c r="C3133" s="2" t="s">
        <v>34</v>
      </c>
      <c r="D3133" s="2" t="s">
        <v>35</v>
      </c>
      <c r="E3133" s="5">
        <v>-30326</v>
      </c>
      <c r="F3133" s="3" t="s">
        <v>377</v>
      </c>
      <c r="G3133" s="3" t="s">
        <v>28</v>
      </c>
      <c r="H3133" s="2" t="s">
        <v>21</v>
      </c>
      <c r="I3133" s="2" t="s">
        <v>7185</v>
      </c>
      <c r="J3133" s="3" t="str">
        <f>HYPERLINK("https://www.boe.es/gazeta/dias/1816/12/19/pdfs/GMD-1816-157.pdf#page=6","Abrir facsímil")</f>
        <v>Abrir facsímil</v>
      </c>
      <c r="K3133" s="3" t="s">
        <v>23</v>
      </c>
    </row>
    <row r="3134" spans="1:11" ht="42" customHeight="1">
      <c r="A3134" s="2" t="s">
        <v>7186</v>
      </c>
      <c r="B3134" s="2" t="s">
        <v>7187</v>
      </c>
      <c r="C3134" s="2" t="s">
        <v>26</v>
      </c>
      <c r="D3134" s="2" t="s">
        <v>18</v>
      </c>
      <c r="E3134" s="5">
        <v>-30592</v>
      </c>
      <c r="F3134" s="3" t="s">
        <v>236</v>
      </c>
      <c r="G3134" s="3" t="s">
        <v>42</v>
      </c>
      <c r="H3134" s="2" t="s">
        <v>21</v>
      </c>
      <c r="I3134" s="2" t="s">
        <v>7188</v>
      </c>
      <c r="J3134" s="3" t="str">
        <f>HYPERLINK("https://www.boe.es/gazeta/dias/1816/03/28/pdfs/GMD-1816-41.pdf#page=8","Abrir facsímil")</f>
        <v>Abrir facsímil</v>
      </c>
      <c r="K3134" s="3" t="s">
        <v>23</v>
      </c>
    </row>
    <row r="3135" spans="1:11" ht="42" customHeight="1">
      <c r="A3135" s="2" t="s">
        <v>7189</v>
      </c>
      <c r="B3135" s="2" t="s">
        <v>7190</v>
      </c>
      <c r="C3135" s="2" t="s">
        <v>111</v>
      </c>
      <c r="D3135" s="2" t="s">
        <v>56</v>
      </c>
      <c r="E3135" s="5">
        <v>-30393</v>
      </c>
      <c r="F3135" s="3" t="s">
        <v>202</v>
      </c>
      <c r="G3135" s="3" t="s">
        <v>645</v>
      </c>
      <c r="H3135" s="2" t="s">
        <v>21</v>
      </c>
      <c r="I3135" s="2" t="s">
        <v>7191</v>
      </c>
      <c r="J3135" s="3" t="str">
        <f>HYPERLINK("https://www.boe.es/gazeta/dias/1816/10/13/pdfs/GMD-1816-128E.pdf#page=4","Abrir facsímil")</f>
        <v>Abrir facsímil</v>
      </c>
      <c r="K3135" s="3" t="s">
        <v>23</v>
      </c>
    </row>
    <row r="3136" spans="1:11" ht="42" customHeight="1">
      <c r="A3136" s="2" t="s">
        <v>7192</v>
      </c>
      <c r="B3136" s="2" t="s">
        <v>7193</v>
      </c>
      <c r="C3136" s="2" t="s">
        <v>17</v>
      </c>
      <c r="D3136" s="2" t="s">
        <v>18</v>
      </c>
      <c r="E3136" s="5">
        <v>-30478</v>
      </c>
      <c r="F3136" s="3" t="s">
        <v>123</v>
      </c>
      <c r="G3136" s="3" t="s">
        <v>103</v>
      </c>
      <c r="H3136" s="2" t="s">
        <v>21</v>
      </c>
      <c r="I3136" s="2" t="s">
        <v>7194</v>
      </c>
      <c r="J3136" s="3" t="str">
        <f>HYPERLINK("https://www.boe.es/gazeta/dias/1816/07/20/pdfs/GMD-1816-90.pdf#page=4","Abrir facsímil")</f>
        <v>Abrir facsímil</v>
      </c>
      <c r="K3136" s="3" t="s">
        <v>23</v>
      </c>
    </row>
    <row r="3137" spans="1:11" ht="42" customHeight="1">
      <c r="A3137" s="2" t="s">
        <v>7192</v>
      </c>
      <c r="B3137" s="2" t="s">
        <v>7193</v>
      </c>
      <c r="C3137" s="2" t="s">
        <v>111</v>
      </c>
      <c r="D3137" s="2" t="s">
        <v>112</v>
      </c>
      <c r="E3137" s="5">
        <v>-30443</v>
      </c>
      <c r="F3137" s="3" t="s">
        <v>259</v>
      </c>
      <c r="G3137" s="3" t="s">
        <v>72</v>
      </c>
      <c r="H3137" s="2" t="s">
        <v>21</v>
      </c>
      <c r="I3137" s="2" t="s">
        <v>7195</v>
      </c>
      <c r="J3137" s="3" t="str">
        <f>HYPERLINK("https://www.boe.es/gazeta/dias/1816/08/24/pdfs/GMD-1816-105.pdf#page=7","Abrir facsímil")</f>
        <v>Abrir facsímil</v>
      </c>
      <c r="K3137" s="3" t="s">
        <v>23</v>
      </c>
    </row>
    <row r="3138" spans="1:11" ht="42" customHeight="1">
      <c r="A3138" s="2" t="s">
        <v>7196</v>
      </c>
      <c r="B3138" s="2" t="s">
        <v>7197</v>
      </c>
      <c r="C3138" s="2" t="s">
        <v>67</v>
      </c>
      <c r="D3138" s="2" t="s">
        <v>18</v>
      </c>
      <c r="E3138" s="5">
        <v>-30335</v>
      </c>
      <c r="F3138" s="3" t="s">
        <v>468</v>
      </c>
      <c r="G3138" s="3" t="s">
        <v>47</v>
      </c>
      <c r="H3138" s="2" t="s">
        <v>21</v>
      </c>
      <c r="I3138" s="2" t="s">
        <v>7198</v>
      </c>
      <c r="J3138" s="3" t="str">
        <f>HYPERLINK("https://www.boe.es/gazeta/dias/1816/12/10/pdfs/GMD-1816-153.pdf#page=5","Abrir facsímil")</f>
        <v>Abrir facsímil</v>
      </c>
      <c r="K3138" s="3" t="s">
        <v>23</v>
      </c>
    </row>
    <row r="3139" spans="1:11" ht="42" customHeight="1">
      <c r="A3139" s="2" t="s">
        <v>7199</v>
      </c>
      <c r="B3139" s="2" t="s">
        <v>7199</v>
      </c>
      <c r="C3139" s="2" t="s">
        <v>111</v>
      </c>
      <c r="D3139" s="2" t="s">
        <v>112</v>
      </c>
      <c r="E3139" s="5">
        <v>-30550</v>
      </c>
      <c r="F3139" s="3" t="s">
        <v>435</v>
      </c>
      <c r="G3139" s="3" t="s">
        <v>42</v>
      </c>
      <c r="H3139" s="2" t="s">
        <v>21</v>
      </c>
      <c r="I3139" s="2" t="s">
        <v>7200</v>
      </c>
      <c r="J3139" s="3" t="str">
        <f>HYPERLINK("https://www.boe.es/gazeta/dias/1816/05/09/pdfs/GMD-1816-59.pdf#page=8","Abrir facsímil")</f>
        <v>Abrir facsímil</v>
      </c>
      <c r="K3139" s="3" t="s">
        <v>23</v>
      </c>
    </row>
    <row r="3140" spans="1:11" ht="42" customHeight="1">
      <c r="A3140" s="2" t="s">
        <v>7201</v>
      </c>
      <c r="B3140" s="2" t="s">
        <v>7202</v>
      </c>
      <c r="C3140" s="2" t="s">
        <v>67</v>
      </c>
      <c r="D3140" s="2" t="s">
        <v>18</v>
      </c>
      <c r="E3140" s="5">
        <v>-30324</v>
      </c>
      <c r="F3140" s="3" t="s">
        <v>46</v>
      </c>
      <c r="G3140" s="3" t="s">
        <v>72</v>
      </c>
      <c r="H3140" s="2" t="s">
        <v>21</v>
      </c>
      <c r="I3140" s="2" t="s">
        <v>7203</v>
      </c>
      <c r="J3140" s="3" t="str">
        <f>HYPERLINK("https://www.boe.es/gazeta/dias/1816/12/21/pdfs/GMD-1816-158.pdf#page=7","Abrir facsímil")</f>
        <v>Abrir facsímil</v>
      </c>
      <c r="K3140" s="3" t="s">
        <v>23</v>
      </c>
    </row>
    <row r="3141" spans="1:11" ht="42" customHeight="1">
      <c r="A3141" s="2" t="s">
        <v>7204</v>
      </c>
      <c r="B3141" s="2" t="s">
        <v>7205</v>
      </c>
      <c r="C3141" s="2" t="s">
        <v>26</v>
      </c>
      <c r="D3141" s="2" t="s">
        <v>56</v>
      </c>
      <c r="E3141" s="5">
        <v>-30393</v>
      </c>
      <c r="F3141" s="3" t="s">
        <v>202</v>
      </c>
      <c r="G3141" s="3" t="s">
        <v>47</v>
      </c>
      <c r="H3141" s="2" t="s">
        <v>21</v>
      </c>
      <c r="I3141" s="2" t="s">
        <v>7206</v>
      </c>
      <c r="J3141" s="3" t="str">
        <f>HYPERLINK("https://www.boe.es/gazeta/dias/1816/10/13/pdfs/GMD-1816-128E.pdf#page=5","Abrir facsímil")</f>
        <v>Abrir facsímil</v>
      </c>
      <c r="K3141" s="3" t="s">
        <v>23</v>
      </c>
    </row>
    <row r="3142" spans="1:11" ht="42" customHeight="1">
      <c r="A3142" s="2" t="s">
        <v>7207</v>
      </c>
      <c r="B3142" s="2" t="s">
        <v>7208</v>
      </c>
      <c r="C3142" s="2" t="s">
        <v>41</v>
      </c>
      <c r="D3142" s="2" t="s">
        <v>18</v>
      </c>
      <c r="E3142" s="5">
        <v>-30636</v>
      </c>
      <c r="F3142" s="3" t="s">
        <v>82</v>
      </c>
      <c r="G3142" s="3" t="s">
        <v>83</v>
      </c>
      <c r="H3142" s="2" t="s">
        <v>21</v>
      </c>
      <c r="I3142" s="2" t="s">
        <v>7209</v>
      </c>
      <c r="J3142" s="3" t="str">
        <f>HYPERLINK("https://www.boe.es/gazeta/dias/1816/02/13/pdfs/GMD-1816-20.pdf#page=8","Abrir facsímil")</f>
        <v>Abrir facsímil</v>
      </c>
      <c r="K3142" s="3" t="s">
        <v>23</v>
      </c>
    </row>
    <row r="3143" spans="1:11" ht="42" customHeight="1">
      <c r="A3143" s="2" t="s">
        <v>7210</v>
      </c>
      <c r="B3143" s="2" t="s">
        <v>7211</v>
      </c>
      <c r="C3143" s="2" t="s">
        <v>26</v>
      </c>
      <c r="D3143" s="2" t="s">
        <v>56</v>
      </c>
      <c r="E3143" s="5">
        <v>-30393</v>
      </c>
      <c r="F3143" s="3" t="s">
        <v>202</v>
      </c>
      <c r="G3143" s="3" t="s">
        <v>834</v>
      </c>
      <c r="H3143" s="2" t="s">
        <v>21</v>
      </c>
      <c r="I3143" s="2" t="s">
        <v>7212</v>
      </c>
      <c r="J3143" s="3" t="str">
        <f>HYPERLINK("https://www.boe.es/gazeta/dias/1816/10/13/pdfs/GMD-1816-128E.pdf#page=6","Abrir facsímil")</f>
        <v>Abrir facsímil</v>
      </c>
      <c r="K3143" s="3" t="s">
        <v>23</v>
      </c>
    </row>
    <row r="3144" spans="1:11" ht="42" customHeight="1">
      <c r="A3144" s="2" t="s">
        <v>7213</v>
      </c>
      <c r="B3144" s="2" t="s">
        <v>7214</v>
      </c>
      <c r="C3144" s="2" t="s">
        <v>26</v>
      </c>
      <c r="D3144" s="2" t="s">
        <v>18</v>
      </c>
      <c r="E3144" s="5">
        <v>-30473</v>
      </c>
      <c r="F3144" s="3" t="s">
        <v>336</v>
      </c>
      <c r="G3144" s="3" t="s">
        <v>7143</v>
      </c>
      <c r="H3144" s="2" t="s">
        <v>21</v>
      </c>
      <c r="I3144" s="2" t="s">
        <v>7215</v>
      </c>
      <c r="J3144" s="3" t="str">
        <f>HYPERLINK("https://www.boe.es/gazeta/dias/1816/07/25/pdfs/GMD-1816-92.pdf#page=9","Abrir facsímil")</f>
        <v>Abrir facsímil</v>
      </c>
      <c r="K3144" s="3" t="s">
        <v>23</v>
      </c>
    </row>
    <row r="3145" spans="1:11" ht="42" customHeight="1">
      <c r="A3145" s="2" t="s">
        <v>7216</v>
      </c>
      <c r="B3145" s="2" t="s">
        <v>7216</v>
      </c>
      <c r="C3145" s="2" t="s">
        <v>26</v>
      </c>
      <c r="D3145" s="2" t="s">
        <v>18</v>
      </c>
      <c r="E3145" s="5">
        <v>-30394</v>
      </c>
      <c r="F3145" s="3" t="s">
        <v>589</v>
      </c>
      <c r="G3145" s="3" t="s">
        <v>28</v>
      </c>
      <c r="H3145" s="2" t="s">
        <v>21</v>
      </c>
      <c r="I3145" s="2" t="s">
        <v>7217</v>
      </c>
      <c r="J3145" s="3" t="str">
        <f>HYPERLINK("https://www.boe.es/gazeta/dias/1816/10/12/pdfs/GMD-1816-127.pdf#page=6","Abrir facsímil")</f>
        <v>Abrir facsímil</v>
      </c>
      <c r="K3145" s="3" t="s">
        <v>23</v>
      </c>
    </row>
    <row r="3146" spans="1:11" ht="42" customHeight="1">
      <c r="A3146" s="2" t="s">
        <v>7218</v>
      </c>
      <c r="B3146" s="2" t="s">
        <v>7218</v>
      </c>
      <c r="C3146" s="2" t="s">
        <v>34</v>
      </c>
      <c r="D3146" s="2" t="s">
        <v>35</v>
      </c>
      <c r="E3146" s="5">
        <v>-30622</v>
      </c>
      <c r="F3146" s="3" t="s">
        <v>27</v>
      </c>
      <c r="G3146" s="3" t="s">
        <v>47</v>
      </c>
      <c r="H3146" s="2" t="s">
        <v>21</v>
      </c>
      <c r="I3146" s="2" t="s">
        <v>7219</v>
      </c>
      <c r="J3146" s="3" t="str">
        <f>HYPERLINK("https://www.boe.es/gazeta/dias/1816/02/27/pdfs/GMD-1816-26.pdf#page=5","Abrir facsímil")</f>
        <v>Abrir facsímil</v>
      </c>
      <c r="K3146" s="3" t="s">
        <v>23</v>
      </c>
    </row>
    <row r="3147" spans="1:11" ht="42" customHeight="1">
      <c r="A3147" s="2" t="s">
        <v>7218</v>
      </c>
      <c r="B3147" s="2" t="s">
        <v>7218</v>
      </c>
      <c r="C3147" s="2" t="s">
        <v>111</v>
      </c>
      <c r="D3147" s="2" t="s">
        <v>112</v>
      </c>
      <c r="E3147" s="5">
        <v>-30590</v>
      </c>
      <c r="F3147" s="3" t="s">
        <v>195</v>
      </c>
      <c r="G3147" s="3" t="s">
        <v>6226</v>
      </c>
      <c r="H3147" s="2" t="s">
        <v>21</v>
      </c>
      <c r="I3147" s="2" t="s">
        <v>7220</v>
      </c>
      <c r="J3147" s="3" t="str">
        <f>HYPERLINK("https://www.boe.es/gazeta/dias/1816/03/30/pdfs/GMD-1816-42.pdf#page=7","Abrir facsímil")</f>
        <v>Abrir facsímil</v>
      </c>
      <c r="K3147" s="3" t="s">
        <v>23</v>
      </c>
    </row>
    <row r="3148" spans="1:11" ht="42" customHeight="1">
      <c r="A3148" s="2" t="s">
        <v>7218</v>
      </c>
      <c r="B3148" s="2" t="s">
        <v>7218</v>
      </c>
      <c r="C3148" s="2" t="s">
        <v>111</v>
      </c>
      <c r="D3148" s="2" t="s">
        <v>112</v>
      </c>
      <c r="E3148" s="5">
        <v>-30590</v>
      </c>
      <c r="F3148" s="3" t="s">
        <v>195</v>
      </c>
      <c r="G3148" s="3" t="s">
        <v>28</v>
      </c>
      <c r="H3148" s="2" t="s">
        <v>21</v>
      </c>
      <c r="I3148" s="2" t="s">
        <v>7221</v>
      </c>
      <c r="J3148" s="3" t="str">
        <f>HYPERLINK("https://www.boe.es/gazeta/dias/1816/03/30/pdfs/GMD-1816-42.pdf#page=6","Abrir facsímil")</f>
        <v>Abrir facsímil</v>
      </c>
      <c r="K3148" s="3" t="s">
        <v>23</v>
      </c>
    </row>
    <row r="3149" spans="1:11" ht="42" customHeight="1">
      <c r="A3149" s="2" t="s">
        <v>7218</v>
      </c>
      <c r="B3149" s="2" t="s">
        <v>7218</v>
      </c>
      <c r="C3149" s="2" t="s">
        <v>111</v>
      </c>
      <c r="D3149" s="2" t="s">
        <v>112</v>
      </c>
      <c r="E3149" s="5">
        <v>-30557</v>
      </c>
      <c r="F3149" s="3" t="s">
        <v>508</v>
      </c>
      <c r="G3149" s="3" t="s">
        <v>103</v>
      </c>
      <c r="H3149" s="2" t="s">
        <v>21</v>
      </c>
      <c r="I3149" s="2" t="s">
        <v>7222</v>
      </c>
      <c r="J3149" s="3" t="str">
        <f>HYPERLINK("https://www.boe.es/gazeta/dias/1816/05/02/pdfs/GMD-1816-56.pdf#page=4","Abrir facsímil")</f>
        <v>Abrir facsímil</v>
      </c>
      <c r="K3149" s="3" t="s">
        <v>23</v>
      </c>
    </row>
    <row r="3150" spans="1:11" ht="42" customHeight="1">
      <c r="A3150" s="2" t="s">
        <v>7218</v>
      </c>
      <c r="B3150" s="2" t="s">
        <v>7218</v>
      </c>
      <c r="C3150" s="2" t="s">
        <v>26</v>
      </c>
      <c r="D3150" s="2" t="s">
        <v>18</v>
      </c>
      <c r="E3150" s="5">
        <v>-30557</v>
      </c>
      <c r="F3150" s="3" t="s">
        <v>508</v>
      </c>
      <c r="G3150" s="3" t="s">
        <v>47</v>
      </c>
      <c r="H3150" s="2" t="s">
        <v>21</v>
      </c>
      <c r="I3150" s="2" t="s">
        <v>7223</v>
      </c>
      <c r="J3150" s="3" t="str">
        <f>HYPERLINK("https://www.boe.es/gazeta/dias/1816/05/02/pdfs/GMD-1816-56.pdf#page=5","Abrir facsímil")</f>
        <v>Abrir facsímil</v>
      </c>
      <c r="K3150" s="3" t="s">
        <v>23</v>
      </c>
    </row>
    <row r="3151" spans="1:11" ht="42" customHeight="1">
      <c r="A3151" s="2" t="s">
        <v>7218</v>
      </c>
      <c r="B3151" s="2" t="s">
        <v>7218</v>
      </c>
      <c r="C3151" s="2" t="s">
        <v>111</v>
      </c>
      <c r="D3151" s="2" t="s">
        <v>112</v>
      </c>
      <c r="E3151" s="5">
        <v>-30541</v>
      </c>
      <c r="F3151" s="3" t="s">
        <v>96</v>
      </c>
      <c r="G3151" s="3" t="s">
        <v>47</v>
      </c>
      <c r="H3151" s="2" t="s">
        <v>21</v>
      </c>
      <c r="I3151" s="2" t="s">
        <v>7224</v>
      </c>
      <c r="J3151" s="3" t="str">
        <f>HYPERLINK("https://www.boe.es/gazeta/dias/1816/05/18/pdfs/GMD-1816-63.pdf#page=5","Abrir facsímil")</f>
        <v>Abrir facsímil</v>
      </c>
      <c r="K3151" s="3" t="s">
        <v>23</v>
      </c>
    </row>
    <row r="3152" spans="1:11" ht="42" customHeight="1">
      <c r="A3152" s="2" t="s">
        <v>7218</v>
      </c>
      <c r="B3152" s="2" t="s">
        <v>7218</v>
      </c>
      <c r="C3152" s="2" t="s">
        <v>387</v>
      </c>
      <c r="D3152" s="2" t="s">
        <v>18</v>
      </c>
      <c r="E3152" s="5">
        <v>-30527</v>
      </c>
      <c r="F3152" s="3" t="s">
        <v>304</v>
      </c>
      <c r="G3152" s="3" t="s">
        <v>28</v>
      </c>
      <c r="H3152" s="2" t="s">
        <v>21</v>
      </c>
      <c r="I3152" s="2" t="s">
        <v>7225</v>
      </c>
      <c r="J3152" s="3" t="str">
        <f>HYPERLINK("https://www.boe.es/gazeta/dias/1816/06/01/pdfs/GMD-1816-69.pdf#page=6","Abrir facsímil")</f>
        <v>Abrir facsímil</v>
      </c>
      <c r="K3152" s="3" t="s">
        <v>23</v>
      </c>
    </row>
    <row r="3153" spans="1:11" ht="42" customHeight="1">
      <c r="A3153" s="2" t="s">
        <v>7218</v>
      </c>
      <c r="B3153" s="2" t="s">
        <v>7218</v>
      </c>
      <c r="C3153" s="2" t="s">
        <v>387</v>
      </c>
      <c r="D3153" s="2" t="s">
        <v>18</v>
      </c>
      <c r="E3153" s="5">
        <v>-30506</v>
      </c>
      <c r="F3153" s="3" t="s">
        <v>220</v>
      </c>
      <c r="G3153" s="3" t="s">
        <v>28</v>
      </c>
      <c r="H3153" s="2" t="s">
        <v>21</v>
      </c>
      <c r="I3153" s="2" t="s">
        <v>7226</v>
      </c>
      <c r="J3153" s="3" t="str">
        <f>HYPERLINK("https://www.boe.es/gazeta/dias/1816/06/22/pdfs/GMD-1816-78.pdf#page=6","Abrir facsímil")</f>
        <v>Abrir facsímil</v>
      </c>
      <c r="K3153" s="3" t="s">
        <v>23</v>
      </c>
    </row>
    <row r="3154" spans="1:11" ht="42" customHeight="1">
      <c r="A3154" s="2" t="s">
        <v>7218</v>
      </c>
      <c r="B3154" s="2" t="s">
        <v>7218</v>
      </c>
      <c r="C3154" s="2" t="s">
        <v>34</v>
      </c>
      <c r="D3154" s="2" t="s">
        <v>35</v>
      </c>
      <c r="E3154" s="5">
        <v>-30501</v>
      </c>
      <c r="F3154" s="3" t="s">
        <v>475</v>
      </c>
      <c r="G3154" s="3" t="s">
        <v>47</v>
      </c>
      <c r="H3154" s="2" t="s">
        <v>21</v>
      </c>
      <c r="I3154" s="2" t="s">
        <v>7227</v>
      </c>
      <c r="J3154" s="3" t="str">
        <f>HYPERLINK("https://www.boe.es/gazeta/dias/1816/06/27/pdfs/GMD-1816-80.pdf#page=5","Abrir facsímil")</f>
        <v>Abrir facsímil</v>
      </c>
      <c r="K3154" s="3" t="s">
        <v>23</v>
      </c>
    </row>
    <row r="3155" spans="1:11" ht="42" customHeight="1">
      <c r="A3155" s="2" t="s">
        <v>7218</v>
      </c>
      <c r="B3155" s="2" t="s">
        <v>7218</v>
      </c>
      <c r="C3155" s="2" t="s">
        <v>26</v>
      </c>
      <c r="D3155" s="2" t="s">
        <v>18</v>
      </c>
      <c r="E3155" s="5">
        <v>-30494</v>
      </c>
      <c r="F3155" s="3" t="s">
        <v>174</v>
      </c>
      <c r="G3155" s="3" t="s">
        <v>42</v>
      </c>
      <c r="H3155" s="2" t="s">
        <v>21</v>
      </c>
      <c r="I3155" s="2" t="s">
        <v>7228</v>
      </c>
      <c r="J3155" s="3" t="str">
        <f>HYPERLINK("https://www.boe.es/gazeta/dias/1816/07/04/pdfs/GMD-1816-83.pdf#page=8","Abrir facsímil")</f>
        <v>Abrir facsímil</v>
      </c>
      <c r="K3155" s="3" t="s">
        <v>23</v>
      </c>
    </row>
    <row r="3156" spans="1:11" ht="42" customHeight="1">
      <c r="A3156" s="2" t="s">
        <v>7229</v>
      </c>
      <c r="B3156" s="2" t="s">
        <v>7229</v>
      </c>
      <c r="C3156" s="2" t="s">
        <v>67</v>
      </c>
      <c r="D3156" s="2" t="s">
        <v>18</v>
      </c>
      <c r="E3156" s="5">
        <v>-30478</v>
      </c>
      <c r="F3156" s="3" t="s">
        <v>123</v>
      </c>
      <c r="G3156" s="3" t="s">
        <v>2092</v>
      </c>
      <c r="H3156" s="2" t="s">
        <v>21</v>
      </c>
      <c r="I3156" s="2" t="s">
        <v>7230</v>
      </c>
      <c r="J3156" s="3" t="str">
        <f>HYPERLINK("https://www.boe.es/gazeta/dias/1816/07/20/pdfs/GMD-1816-90.pdf#page=5","Abrir facsímil")</f>
        <v>Abrir facsímil</v>
      </c>
      <c r="K3156" s="3" t="s">
        <v>23</v>
      </c>
    </row>
    <row r="3157" spans="1:11" ht="42" customHeight="1">
      <c r="A3157" s="2" t="s">
        <v>7218</v>
      </c>
      <c r="B3157" s="2" t="s">
        <v>7218</v>
      </c>
      <c r="C3157" s="2" t="s">
        <v>34</v>
      </c>
      <c r="D3157" s="2" t="s">
        <v>35</v>
      </c>
      <c r="E3157" s="5">
        <v>-30412</v>
      </c>
      <c r="F3157" s="3" t="s">
        <v>388</v>
      </c>
      <c r="G3157" s="3" t="s">
        <v>72</v>
      </c>
      <c r="H3157" s="2" t="s">
        <v>21</v>
      </c>
      <c r="I3157" s="2" t="s">
        <v>7231</v>
      </c>
      <c r="J3157" s="3" t="str">
        <f>HYPERLINK("https://www.boe.es/gazeta/dias/1816/09/24/pdfs/GMD-1816-118.pdf#page=7","Abrir facsímil")</f>
        <v>Abrir facsímil</v>
      </c>
      <c r="K3157" s="3" t="s">
        <v>23</v>
      </c>
    </row>
    <row r="3158" spans="1:11" ht="42" customHeight="1">
      <c r="A3158" s="2" t="s">
        <v>7218</v>
      </c>
      <c r="B3158" s="2" t="s">
        <v>7218</v>
      </c>
      <c r="C3158" s="2" t="s">
        <v>26</v>
      </c>
      <c r="D3158" s="2" t="s">
        <v>18</v>
      </c>
      <c r="E3158" s="5">
        <v>-30408</v>
      </c>
      <c r="F3158" s="3" t="s">
        <v>295</v>
      </c>
      <c r="G3158" s="3" t="s">
        <v>28</v>
      </c>
      <c r="H3158" s="2" t="s">
        <v>21</v>
      </c>
      <c r="I3158" s="2" t="s">
        <v>7232</v>
      </c>
      <c r="J3158" s="3" t="str">
        <f>HYPERLINK("https://www.boe.es/gazeta/dias/1816/09/28/pdfs/GMD-1816-120.pdf#page=6","Abrir facsímil")</f>
        <v>Abrir facsímil</v>
      </c>
      <c r="K3158" s="3" t="s">
        <v>23</v>
      </c>
    </row>
    <row r="3159" spans="1:11" ht="42" customHeight="1">
      <c r="A3159" s="2" t="s">
        <v>7218</v>
      </c>
      <c r="B3159" s="2" t="s">
        <v>7218</v>
      </c>
      <c r="C3159" s="2" t="s">
        <v>17</v>
      </c>
      <c r="D3159" s="2" t="s">
        <v>18</v>
      </c>
      <c r="E3159" s="5">
        <v>-30403</v>
      </c>
      <c r="F3159" s="3" t="s">
        <v>1264</v>
      </c>
      <c r="G3159" s="3" t="s">
        <v>28</v>
      </c>
      <c r="H3159" s="2" t="s">
        <v>21</v>
      </c>
      <c r="I3159" s="2" t="s">
        <v>7233</v>
      </c>
      <c r="J3159" s="3" t="str">
        <f>HYPERLINK("https://www.boe.es/gazeta/dias/1816/10/03/pdfs/GMD-1816-122.pdf#page=6","Abrir facsímil")</f>
        <v>Abrir facsímil</v>
      </c>
      <c r="K3159" s="3" t="s">
        <v>23</v>
      </c>
    </row>
    <row r="3160" spans="1:11" ht="42" customHeight="1">
      <c r="A3160" s="2" t="s">
        <v>7218</v>
      </c>
      <c r="B3160" s="2" t="s">
        <v>7218</v>
      </c>
      <c r="C3160" s="2" t="s">
        <v>111</v>
      </c>
      <c r="D3160" s="2" t="s">
        <v>56</v>
      </c>
      <c r="E3160" s="5">
        <v>-30393</v>
      </c>
      <c r="F3160" s="3" t="s">
        <v>202</v>
      </c>
      <c r="G3160" s="3" t="s">
        <v>270</v>
      </c>
      <c r="H3160" s="2" t="s">
        <v>21</v>
      </c>
      <c r="I3160" s="2" t="s">
        <v>7234</v>
      </c>
      <c r="J3160" s="3" t="str">
        <f>HYPERLINK("https://www.boe.es/gazeta/dias/1816/10/13/pdfs/GMD-1816-128E.pdf#page=2","Abrir facsímil")</f>
        <v>Abrir facsímil</v>
      </c>
      <c r="K3160" s="3" t="s">
        <v>23</v>
      </c>
    </row>
    <row r="3161" spans="1:11" ht="42" customHeight="1">
      <c r="A3161" s="2" t="s">
        <v>7218</v>
      </c>
      <c r="B3161" s="2" t="s">
        <v>7218</v>
      </c>
      <c r="C3161" s="2" t="s">
        <v>34</v>
      </c>
      <c r="D3161" s="2" t="s">
        <v>56</v>
      </c>
      <c r="E3161" s="5">
        <v>-30393</v>
      </c>
      <c r="F3161" s="3" t="s">
        <v>202</v>
      </c>
      <c r="G3161" s="3" t="s">
        <v>184</v>
      </c>
      <c r="H3161" s="2" t="s">
        <v>21</v>
      </c>
      <c r="I3161" s="2" t="s">
        <v>7235</v>
      </c>
      <c r="J3161" s="3" t="str">
        <f>HYPERLINK("https://www.boe.es/gazeta/dias/1816/10/13/pdfs/GMD-1816-128E.pdf#page=3","Abrir facsímil")</f>
        <v>Abrir facsímil</v>
      </c>
      <c r="K3161" s="3" t="s">
        <v>23</v>
      </c>
    </row>
    <row r="3162" spans="1:11" ht="42" customHeight="1">
      <c r="A3162" s="2" t="s">
        <v>7218</v>
      </c>
      <c r="B3162" s="2" t="s">
        <v>7218</v>
      </c>
      <c r="C3162" s="2" t="s">
        <v>26</v>
      </c>
      <c r="D3162" s="2" t="s">
        <v>18</v>
      </c>
      <c r="E3162" s="5">
        <v>-30368</v>
      </c>
      <c r="F3162" s="3" t="s">
        <v>531</v>
      </c>
      <c r="G3162" s="3" t="s">
        <v>72</v>
      </c>
      <c r="H3162" s="2" t="s">
        <v>21</v>
      </c>
      <c r="I3162" s="2" t="s">
        <v>7236</v>
      </c>
      <c r="J3162" s="3" t="str">
        <f>HYPERLINK("https://www.boe.es/gazeta/dias/1816/11/07/pdfs/GMD-1816-139.pdf#page=7","Abrir facsímil")</f>
        <v>Abrir facsímil</v>
      </c>
      <c r="K3162" s="3" t="s">
        <v>23</v>
      </c>
    </row>
    <row r="3163" spans="1:11" ht="42" customHeight="1">
      <c r="A3163" s="2" t="s">
        <v>7218</v>
      </c>
      <c r="B3163" s="2" t="s">
        <v>7218</v>
      </c>
      <c r="C3163" s="2" t="s">
        <v>111</v>
      </c>
      <c r="D3163" s="2" t="s">
        <v>112</v>
      </c>
      <c r="E3163" s="5">
        <v>-30333</v>
      </c>
      <c r="F3163" s="3" t="s">
        <v>1005</v>
      </c>
      <c r="G3163" s="3" t="s">
        <v>1006</v>
      </c>
      <c r="H3163" s="2" t="s">
        <v>21</v>
      </c>
      <c r="I3163" s="2" t="s">
        <v>7237</v>
      </c>
      <c r="J3163" s="3" t="str">
        <f>HYPERLINK("https://www.boe.es/gazeta/dias/1816/12/12/pdfs/GMD-1816-154.pdf#page=5","Abrir facsímil")</f>
        <v>Abrir facsímil</v>
      </c>
      <c r="K3163" s="3" t="s">
        <v>23</v>
      </c>
    </row>
    <row r="3164" spans="1:11" ht="42" customHeight="1">
      <c r="A3164" s="2" t="s">
        <v>7218</v>
      </c>
      <c r="B3164" s="2" t="s">
        <v>7218</v>
      </c>
      <c r="C3164" s="2" t="s">
        <v>81</v>
      </c>
      <c r="D3164" s="2" t="s">
        <v>18</v>
      </c>
      <c r="E3164" s="5">
        <v>-30328</v>
      </c>
      <c r="F3164" s="3" t="s">
        <v>573</v>
      </c>
      <c r="G3164" s="3" t="s">
        <v>5535</v>
      </c>
      <c r="H3164" s="2" t="s">
        <v>21</v>
      </c>
      <c r="I3164" s="2" t="s">
        <v>7238</v>
      </c>
      <c r="J3164" s="3" t="str">
        <f>HYPERLINK("https://www.boe.es/gazeta/dias/1816/12/17/pdfs/GMD-1816-156.pdf#page=7","Abrir facsímil")</f>
        <v>Abrir facsímil</v>
      </c>
      <c r="K3164" s="3" t="s">
        <v>23</v>
      </c>
    </row>
    <row r="3165" spans="1:11" ht="42" customHeight="1">
      <c r="A3165" s="2" t="s">
        <v>7239</v>
      </c>
      <c r="B3165" s="2" t="s">
        <v>7240</v>
      </c>
      <c r="C3165" s="2" t="s">
        <v>111</v>
      </c>
      <c r="D3165" s="2" t="s">
        <v>56</v>
      </c>
      <c r="E3165" s="5">
        <v>-30393</v>
      </c>
      <c r="F3165" s="3" t="s">
        <v>202</v>
      </c>
      <c r="G3165" s="3" t="s">
        <v>270</v>
      </c>
      <c r="H3165" s="2" t="s">
        <v>21</v>
      </c>
      <c r="I3165" s="2" t="s">
        <v>7241</v>
      </c>
      <c r="J3165" s="3" t="str">
        <f>HYPERLINK("https://www.boe.es/gazeta/dias/1816/10/13/pdfs/GMD-1816-128E.pdf#page=2","Abrir facsímil")</f>
        <v>Abrir facsímil</v>
      </c>
      <c r="K3165" s="3" t="s">
        <v>23</v>
      </c>
    </row>
    <row r="3166" spans="1:11" ht="42" customHeight="1">
      <c r="A3166" s="2" t="s">
        <v>7242</v>
      </c>
      <c r="B3166" s="2" t="s">
        <v>7243</v>
      </c>
      <c r="C3166" s="2" t="s">
        <v>26</v>
      </c>
      <c r="D3166" s="2" t="s">
        <v>18</v>
      </c>
      <c r="E3166" s="5">
        <v>-30391</v>
      </c>
      <c r="F3166" s="3" t="s">
        <v>482</v>
      </c>
      <c r="G3166" s="3" t="s">
        <v>72</v>
      </c>
      <c r="H3166" s="2" t="s">
        <v>21</v>
      </c>
      <c r="I3166" s="2" t="s">
        <v>7244</v>
      </c>
      <c r="J3166" s="3" t="str">
        <f>HYPERLINK("https://www.boe.es/gazeta/dias/1816/10/15/pdfs/GMD-1816-129.pdf#page=7","Abrir facsímil")</f>
        <v>Abrir facsímil</v>
      </c>
      <c r="K3166" s="3" t="s">
        <v>23</v>
      </c>
    </row>
    <row r="3167" spans="1:11" ht="42" customHeight="1">
      <c r="A3167" s="2" t="s">
        <v>7245</v>
      </c>
      <c r="B3167" s="2" t="s">
        <v>7246</v>
      </c>
      <c r="C3167" s="2" t="s">
        <v>111</v>
      </c>
      <c r="D3167" s="2" t="s">
        <v>112</v>
      </c>
      <c r="E3167" s="5">
        <v>-30608</v>
      </c>
      <c r="F3167" s="3" t="s">
        <v>550</v>
      </c>
      <c r="G3167" s="3" t="s">
        <v>28</v>
      </c>
      <c r="H3167" s="2" t="s">
        <v>21</v>
      </c>
      <c r="I3167" s="2" t="s">
        <v>7247</v>
      </c>
      <c r="J3167" s="3" t="str">
        <f>HYPERLINK("https://www.boe.es/gazeta/dias/1816/03/12/pdfs/GMD-1816-33.pdf#page=6","Abrir facsímil")</f>
        <v>Abrir facsímil</v>
      </c>
      <c r="K3167" s="3" t="s">
        <v>23</v>
      </c>
    </row>
    <row r="3168" spans="1:11" ht="42" customHeight="1">
      <c r="A3168" s="2" t="s">
        <v>7248</v>
      </c>
      <c r="B3168" s="2" t="s">
        <v>7249</v>
      </c>
      <c r="C3168" s="2" t="s">
        <v>26</v>
      </c>
      <c r="D3168" s="2" t="s">
        <v>56</v>
      </c>
      <c r="E3168" s="5">
        <v>-30622</v>
      </c>
      <c r="F3168" s="3" t="s">
        <v>907</v>
      </c>
      <c r="G3168" s="3" t="s">
        <v>58</v>
      </c>
      <c r="H3168" s="2" t="s">
        <v>21</v>
      </c>
      <c r="I3168" s="2" t="s">
        <v>7250</v>
      </c>
      <c r="J3168" s="3" t="str">
        <f>HYPERLINK("https://www.boe.es/gazeta/dias/1816/02/27/pdfs/GMD-1816-27E.pdf#page=1","Abrir facsímil")</f>
        <v>Abrir facsímil</v>
      </c>
      <c r="K3168" s="3" t="s">
        <v>23</v>
      </c>
    </row>
    <row r="3169" spans="1:11" ht="42" customHeight="1">
      <c r="A3169" s="2" t="s">
        <v>7251</v>
      </c>
      <c r="B3169" s="2" t="s">
        <v>7252</v>
      </c>
      <c r="C3169" s="2" t="s">
        <v>387</v>
      </c>
      <c r="D3169" s="2" t="s">
        <v>18</v>
      </c>
      <c r="E3169" s="5">
        <v>-30578</v>
      </c>
      <c r="F3169" s="3" t="s">
        <v>91</v>
      </c>
      <c r="G3169" s="3" t="s">
        <v>7253</v>
      </c>
      <c r="H3169" s="2" t="s">
        <v>21</v>
      </c>
      <c r="I3169" s="2" t="s">
        <v>7254</v>
      </c>
      <c r="J3169" s="3" t="str">
        <f>HYPERLINK("https://www.boe.es/gazeta/dias/1816/04/11/pdfs/GMD-1816-47.pdf#page=4","Abrir facsímil")</f>
        <v>Abrir facsímil</v>
      </c>
      <c r="K3169" s="3" t="s">
        <v>23</v>
      </c>
    </row>
    <row r="3170" spans="1:11" ht="42" customHeight="1">
      <c r="A3170" s="2" t="s">
        <v>7248</v>
      </c>
      <c r="B3170" s="2" t="s">
        <v>7249</v>
      </c>
      <c r="C3170" s="2" t="s">
        <v>26</v>
      </c>
      <c r="D3170" s="2" t="s">
        <v>18</v>
      </c>
      <c r="E3170" s="5">
        <v>-30557</v>
      </c>
      <c r="F3170" s="3" t="s">
        <v>508</v>
      </c>
      <c r="G3170" s="3" t="s">
        <v>47</v>
      </c>
      <c r="H3170" s="2" t="s">
        <v>21</v>
      </c>
      <c r="I3170" s="2" t="s">
        <v>7255</v>
      </c>
      <c r="J3170" s="3" t="str">
        <f>HYPERLINK("https://www.boe.es/gazeta/dias/1816/05/02/pdfs/GMD-1816-56.pdf#page=5","Abrir facsímil")</f>
        <v>Abrir facsímil</v>
      </c>
      <c r="K3170" s="3" t="s">
        <v>23</v>
      </c>
    </row>
    <row r="3171" spans="1:11" ht="42" customHeight="1">
      <c r="A3171" s="2" t="s">
        <v>7251</v>
      </c>
      <c r="B3171" s="2" t="s">
        <v>7252</v>
      </c>
      <c r="C3171" s="2" t="s">
        <v>111</v>
      </c>
      <c r="D3171" s="2" t="s">
        <v>112</v>
      </c>
      <c r="E3171" s="5">
        <v>-30527</v>
      </c>
      <c r="F3171" s="3" t="s">
        <v>304</v>
      </c>
      <c r="G3171" s="3" t="s">
        <v>28</v>
      </c>
      <c r="H3171" s="2" t="s">
        <v>21</v>
      </c>
      <c r="I3171" s="2" t="s">
        <v>7256</v>
      </c>
      <c r="J3171" s="3" t="str">
        <f>HYPERLINK("https://www.boe.es/gazeta/dias/1816/06/01/pdfs/GMD-1816-69.pdf#page=6","Abrir facsímil")</f>
        <v>Abrir facsímil</v>
      </c>
      <c r="K3171" s="3" t="s">
        <v>23</v>
      </c>
    </row>
    <row r="3172" spans="1:11" ht="42" customHeight="1">
      <c r="A3172" s="2" t="s">
        <v>7248</v>
      </c>
      <c r="B3172" s="2" t="s">
        <v>7249</v>
      </c>
      <c r="C3172" s="2" t="s">
        <v>34</v>
      </c>
      <c r="D3172" s="2" t="s">
        <v>35</v>
      </c>
      <c r="E3172" s="5">
        <v>-30410</v>
      </c>
      <c r="F3172" s="3" t="s">
        <v>1259</v>
      </c>
      <c r="G3172" s="3" t="s">
        <v>92</v>
      </c>
      <c r="H3172" s="2" t="s">
        <v>21</v>
      </c>
      <c r="I3172" s="2" t="s">
        <v>7257</v>
      </c>
      <c r="J3172" s="3" t="str">
        <f>HYPERLINK("https://www.boe.es/gazeta/dias/1816/09/26/pdfs/GMD-1816-119.pdf#page=9","Abrir facsímil")</f>
        <v>Abrir facsímil</v>
      </c>
      <c r="K3172" s="3" t="s">
        <v>23</v>
      </c>
    </row>
    <row r="3173" spans="1:11" ht="42" customHeight="1">
      <c r="A3173" s="2" t="s">
        <v>7258</v>
      </c>
      <c r="B3173" s="2" t="s">
        <v>7259</v>
      </c>
      <c r="C3173" s="2" t="s">
        <v>111</v>
      </c>
      <c r="D3173" s="2" t="s">
        <v>112</v>
      </c>
      <c r="E3173" s="5">
        <v>-30359</v>
      </c>
      <c r="F3173" s="3" t="s">
        <v>812</v>
      </c>
      <c r="G3173" s="3" t="s">
        <v>72</v>
      </c>
      <c r="H3173" s="2" t="s">
        <v>21</v>
      </c>
      <c r="I3173" s="2" t="s">
        <v>7260</v>
      </c>
      <c r="J3173" s="3" t="str">
        <f>HYPERLINK("https://www.boe.es/gazeta/dias/1816/11/16/pdfs/GMD-1816-143.pdf#page=7","Abrir facsímil")</f>
        <v>Abrir facsímil</v>
      </c>
      <c r="K3173" s="3" t="s">
        <v>23</v>
      </c>
    </row>
    <row r="3174" spans="1:11" ht="42" customHeight="1">
      <c r="A3174" s="2" t="s">
        <v>7261</v>
      </c>
      <c r="B3174" s="2" t="s">
        <v>7262</v>
      </c>
      <c r="C3174" s="2" t="s">
        <v>34</v>
      </c>
      <c r="D3174" s="2" t="s">
        <v>35</v>
      </c>
      <c r="E3174" s="5">
        <v>-30368</v>
      </c>
      <c r="F3174" s="3" t="s">
        <v>531</v>
      </c>
      <c r="G3174" s="3" t="s">
        <v>5892</v>
      </c>
      <c r="H3174" s="2" t="s">
        <v>21</v>
      </c>
      <c r="I3174" s="2" t="s">
        <v>7263</v>
      </c>
      <c r="J3174" s="3" t="str">
        <f>HYPERLINK("https://www.boe.es/gazeta/dias/1816/11/07/pdfs/GMD-1816-139.pdf#page=4","Abrir facsímil")</f>
        <v>Abrir facsímil</v>
      </c>
      <c r="K3174" s="3" t="s">
        <v>23</v>
      </c>
    </row>
    <row r="3175" spans="1:11" ht="42" customHeight="1">
      <c r="A3175" s="2" t="s">
        <v>7264</v>
      </c>
      <c r="B3175" s="2" t="s">
        <v>7265</v>
      </c>
      <c r="C3175" s="2" t="s">
        <v>34</v>
      </c>
      <c r="D3175" s="2" t="s">
        <v>35</v>
      </c>
      <c r="E3175" s="5">
        <v>-30443</v>
      </c>
      <c r="F3175" s="3" t="s">
        <v>259</v>
      </c>
      <c r="G3175" s="3" t="s">
        <v>260</v>
      </c>
      <c r="H3175" s="2" t="s">
        <v>21</v>
      </c>
      <c r="I3175" s="2" t="s">
        <v>7266</v>
      </c>
      <c r="J3175" s="3" t="str">
        <f>HYPERLINK("https://www.boe.es/gazeta/dias/1816/08/24/pdfs/GMD-1816-105.pdf#page=8","Abrir facsímil")</f>
        <v>Abrir facsímil</v>
      </c>
      <c r="K3175" s="3" t="s">
        <v>23</v>
      </c>
    </row>
    <row r="3176" spans="1:11" ht="42" customHeight="1">
      <c r="A3176" s="2" t="s">
        <v>7264</v>
      </c>
      <c r="B3176" s="2" t="s">
        <v>7265</v>
      </c>
      <c r="C3176" s="2" t="s">
        <v>41</v>
      </c>
      <c r="D3176" s="2" t="s">
        <v>18</v>
      </c>
      <c r="E3176" s="5">
        <v>-30415</v>
      </c>
      <c r="F3176" s="3" t="s">
        <v>585</v>
      </c>
      <c r="G3176" s="3" t="s">
        <v>175</v>
      </c>
      <c r="H3176" s="2" t="s">
        <v>21</v>
      </c>
      <c r="I3176" s="2" t="s">
        <v>7267</v>
      </c>
      <c r="J3176" s="3" t="str">
        <f>HYPERLINK("https://www.boe.es/gazeta/dias/1816/09/21/pdfs/GMD-1816-117.pdf#page=11","Abrir facsímil")</f>
        <v>Abrir facsímil</v>
      </c>
      <c r="K3176" s="3" t="s">
        <v>23</v>
      </c>
    </row>
    <row r="3177" spans="1:11" ht="42" customHeight="1">
      <c r="A3177" s="2" t="s">
        <v>7268</v>
      </c>
      <c r="B3177" s="2" t="s">
        <v>7268</v>
      </c>
      <c r="C3177" s="2" t="s">
        <v>26</v>
      </c>
      <c r="D3177" s="2" t="s">
        <v>18</v>
      </c>
      <c r="E3177" s="5">
        <v>-30454</v>
      </c>
      <c r="F3177" s="3" t="s">
        <v>188</v>
      </c>
      <c r="G3177" s="3" t="s">
        <v>52</v>
      </c>
      <c r="H3177" s="2" t="s">
        <v>21</v>
      </c>
      <c r="I3177" s="2" t="s">
        <v>7269</v>
      </c>
      <c r="J3177" s="3" t="str">
        <f>HYPERLINK("https://www.boe.es/gazeta/dias/1816/08/13/pdfs/GMD-1816-100.pdf#page=12","Abrir facsímil")</f>
        <v>Abrir facsímil</v>
      </c>
      <c r="K3177" s="3" t="s">
        <v>23</v>
      </c>
    </row>
    <row r="3178" spans="1:11" ht="42" customHeight="1">
      <c r="A3178" s="2" t="s">
        <v>7268</v>
      </c>
      <c r="B3178" s="2" t="s">
        <v>7268</v>
      </c>
      <c r="C3178" s="2" t="s">
        <v>34</v>
      </c>
      <c r="D3178" s="2" t="s">
        <v>35</v>
      </c>
      <c r="E3178" s="5">
        <v>-30445</v>
      </c>
      <c r="F3178" s="3" t="s">
        <v>51</v>
      </c>
      <c r="G3178" s="3" t="s">
        <v>72</v>
      </c>
      <c r="H3178" s="2" t="s">
        <v>21</v>
      </c>
      <c r="I3178" s="2" t="s">
        <v>7270</v>
      </c>
      <c r="J3178" s="3" t="str">
        <f>HYPERLINK("https://www.boe.es/gazeta/dias/1816/08/22/pdfs/GMD-1816-104.pdf#page=7","Abrir facsímil")</f>
        <v>Abrir facsímil</v>
      </c>
      <c r="K3178" s="3" t="s">
        <v>23</v>
      </c>
    </row>
    <row r="3179" spans="1:11" ht="42" customHeight="1">
      <c r="A3179" s="2" t="s">
        <v>7271</v>
      </c>
      <c r="B3179" s="2" t="s">
        <v>7272</v>
      </c>
      <c r="C3179" s="2" t="s">
        <v>387</v>
      </c>
      <c r="D3179" s="2" t="s">
        <v>18</v>
      </c>
      <c r="E3179" s="5">
        <v>-30587</v>
      </c>
      <c r="F3179" s="3" t="s">
        <v>341</v>
      </c>
      <c r="G3179" s="3" t="s">
        <v>47</v>
      </c>
      <c r="H3179" s="2" t="s">
        <v>21</v>
      </c>
      <c r="I3179" s="2" t="s">
        <v>7273</v>
      </c>
      <c r="J3179" s="3" t="str">
        <f>HYPERLINK("https://www.boe.es/gazeta/dias/1816/04/02/pdfs/GMD-1816-43.pdf#page=5","Abrir facsímil")</f>
        <v>Abrir facsímil</v>
      </c>
      <c r="K3179" s="3" t="s">
        <v>23</v>
      </c>
    </row>
    <row r="3180" spans="1:11" ht="42" customHeight="1">
      <c r="A3180" s="2" t="s">
        <v>7274</v>
      </c>
      <c r="B3180" s="2" t="s">
        <v>7274</v>
      </c>
      <c r="C3180" s="2" t="s">
        <v>387</v>
      </c>
      <c r="D3180" s="2" t="s">
        <v>18</v>
      </c>
      <c r="E3180" s="5">
        <v>-30583</v>
      </c>
      <c r="F3180" s="3" t="s">
        <v>241</v>
      </c>
      <c r="G3180" s="3" t="s">
        <v>184</v>
      </c>
      <c r="H3180" s="2" t="s">
        <v>21</v>
      </c>
      <c r="I3180" s="2" t="s">
        <v>7275</v>
      </c>
      <c r="J3180" s="3" t="str">
        <f>HYPERLINK("https://www.boe.es/gazeta/dias/1816/04/06/pdfs/GMD-1816-45.pdf#page=3","Abrir facsímil")</f>
        <v>Abrir facsímil</v>
      </c>
      <c r="K3180" s="3" t="s">
        <v>23</v>
      </c>
    </row>
    <row r="3181" spans="1:11" ht="42" customHeight="1">
      <c r="A3181" s="2" t="s">
        <v>7276</v>
      </c>
      <c r="B3181" s="2" t="s">
        <v>7277</v>
      </c>
      <c r="C3181" s="2" t="s">
        <v>34</v>
      </c>
      <c r="D3181" s="2" t="s">
        <v>35</v>
      </c>
      <c r="E3181" s="5">
        <v>-30321</v>
      </c>
      <c r="F3181" s="3" t="s">
        <v>1086</v>
      </c>
      <c r="G3181" s="3" t="s">
        <v>180</v>
      </c>
      <c r="H3181" s="2" t="s">
        <v>21</v>
      </c>
      <c r="I3181" s="2" t="s">
        <v>7278</v>
      </c>
      <c r="J3181" s="3" t="str">
        <f>HYPERLINK("https://www.boe.es/gazeta/dias/1816/12/24/pdfs/GMD-1816-159.pdf#page=10","Abrir facsímil")</f>
        <v>Abrir facsímil</v>
      </c>
      <c r="K3181" s="3" t="s">
        <v>23</v>
      </c>
    </row>
    <row r="3182" spans="1:11" ht="42" customHeight="1">
      <c r="A3182" s="2" t="s">
        <v>7279</v>
      </c>
      <c r="B3182" s="2" t="s">
        <v>7280</v>
      </c>
      <c r="C3182" s="2" t="s">
        <v>34</v>
      </c>
      <c r="D3182" s="2" t="s">
        <v>35</v>
      </c>
      <c r="E3182" s="5">
        <v>-30545</v>
      </c>
      <c r="F3182" s="3" t="s">
        <v>127</v>
      </c>
      <c r="G3182" s="3" t="s">
        <v>72</v>
      </c>
      <c r="H3182" s="2" t="s">
        <v>21</v>
      </c>
      <c r="I3182" s="2" t="s">
        <v>7281</v>
      </c>
      <c r="J3182" s="3" t="str">
        <f>HYPERLINK("https://www.boe.es/gazeta/dias/1816/05/14/pdfs/GMD-1816-61.pdf#page=7","Abrir facsímil")</f>
        <v>Abrir facsímil</v>
      </c>
      <c r="K3182" s="3" t="s">
        <v>23</v>
      </c>
    </row>
    <row r="3183" spans="1:11" ht="42" customHeight="1">
      <c r="A3183" s="2" t="s">
        <v>7279</v>
      </c>
      <c r="B3183" s="2" t="s">
        <v>7280</v>
      </c>
      <c r="C3183" s="2" t="s">
        <v>111</v>
      </c>
      <c r="D3183" s="2" t="s">
        <v>112</v>
      </c>
      <c r="E3183" s="5">
        <v>-30396</v>
      </c>
      <c r="F3183" s="3" t="s">
        <v>1623</v>
      </c>
      <c r="G3183" s="3" t="s">
        <v>180</v>
      </c>
      <c r="H3183" s="2" t="s">
        <v>21</v>
      </c>
      <c r="I3183" s="2" t="s">
        <v>7282</v>
      </c>
      <c r="J3183" s="3" t="str">
        <f>HYPERLINK("https://www.boe.es/gazeta/dias/1816/10/10/pdfs/GMD-1816-126.pdf#page=10","Abrir facsímil")</f>
        <v>Abrir facsímil</v>
      </c>
      <c r="K3183" s="3" t="s">
        <v>23</v>
      </c>
    </row>
    <row r="3184" spans="1:11" ht="42" customHeight="1">
      <c r="A3184" s="2" t="s">
        <v>7283</v>
      </c>
      <c r="B3184" s="2" t="s">
        <v>7284</v>
      </c>
      <c r="C3184" s="2" t="s">
        <v>34</v>
      </c>
      <c r="D3184" s="2" t="s">
        <v>35</v>
      </c>
      <c r="E3184" s="5">
        <v>-30389</v>
      </c>
      <c r="F3184" s="3" t="s">
        <v>522</v>
      </c>
      <c r="G3184" s="3" t="s">
        <v>47</v>
      </c>
      <c r="H3184" s="2" t="s">
        <v>21</v>
      </c>
      <c r="I3184" s="2" t="s">
        <v>7285</v>
      </c>
      <c r="J3184" s="3" t="str">
        <f>HYPERLINK("https://www.boe.es/gazeta/dias/1816/10/17/pdfs/GMD-1816-130.pdf#page=5","Abrir facsímil")</f>
        <v>Abrir facsímil</v>
      </c>
      <c r="K3184" s="3" t="s">
        <v>23</v>
      </c>
    </row>
    <row r="3185" spans="1:11" ht="42" customHeight="1">
      <c r="A3185" s="2" t="s">
        <v>7286</v>
      </c>
      <c r="B3185" s="2" t="s">
        <v>7287</v>
      </c>
      <c r="C3185" s="2" t="s">
        <v>111</v>
      </c>
      <c r="D3185" s="2" t="s">
        <v>112</v>
      </c>
      <c r="E3185" s="5">
        <v>-30550</v>
      </c>
      <c r="F3185" s="3" t="s">
        <v>435</v>
      </c>
      <c r="G3185" s="3" t="s">
        <v>28</v>
      </c>
      <c r="H3185" s="2" t="s">
        <v>21</v>
      </c>
      <c r="I3185" s="2" t="s">
        <v>7288</v>
      </c>
      <c r="J3185" s="3" t="str">
        <f>HYPERLINK("https://www.boe.es/gazeta/dias/1816/05/09/pdfs/GMD-1816-59.pdf#page=6","Abrir facsímil")</f>
        <v>Abrir facsímil</v>
      </c>
      <c r="K3185" s="3" t="s">
        <v>23</v>
      </c>
    </row>
    <row r="3186" spans="1:11" ht="42" customHeight="1">
      <c r="A3186" s="2" t="s">
        <v>7289</v>
      </c>
      <c r="B3186" s="2" t="s">
        <v>7290</v>
      </c>
      <c r="C3186" s="2" t="s">
        <v>26</v>
      </c>
      <c r="D3186" s="2" t="s">
        <v>18</v>
      </c>
      <c r="E3186" s="5">
        <v>-30655</v>
      </c>
      <c r="F3186" s="3" t="s">
        <v>170</v>
      </c>
      <c r="G3186" s="3" t="s">
        <v>72</v>
      </c>
      <c r="H3186" s="2" t="s">
        <v>21</v>
      </c>
      <c r="I3186" s="2" t="s">
        <v>7291</v>
      </c>
      <c r="J3186" s="3" t="str">
        <f>HYPERLINK("https://www.boe.es/gazeta/dias/1816/01/25/pdfs/GMD-1816-11.pdf#page=7","Abrir facsímil")</f>
        <v>Abrir facsímil</v>
      </c>
      <c r="K3186" s="3" t="s">
        <v>23</v>
      </c>
    </row>
    <row r="3187" spans="1:11" ht="42" customHeight="1">
      <c r="A3187" s="2" t="s">
        <v>7292</v>
      </c>
      <c r="B3187" s="2" t="s">
        <v>7292</v>
      </c>
      <c r="C3187" s="2" t="s">
        <v>26</v>
      </c>
      <c r="D3187" s="2" t="s">
        <v>18</v>
      </c>
      <c r="E3187" s="5">
        <v>-30508</v>
      </c>
      <c r="F3187" s="3" t="s">
        <v>36</v>
      </c>
      <c r="G3187" s="3" t="s">
        <v>28</v>
      </c>
      <c r="H3187" s="2" t="s">
        <v>21</v>
      </c>
      <c r="I3187" s="2" t="s">
        <v>7293</v>
      </c>
      <c r="J3187" s="3" t="str">
        <f>HYPERLINK("https://www.boe.es/gazeta/dias/1816/06/20/pdfs/GMD-1816-77.pdf#page=6","Abrir facsímil")</f>
        <v>Abrir facsímil</v>
      </c>
      <c r="K3187" s="3" t="s">
        <v>23</v>
      </c>
    </row>
    <row r="3188" spans="1:11" ht="42" customHeight="1">
      <c r="A3188" s="2" t="s">
        <v>7294</v>
      </c>
      <c r="B3188" s="2" t="s">
        <v>7295</v>
      </c>
      <c r="C3188" s="2" t="s">
        <v>67</v>
      </c>
      <c r="D3188" s="2" t="s">
        <v>18</v>
      </c>
      <c r="E3188" s="5">
        <v>-30492</v>
      </c>
      <c r="F3188" s="3" t="s">
        <v>248</v>
      </c>
      <c r="G3188" s="3" t="s">
        <v>92</v>
      </c>
      <c r="H3188" s="2" t="s">
        <v>21</v>
      </c>
      <c r="I3188" s="2" t="s">
        <v>7296</v>
      </c>
      <c r="J3188" s="3" t="str">
        <f>HYPERLINK("https://www.boe.es/gazeta/dias/1816/07/06/pdfs/GMD-1816-84.pdf#page=9","Abrir facsímil")</f>
        <v>Abrir facsímil</v>
      </c>
      <c r="K3188" s="3" t="s">
        <v>23</v>
      </c>
    </row>
    <row r="3189" spans="1:11" ht="42" customHeight="1">
      <c r="A3189" s="2" t="s">
        <v>7297</v>
      </c>
      <c r="B3189" s="2" t="s">
        <v>7298</v>
      </c>
      <c r="C3189" s="2" t="s">
        <v>81</v>
      </c>
      <c r="D3189" s="2" t="s">
        <v>18</v>
      </c>
      <c r="E3189" s="5">
        <v>-30443</v>
      </c>
      <c r="F3189" s="3" t="s">
        <v>259</v>
      </c>
      <c r="G3189" s="3" t="s">
        <v>3380</v>
      </c>
      <c r="H3189" s="2" t="s">
        <v>21</v>
      </c>
      <c r="I3189" s="2" t="s">
        <v>7299</v>
      </c>
      <c r="J3189" s="3" t="str">
        <f>HYPERLINK("https://www.boe.es/gazeta/dias/1816/08/24/pdfs/GMD-1816-105.pdf#page=6","Abrir facsímil")</f>
        <v>Abrir facsímil</v>
      </c>
      <c r="K3189" s="3" t="s">
        <v>23</v>
      </c>
    </row>
    <row r="3190" spans="1:11" ht="42" customHeight="1">
      <c r="A3190" s="2" t="s">
        <v>7300</v>
      </c>
      <c r="B3190" s="2" t="s">
        <v>7301</v>
      </c>
      <c r="C3190" s="2" t="s">
        <v>111</v>
      </c>
      <c r="D3190" s="2" t="s">
        <v>112</v>
      </c>
      <c r="E3190" s="5">
        <v>-30443</v>
      </c>
      <c r="F3190" s="3" t="s">
        <v>259</v>
      </c>
      <c r="G3190" s="3" t="s">
        <v>72</v>
      </c>
      <c r="H3190" s="2" t="s">
        <v>21</v>
      </c>
      <c r="I3190" s="2" t="s">
        <v>7302</v>
      </c>
      <c r="J3190" s="3" t="str">
        <f>HYPERLINK("https://www.boe.es/gazeta/dias/1816/08/24/pdfs/GMD-1816-105.pdf#page=7","Abrir facsímil")</f>
        <v>Abrir facsímil</v>
      </c>
      <c r="K3190" s="3" t="s">
        <v>23</v>
      </c>
    </row>
    <row r="3191" spans="1:11" ht="42" customHeight="1">
      <c r="A3191" s="2" t="s">
        <v>7303</v>
      </c>
      <c r="B3191" s="2" t="s">
        <v>7304</v>
      </c>
      <c r="C3191" s="2" t="s">
        <v>26</v>
      </c>
      <c r="D3191" s="2" t="s">
        <v>18</v>
      </c>
      <c r="E3191" s="5">
        <v>-30636</v>
      </c>
      <c r="F3191" s="3" t="s">
        <v>82</v>
      </c>
      <c r="G3191" s="3" t="s">
        <v>83</v>
      </c>
      <c r="H3191" s="2" t="s">
        <v>21</v>
      </c>
      <c r="I3191" s="2" t="s">
        <v>7305</v>
      </c>
      <c r="J3191" s="3" t="str">
        <f>HYPERLINK("https://www.boe.es/gazeta/dias/1816/02/13/pdfs/GMD-1816-20.pdf#page=8","Abrir facsímil")</f>
        <v>Abrir facsímil</v>
      </c>
      <c r="K3191" s="3" t="s">
        <v>23</v>
      </c>
    </row>
    <row r="3192" spans="1:11" ht="42" customHeight="1">
      <c r="A3192" s="2" t="s">
        <v>7306</v>
      </c>
      <c r="B3192" s="2" t="s">
        <v>7307</v>
      </c>
      <c r="C3192" s="2" t="s">
        <v>26</v>
      </c>
      <c r="D3192" s="2" t="s">
        <v>18</v>
      </c>
      <c r="E3192" s="5">
        <v>-30401</v>
      </c>
      <c r="F3192" s="3" t="s">
        <v>652</v>
      </c>
      <c r="G3192" s="3" t="s">
        <v>28</v>
      </c>
      <c r="H3192" s="2" t="s">
        <v>21</v>
      </c>
      <c r="I3192" s="2" t="s">
        <v>7308</v>
      </c>
      <c r="J3192" s="3" t="str">
        <f>HYPERLINK("https://www.boe.es/gazeta/dias/1816/10/05/pdfs/GMD-1816-123.pdf#page=6","Abrir facsímil")</f>
        <v>Abrir facsímil</v>
      </c>
      <c r="K3192" s="3" t="s">
        <v>23</v>
      </c>
    </row>
    <row r="3193" spans="1:11" ht="42" customHeight="1">
      <c r="A3193" s="2" t="s">
        <v>7309</v>
      </c>
      <c r="B3193" s="2" t="s">
        <v>7309</v>
      </c>
      <c r="C3193" s="2" t="s">
        <v>41</v>
      </c>
      <c r="D3193" s="2" t="s">
        <v>18</v>
      </c>
      <c r="E3193" s="5">
        <v>-30587</v>
      </c>
      <c r="F3193" s="3" t="s">
        <v>341</v>
      </c>
      <c r="G3193" s="3" t="s">
        <v>47</v>
      </c>
      <c r="H3193" s="2" t="s">
        <v>21</v>
      </c>
      <c r="I3193" s="2" t="s">
        <v>7310</v>
      </c>
      <c r="J3193" s="3" t="str">
        <f>HYPERLINK("https://www.boe.es/gazeta/dias/1816/04/02/pdfs/GMD-1816-43.pdf#page=5","Abrir facsímil")</f>
        <v>Abrir facsímil</v>
      </c>
      <c r="K3193" s="3" t="s">
        <v>23</v>
      </c>
    </row>
    <row r="3194" spans="1:11" ht="42" customHeight="1">
      <c r="A3194" s="2" t="s">
        <v>7309</v>
      </c>
      <c r="B3194" s="2" t="s">
        <v>7309</v>
      </c>
      <c r="C3194" s="2" t="s">
        <v>26</v>
      </c>
      <c r="D3194" s="2" t="s">
        <v>18</v>
      </c>
      <c r="E3194" s="5">
        <v>-30415</v>
      </c>
      <c r="F3194" s="3" t="s">
        <v>585</v>
      </c>
      <c r="G3194" s="3" t="s">
        <v>1156</v>
      </c>
      <c r="H3194" s="2" t="s">
        <v>21</v>
      </c>
      <c r="I3194" s="2" t="s">
        <v>7311</v>
      </c>
      <c r="J3194" s="3" t="str">
        <f>HYPERLINK("https://www.boe.es/gazeta/dias/1816/09/21/pdfs/GMD-1816-117.pdf#page=7","Abrir facsímil")</f>
        <v>Abrir facsímil</v>
      </c>
      <c r="K3194" s="3" t="s">
        <v>23</v>
      </c>
    </row>
    <row r="3195" spans="1:11" ht="42" customHeight="1">
      <c r="A3195" s="2" t="s">
        <v>7312</v>
      </c>
      <c r="B3195" s="2" t="s">
        <v>7313</v>
      </c>
      <c r="C3195" s="2" t="s">
        <v>26</v>
      </c>
      <c r="D3195" s="2" t="s">
        <v>18</v>
      </c>
      <c r="E3195" s="5">
        <v>-30478</v>
      </c>
      <c r="F3195" s="3" t="s">
        <v>123</v>
      </c>
      <c r="G3195" s="3" t="s">
        <v>2092</v>
      </c>
      <c r="H3195" s="2" t="s">
        <v>21</v>
      </c>
      <c r="I3195" s="2" t="s">
        <v>7314</v>
      </c>
      <c r="J3195" s="3" t="str">
        <f>HYPERLINK("https://www.boe.es/gazeta/dias/1816/07/20/pdfs/GMD-1816-90.pdf#page=5","Abrir facsímil")</f>
        <v>Abrir facsímil</v>
      </c>
      <c r="K3195" s="3" t="s">
        <v>23</v>
      </c>
    </row>
    <row r="3196" spans="1:11" ht="42" customHeight="1">
      <c r="A3196" s="2" t="s">
        <v>7315</v>
      </c>
      <c r="B3196" s="2" t="s">
        <v>7316</v>
      </c>
      <c r="C3196" s="2" t="s">
        <v>34</v>
      </c>
      <c r="D3196" s="2" t="s">
        <v>35</v>
      </c>
      <c r="E3196" s="5">
        <v>-30573</v>
      </c>
      <c r="F3196" s="3" t="s">
        <v>840</v>
      </c>
      <c r="G3196" s="3" t="s">
        <v>103</v>
      </c>
      <c r="H3196" s="2" t="s">
        <v>21</v>
      </c>
      <c r="I3196" s="2" t="s">
        <v>7317</v>
      </c>
      <c r="J3196" s="3" t="str">
        <f>HYPERLINK("https://www.boe.es/gazeta/dias/1816/04/16/pdfs/GMD-1816-49.pdf#page=4","Abrir facsímil")</f>
        <v>Abrir facsímil</v>
      </c>
      <c r="K3196" s="3" t="s">
        <v>23</v>
      </c>
    </row>
    <row r="3197" spans="1:11" ht="42" customHeight="1">
      <c r="A3197" s="2" t="s">
        <v>7315</v>
      </c>
      <c r="B3197" s="2" t="s">
        <v>7316</v>
      </c>
      <c r="C3197" s="2" t="s">
        <v>34</v>
      </c>
      <c r="D3197" s="2" t="s">
        <v>35</v>
      </c>
      <c r="E3197" s="5">
        <v>-30573</v>
      </c>
      <c r="F3197" s="3" t="s">
        <v>840</v>
      </c>
      <c r="G3197" s="3" t="s">
        <v>47</v>
      </c>
      <c r="H3197" s="2" t="s">
        <v>21</v>
      </c>
      <c r="I3197" s="2" t="s">
        <v>7318</v>
      </c>
      <c r="J3197" s="3" t="str">
        <f>HYPERLINK("https://www.boe.es/gazeta/dias/1816/04/16/pdfs/GMD-1816-49.pdf#page=5","Abrir facsímil")</f>
        <v>Abrir facsímil</v>
      </c>
      <c r="K3197" s="3" t="s">
        <v>23</v>
      </c>
    </row>
    <row r="3198" spans="1:11" ht="42" customHeight="1">
      <c r="A3198" s="2" t="s">
        <v>7319</v>
      </c>
      <c r="B3198" s="2" t="s">
        <v>7320</v>
      </c>
      <c r="C3198" s="2" t="s">
        <v>34</v>
      </c>
      <c r="D3198" s="2" t="s">
        <v>35</v>
      </c>
      <c r="E3198" s="5">
        <v>-30391</v>
      </c>
      <c r="F3198" s="3" t="s">
        <v>482</v>
      </c>
      <c r="G3198" s="3" t="s">
        <v>28</v>
      </c>
      <c r="H3198" s="2" t="s">
        <v>21</v>
      </c>
      <c r="I3198" s="2" t="s">
        <v>7321</v>
      </c>
      <c r="J3198" s="3" t="str">
        <f>HYPERLINK("https://www.boe.es/gazeta/dias/1816/10/15/pdfs/GMD-1816-129.pdf#page=6","Abrir facsímil")</f>
        <v>Abrir facsímil</v>
      </c>
      <c r="K3198" s="3" t="s">
        <v>23</v>
      </c>
    </row>
    <row r="3199" spans="1:11" ht="42" customHeight="1">
      <c r="A3199" s="2" t="s">
        <v>7322</v>
      </c>
      <c r="B3199" s="2" t="s">
        <v>7323</v>
      </c>
      <c r="C3199" s="2" t="s">
        <v>26</v>
      </c>
      <c r="D3199" s="2" t="s">
        <v>18</v>
      </c>
      <c r="E3199" s="5">
        <v>-30585</v>
      </c>
      <c r="F3199" s="3" t="s">
        <v>633</v>
      </c>
      <c r="G3199" s="3" t="s">
        <v>634</v>
      </c>
      <c r="H3199" s="2" t="s">
        <v>21</v>
      </c>
      <c r="I3199" s="2" t="s">
        <v>7324</v>
      </c>
      <c r="J3199" s="3" t="str">
        <f>HYPERLINK("https://www.boe.es/gazeta/dias/1816/04/04/pdfs/GMD-1816-44.pdf#page=6","Abrir facsímil")</f>
        <v>Abrir facsímil</v>
      </c>
      <c r="K3199" s="3" t="s">
        <v>23</v>
      </c>
    </row>
    <row r="3200" spans="1:11" ht="42" customHeight="1">
      <c r="A3200" s="2" t="s">
        <v>7325</v>
      </c>
      <c r="B3200" s="2" t="s">
        <v>7326</v>
      </c>
      <c r="C3200" s="2" t="s">
        <v>67</v>
      </c>
      <c r="D3200" s="2" t="s">
        <v>18</v>
      </c>
      <c r="E3200" s="5">
        <v>-30335</v>
      </c>
      <c r="F3200" s="3" t="s">
        <v>468</v>
      </c>
      <c r="G3200" s="3" t="s">
        <v>47</v>
      </c>
      <c r="H3200" s="2" t="s">
        <v>21</v>
      </c>
      <c r="I3200" s="2" t="s">
        <v>7327</v>
      </c>
      <c r="J3200" s="3" t="str">
        <f>HYPERLINK("https://www.boe.es/gazeta/dias/1816/12/10/pdfs/GMD-1816-153.pdf#page=5","Abrir facsímil")</f>
        <v>Abrir facsímil</v>
      </c>
      <c r="K3200" s="3" t="s">
        <v>23</v>
      </c>
    </row>
    <row r="3201" spans="1:11" ht="42" customHeight="1">
      <c r="A3201" s="2" t="s">
        <v>7328</v>
      </c>
      <c r="B3201" s="2" t="s">
        <v>7329</v>
      </c>
      <c r="C3201" s="2" t="s">
        <v>26</v>
      </c>
      <c r="D3201" s="2" t="s">
        <v>56</v>
      </c>
      <c r="E3201" s="5">
        <v>-30393</v>
      </c>
      <c r="F3201" s="3" t="s">
        <v>202</v>
      </c>
      <c r="G3201" s="3" t="s">
        <v>47</v>
      </c>
      <c r="H3201" s="2" t="s">
        <v>21</v>
      </c>
      <c r="I3201" s="2" t="s">
        <v>7330</v>
      </c>
      <c r="J3201" s="3" t="str">
        <f>HYPERLINK("https://www.boe.es/gazeta/dias/1816/10/13/pdfs/GMD-1816-128E.pdf#page=5","Abrir facsímil")</f>
        <v>Abrir facsímil</v>
      </c>
      <c r="K3201" s="3" t="s">
        <v>23</v>
      </c>
    </row>
    <row r="3202" spans="1:11" ht="42" customHeight="1">
      <c r="A3202" s="2" t="s">
        <v>7331</v>
      </c>
      <c r="B3202" s="2" t="s">
        <v>7332</v>
      </c>
      <c r="C3202" s="2" t="s">
        <v>26</v>
      </c>
      <c r="D3202" s="2" t="s">
        <v>18</v>
      </c>
      <c r="E3202" s="5">
        <v>-30366</v>
      </c>
      <c r="F3202" s="3" t="s">
        <v>179</v>
      </c>
      <c r="G3202" s="3" t="s">
        <v>28</v>
      </c>
      <c r="H3202" s="2" t="s">
        <v>21</v>
      </c>
      <c r="I3202" s="2" t="s">
        <v>7333</v>
      </c>
      <c r="J3202" s="3" t="str">
        <f>HYPERLINK("https://www.boe.es/gazeta/dias/1816/11/09/pdfs/GMD-1816-140.pdf#page=6","Abrir facsímil")</f>
        <v>Abrir facsímil</v>
      </c>
      <c r="K3202" s="3" t="s">
        <v>23</v>
      </c>
    </row>
    <row r="3203" spans="1:11" ht="42" customHeight="1">
      <c r="A3203" s="2" t="s">
        <v>7334</v>
      </c>
      <c r="B3203" s="2" t="s">
        <v>7335</v>
      </c>
      <c r="C3203" s="2" t="s">
        <v>34</v>
      </c>
      <c r="D3203" s="2" t="s">
        <v>56</v>
      </c>
      <c r="E3203" s="5">
        <v>-30393</v>
      </c>
      <c r="F3203" s="3" t="s">
        <v>202</v>
      </c>
      <c r="G3203" s="3" t="s">
        <v>42</v>
      </c>
      <c r="H3203" s="2" t="s">
        <v>21</v>
      </c>
      <c r="I3203" s="2" t="s">
        <v>7336</v>
      </c>
      <c r="J3203" s="3" t="str">
        <f>HYPERLINK("https://www.boe.es/gazeta/dias/1816/10/13/pdfs/GMD-1816-128E.pdf#page=8","Abrir facsímil")</f>
        <v>Abrir facsímil</v>
      </c>
      <c r="K3203" s="3" t="s">
        <v>23</v>
      </c>
    </row>
    <row r="3204" spans="1:11" ht="42" customHeight="1">
      <c r="A3204" s="2" t="s">
        <v>7337</v>
      </c>
      <c r="B3204" s="2" t="s">
        <v>7338</v>
      </c>
      <c r="C3204" s="2" t="s">
        <v>111</v>
      </c>
      <c r="D3204" s="2" t="s">
        <v>56</v>
      </c>
      <c r="E3204" s="5">
        <v>-30393</v>
      </c>
      <c r="F3204" s="3" t="s">
        <v>202</v>
      </c>
      <c r="G3204" s="3" t="s">
        <v>270</v>
      </c>
      <c r="H3204" s="2" t="s">
        <v>21</v>
      </c>
      <c r="I3204" s="2" t="s">
        <v>7339</v>
      </c>
      <c r="J3204" s="3" t="str">
        <f>HYPERLINK("https://www.boe.es/gazeta/dias/1816/10/13/pdfs/GMD-1816-128E.pdf#page=2","Abrir facsímil")</f>
        <v>Abrir facsímil</v>
      </c>
      <c r="K3204" s="3" t="s">
        <v>23</v>
      </c>
    </row>
    <row r="3205" spans="1:11" ht="42" customHeight="1">
      <c r="A3205" s="2" t="s">
        <v>7340</v>
      </c>
      <c r="B3205" s="2" t="s">
        <v>7341</v>
      </c>
      <c r="C3205" s="2" t="s">
        <v>26</v>
      </c>
      <c r="D3205" s="2" t="s">
        <v>18</v>
      </c>
      <c r="E3205" s="5">
        <v>-30545</v>
      </c>
      <c r="F3205" s="3" t="s">
        <v>127</v>
      </c>
      <c r="G3205" s="3" t="s">
        <v>42</v>
      </c>
      <c r="H3205" s="2" t="s">
        <v>21</v>
      </c>
      <c r="I3205" s="2" t="s">
        <v>7342</v>
      </c>
      <c r="J3205" s="3" t="str">
        <f>HYPERLINK("https://www.boe.es/gazeta/dias/1816/05/14/pdfs/GMD-1816-61.pdf#page=8","Abrir facsímil")</f>
        <v>Abrir facsímil</v>
      </c>
      <c r="K3205" s="3" t="s">
        <v>23</v>
      </c>
    </row>
    <row r="3206" spans="1:11" ht="42" customHeight="1">
      <c r="A3206" s="2" t="s">
        <v>7343</v>
      </c>
      <c r="B3206" s="2" t="s">
        <v>7344</v>
      </c>
      <c r="C3206" s="2" t="s">
        <v>26</v>
      </c>
      <c r="D3206" s="2" t="s">
        <v>18</v>
      </c>
      <c r="E3206" s="5">
        <v>-30592</v>
      </c>
      <c r="F3206" s="3" t="s">
        <v>236</v>
      </c>
      <c r="G3206" s="3" t="s">
        <v>42</v>
      </c>
      <c r="H3206" s="2" t="s">
        <v>21</v>
      </c>
      <c r="I3206" s="2" t="s">
        <v>7345</v>
      </c>
      <c r="J3206" s="3" t="str">
        <f>HYPERLINK("https://www.boe.es/gazeta/dias/1816/03/28/pdfs/GMD-1816-41.pdf#page=8","Abrir facsímil")</f>
        <v>Abrir facsímil</v>
      </c>
      <c r="K3206" s="3" t="s">
        <v>23</v>
      </c>
    </row>
    <row r="3207" spans="1:11" ht="42" customHeight="1">
      <c r="A3207" s="2" t="s">
        <v>7346</v>
      </c>
      <c r="B3207" s="2" t="s">
        <v>7347</v>
      </c>
      <c r="C3207" s="2" t="s">
        <v>26</v>
      </c>
      <c r="D3207" s="2" t="s">
        <v>18</v>
      </c>
      <c r="E3207" s="5">
        <v>-30636</v>
      </c>
      <c r="F3207" s="3" t="s">
        <v>82</v>
      </c>
      <c r="G3207" s="3" t="s">
        <v>83</v>
      </c>
      <c r="H3207" s="2" t="s">
        <v>21</v>
      </c>
      <c r="I3207" s="2" t="s">
        <v>7348</v>
      </c>
      <c r="J3207" s="3" t="str">
        <f>HYPERLINK("https://www.boe.es/gazeta/dias/1816/02/13/pdfs/GMD-1816-20.pdf#page=8","Abrir facsímil")</f>
        <v>Abrir facsímil</v>
      </c>
      <c r="K3207" s="3" t="s">
        <v>23</v>
      </c>
    </row>
    <row r="3208" spans="1:11" ht="42" customHeight="1">
      <c r="A3208" s="2" t="s">
        <v>7349</v>
      </c>
      <c r="B3208" s="2" t="s">
        <v>7350</v>
      </c>
      <c r="C3208" s="2" t="s">
        <v>34</v>
      </c>
      <c r="D3208" s="2" t="s">
        <v>35</v>
      </c>
      <c r="E3208" s="5">
        <v>-30585</v>
      </c>
      <c r="F3208" s="3" t="s">
        <v>633</v>
      </c>
      <c r="G3208" s="3" t="s">
        <v>42</v>
      </c>
      <c r="H3208" s="2" t="s">
        <v>21</v>
      </c>
      <c r="I3208" s="2" t="s">
        <v>7351</v>
      </c>
      <c r="J3208" s="3" t="str">
        <f>HYPERLINK("https://www.boe.es/gazeta/dias/1816/04/04/pdfs/GMD-1816-44.pdf#page=8","Abrir facsímil")</f>
        <v>Abrir facsímil</v>
      </c>
      <c r="K3208" s="3" t="s">
        <v>23</v>
      </c>
    </row>
    <row r="3209" spans="1:11" ht="42" customHeight="1">
      <c r="A3209" s="2" t="s">
        <v>7352</v>
      </c>
      <c r="B3209" s="2" t="s">
        <v>7353</v>
      </c>
      <c r="C3209" s="2" t="s">
        <v>26</v>
      </c>
      <c r="D3209" s="2" t="s">
        <v>18</v>
      </c>
      <c r="E3209" s="5">
        <v>-30524</v>
      </c>
      <c r="F3209" s="3" t="s">
        <v>98</v>
      </c>
      <c r="G3209" s="3" t="s">
        <v>1209</v>
      </c>
      <c r="H3209" s="2" t="s">
        <v>21</v>
      </c>
      <c r="I3209" s="2" t="s">
        <v>7354</v>
      </c>
      <c r="J3209" s="3" t="str">
        <f>HYPERLINK("https://www.boe.es/gazeta/dias/1816/06/04/pdfs/GMD-1816-70.pdf#page=8","Abrir facsímil")</f>
        <v>Abrir facsímil</v>
      </c>
      <c r="K3209" s="3" t="s">
        <v>23</v>
      </c>
    </row>
    <row r="3210" spans="1:11" ht="42" customHeight="1">
      <c r="A3210" s="2" t="s">
        <v>7355</v>
      </c>
      <c r="B3210" s="2" t="s">
        <v>7356</v>
      </c>
      <c r="C3210" s="2" t="s">
        <v>26</v>
      </c>
      <c r="D3210" s="2" t="s">
        <v>18</v>
      </c>
      <c r="E3210" s="5">
        <v>-30450</v>
      </c>
      <c r="F3210" s="3" t="s">
        <v>349</v>
      </c>
      <c r="G3210" s="3" t="s">
        <v>47</v>
      </c>
      <c r="H3210" s="2" t="s">
        <v>21</v>
      </c>
      <c r="I3210" s="2" t="s">
        <v>7357</v>
      </c>
      <c r="J3210" s="3" t="str">
        <f>HYPERLINK("https://www.boe.es/gazeta/dias/1816/08/17/pdfs/GMD-1816-102.pdf#page=5","Abrir facsímil")</f>
        <v>Abrir facsímil</v>
      </c>
      <c r="K3210" s="3" t="s">
        <v>23</v>
      </c>
    </row>
    <row r="3211" spans="1:11" ht="42" customHeight="1">
      <c r="A3211" s="2" t="s">
        <v>7358</v>
      </c>
      <c r="B3211" s="2" t="s">
        <v>7359</v>
      </c>
      <c r="C3211" s="2" t="s">
        <v>111</v>
      </c>
      <c r="D3211" s="2" t="s">
        <v>112</v>
      </c>
      <c r="E3211" s="5">
        <v>-30580</v>
      </c>
      <c r="F3211" s="3" t="s">
        <v>107</v>
      </c>
      <c r="G3211" s="3" t="s">
        <v>42</v>
      </c>
      <c r="H3211" s="2" t="s">
        <v>21</v>
      </c>
      <c r="I3211" s="2" t="s">
        <v>7360</v>
      </c>
      <c r="J3211" s="3" t="str">
        <f>HYPERLINK("https://www.boe.es/gazeta/dias/1816/04/09/pdfs/GMD-1816-46.pdf#page=8","Abrir facsímil")</f>
        <v>Abrir facsímil</v>
      </c>
      <c r="K3211" s="3" t="s">
        <v>23</v>
      </c>
    </row>
    <row r="3212" spans="1:11" ht="42" customHeight="1">
      <c r="A3212" s="2" t="s">
        <v>7361</v>
      </c>
      <c r="B3212" s="2" t="s">
        <v>7362</v>
      </c>
      <c r="C3212" s="2" t="s">
        <v>41</v>
      </c>
      <c r="D3212" s="2" t="s">
        <v>18</v>
      </c>
      <c r="E3212" s="5">
        <v>-30669</v>
      </c>
      <c r="F3212" s="3" t="s">
        <v>3499</v>
      </c>
      <c r="G3212" s="3" t="s">
        <v>42</v>
      </c>
      <c r="H3212" s="2" t="s">
        <v>21</v>
      </c>
      <c r="I3212" s="2" t="s">
        <v>7363</v>
      </c>
      <c r="J3212" s="3" t="str">
        <f>HYPERLINK("https://www.boe.es/gazeta/dias/1816/01/11/pdfs/GMD-1816-5.pdf#page=8","Abrir facsímil")</f>
        <v>Abrir facsímil</v>
      </c>
      <c r="K3212" s="3" t="s">
        <v>23</v>
      </c>
    </row>
    <row r="3213" spans="1:11" ht="42" customHeight="1">
      <c r="A3213" s="2" t="s">
        <v>7364</v>
      </c>
      <c r="B3213" s="2" t="s">
        <v>7365</v>
      </c>
      <c r="C3213" s="2" t="s">
        <v>26</v>
      </c>
      <c r="D3213" s="2" t="s">
        <v>18</v>
      </c>
      <c r="E3213" s="5">
        <v>-30562</v>
      </c>
      <c r="F3213" s="3" t="s">
        <v>1664</v>
      </c>
      <c r="G3213" s="3" t="s">
        <v>72</v>
      </c>
      <c r="H3213" s="2" t="s">
        <v>21</v>
      </c>
      <c r="I3213" s="2" t="s">
        <v>7366</v>
      </c>
      <c r="J3213" s="3" t="str">
        <f>HYPERLINK("https://www.boe.es/gazeta/dias/1816/04/27/pdfs/GMD-1816-54.pdf#page=7","Abrir facsímil")</f>
        <v>Abrir facsímil</v>
      </c>
      <c r="K3213" s="3" t="s">
        <v>23</v>
      </c>
    </row>
    <row r="3214" spans="1:11" ht="42" customHeight="1">
      <c r="A3214" s="2" t="s">
        <v>7367</v>
      </c>
      <c r="B3214" s="2" t="s">
        <v>7368</v>
      </c>
      <c r="C3214" s="2" t="s">
        <v>387</v>
      </c>
      <c r="D3214" s="2" t="s">
        <v>18</v>
      </c>
      <c r="E3214" s="5">
        <v>-30422</v>
      </c>
      <c r="F3214" s="3" t="s">
        <v>803</v>
      </c>
      <c r="G3214" s="3" t="s">
        <v>103</v>
      </c>
      <c r="H3214" s="2" t="s">
        <v>21</v>
      </c>
      <c r="I3214" s="2" t="s">
        <v>7369</v>
      </c>
      <c r="J3214" s="3" t="str">
        <f>HYPERLINK("https://www.boe.es/gazeta/dias/1816/09/14/pdfs/GMD-1816-114.pdf#page=4","Abrir facsímil")</f>
        <v>Abrir facsímil</v>
      </c>
      <c r="K3214" s="3" t="s">
        <v>23</v>
      </c>
    </row>
    <row r="3215" spans="1:11" ht="42" customHeight="1">
      <c r="A3215" s="2" t="s">
        <v>7370</v>
      </c>
      <c r="B3215" s="2" t="s">
        <v>7371</v>
      </c>
      <c r="C3215" s="2" t="s">
        <v>26</v>
      </c>
      <c r="D3215" s="2" t="s">
        <v>18</v>
      </c>
      <c r="E3215" s="5">
        <v>-30382</v>
      </c>
      <c r="F3215" s="3" t="s">
        <v>326</v>
      </c>
      <c r="G3215" s="3" t="s">
        <v>28</v>
      </c>
      <c r="H3215" s="2" t="s">
        <v>29</v>
      </c>
      <c r="I3215" s="2" t="s">
        <v>7372</v>
      </c>
      <c r="J3215" s="3" t="str">
        <f>HYPERLINK("https://www.boe.es/gazeta/dias/1816/10/24/pdfs/GMD-1816-133.pdf#page=6","Abrir facsímil")</f>
        <v>Abrir facsímil</v>
      </c>
      <c r="K3215" s="3" t="s">
        <v>31</v>
      </c>
    </row>
    <row r="3216" spans="1:11" ht="42" customHeight="1">
      <c r="A3216" s="2" t="s">
        <v>7373</v>
      </c>
      <c r="B3216" s="2" t="s">
        <v>7373</v>
      </c>
      <c r="C3216" s="2" t="s">
        <v>111</v>
      </c>
      <c r="D3216" s="2" t="s">
        <v>112</v>
      </c>
      <c r="E3216" s="5">
        <v>-30604</v>
      </c>
      <c r="F3216" s="3" t="s">
        <v>488</v>
      </c>
      <c r="G3216" s="3" t="s">
        <v>184</v>
      </c>
      <c r="H3216" s="2" t="s">
        <v>21</v>
      </c>
      <c r="I3216" s="2" t="s">
        <v>7374</v>
      </c>
      <c r="J3216" s="3" t="str">
        <f>HYPERLINK("https://www.boe.es/gazeta/dias/1816/03/16/pdfs/GMD-1816-35.pdf#page=3","Abrir facsímil")</f>
        <v>Abrir facsímil</v>
      </c>
      <c r="K3216" s="3" t="s">
        <v>23</v>
      </c>
    </row>
    <row r="3217" spans="1:11" ht="42" customHeight="1">
      <c r="A3217" s="2" t="s">
        <v>7375</v>
      </c>
      <c r="B3217" s="2" t="s">
        <v>7376</v>
      </c>
      <c r="C3217" s="2" t="s">
        <v>67</v>
      </c>
      <c r="D3217" s="2" t="s">
        <v>18</v>
      </c>
      <c r="E3217" s="5">
        <v>-30408</v>
      </c>
      <c r="F3217" s="3" t="s">
        <v>295</v>
      </c>
      <c r="G3217" s="3" t="s">
        <v>42</v>
      </c>
      <c r="H3217" s="2" t="s">
        <v>29</v>
      </c>
      <c r="I3217" s="2" t="s">
        <v>7377</v>
      </c>
      <c r="J3217" s="3" t="str">
        <f>HYPERLINK("https://www.boe.es/gazeta/dias/1816/09/28/pdfs/GMD-1816-120.pdf#page=8","Abrir facsímil")</f>
        <v>Abrir facsímil</v>
      </c>
      <c r="K3217" s="3" t="s">
        <v>31</v>
      </c>
    </row>
    <row r="3218" spans="1:11" ht="42" customHeight="1">
      <c r="A3218" s="2" t="s">
        <v>7378</v>
      </c>
      <c r="B3218" s="2" t="s">
        <v>7379</v>
      </c>
      <c r="C3218" s="2" t="s">
        <v>34</v>
      </c>
      <c r="D3218" s="2" t="s">
        <v>35</v>
      </c>
      <c r="E3218" s="5">
        <v>-30569</v>
      </c>
      <c r="F3218" s="3" t="s">
        <v>1859</v>
      </c>
      <c r="G3218" s="3" t="s">
        <v>72</v>
      </c>
      <c r="H3218" s="2" t="s">
        <v>29</v>
      </c>
      <c r="I3218" s="2" t="s">
        <v>7380</v>
      </c>
      <c r="J3218" s="3" t="str">
        <f>HYPERLINK("https://www.boe.es/gazeta/dias/1816/04/20/pdfs/GMD-1816-51.pdf#page=7","Abrir facsímil")</f>
        <v>Abrir facsímil</v>
      </c>
      <c r="K3218" s="3" t="s">
        <v>31</v>
      </c>
    </row>
    <row r="3219" spans="1:11" ht="42" customHeight="1">
      <c r="A3219" s="2" t="s">
        <v>7381</v>
      </c>
      <c r="B3219" s="2" t="s">
        <v>7382</v>
      </c>
      <c r="C3219" s="2" t="s">
        <v>34</v>
      </c>
      <c r="D3219" s="2" t="s">
        <v>35</v>
      </c>
      <c r="E3219" s="5">
        <v>-30382</v>
      </c>
      <c r="F3219" s="3" t="s">
        <v>326</v>
      </c>
      <c r="G3219" s="3" t="s">
        <v>42</v>
      </c>
      <c r="H3219" s="2" t="s">
        <v>21</v>
      </c>
      <c r="I3219" s="2" t="s">
        <v>7383</v>
      </c>
      <c r="J3219" s="3" t="str">
        <f>HYPERLINK("https://www.boe.es/gazeta/dias/1816/10/24/pdfs/GMD-1816-133.pdf#page=8","Abrir facsímil")</f>
        <v>Abrir facsímil</v>
      </c>
      <c r="K3219" s="3" t="s">
        <v>23</v>
      </c>
    </row>
    <row r="3220" spans="1:11" ht="42" customHeight="1">
      <c r="A3220" s="2" t="s">
        <v>7384</v>
      </c>
      <c r="B3220" s="2" t="s">
        <v>7385</v>
      </c>
      <c r="C3220" s="2" t="s">
        <v>26</v>
      </c>
      <c r="D3220" s="2" t="s">
        <v>18</v>
      </c>
      <c r="E3220" s="5">
        <v>-30410</v>
      </c>
      <c r="F3220" s="3" t="s">
        <v>1259</v>
      </c>
      <c r="G3220" s="3" t="s">
        <v>28</v>
      </c>
      <c r="H3220" s="2" t="s">
        <v>21</v>
      </c>
      <c r="I3220" s="2" t="s">
        <v>7386</v>
      </c>
      <c r="J3220" s="3" t="str">
        <f>HYPERLINK("https://www.boe.es/gazeta/dias/1816/09/26/pdfs/GMD-1816-119.pdf#page=6","Abrir facsímil")</f>
        <v>Abrir facsímil</v>
      </c>
      <c r="K3220" s="3" t="s">
        <v>23</v>
      </c>
    </row>
    <row r="3221" spans="1:11" ht="42" customHeight="1">
      <c r="A3221" s="2" t="s">
        <v>7387</v>
      </c>
      <c r="B3221" s="2" t="s">
        <v>7388</v>
      </c>
      <c r="C3221" s="2" t="s">
        <v>26</v>
      </c>
      <c r="D3221" s="2" t="s">
        <v>18</v>
      </c>
      <c r="E3221" s="5">
        <v>-30622</v>
      </c>
      <c r="F3221" s="3" t="s">
        <v>27</v>
      </c>
      <c r="G3221" s="3" t="s">
        <v>2083</v>
      </c>
      <c r="H3221" s="2" t="s">
        <v>21</v>
      </c>
      <c r="I3221" s="2" t="s">
        <v>7389</v>
      </c>
      <c r="J3221" s="3" t="str">
        <f>HYPERLINK("https://www.boe.es/gazeta/dias/1816/02/27/pdfs/GMD-1816-26.pdf#page=4","Abrir facsímil")</f>
        <v>Abrir facsímil</v>
      </c>
      <c r="K3221" s="3" t="s">
        <v>23</v>
      </c>
    </row>
    <row r="3222" spans="1:11" ht="42" customHeight="1">
      <c r="A3222" s="2" t="s">
        <v>7390</v>
      </c>
      <c r="B3222" s="2" t="s">
        <v>7391</v>
      </c>
      <c r="C3222" s="2" t="s">
        <v>34</v>
      </c>
      <c r="D3222" s="2" t="s">
        <v>35</v>
      </c>
      <c r="E3222" s="5">
        <v>-30415</v>
      </c>
      <c r="F3222" s="3" t="s">
        <v>585</v>
      </c>
      <c r="G3222" s="3" t="s">
        <v>1156</v>
      </c>
      <c r="H3222" s="2" t="s">
        <v>21</v>
      </c>
      <c r="I3222" s="2" t="s">
        <v>7392</v>
      </c>
      <c r="J3222" s="3" t="str">
        <f>HYPERLINK("https://www.boe.es/gazeta/dias/1816/09/21/pdfs/GMD-1816-117.pdf#page=7","Abrir facsímil")</f>
        <v>Abrir facsímil</v>
      </c>
      <c r="K3222" s="3" t="s">
        <v>23</v>
      </c>
    </row>
    <row r="3223" spans="1:11" ht="42" customHeight="1">
      <c r="A3223" s="2" t="s">
        <v>7393</v>
      </c>
      <c r="B3223" s="2" t="s">
        <v>7394</v>
      </c>
      <c r="C3223" s="2" t="s">
        <v>34</v>
      </c>
      <c r="D3223" s="2" t="s">
        <v>35</v>
      </c>
      <c r="E3223" s="5">
        <v>-30599</v>
      </c>
      <c r="F3223" s="3" t="s">
        <v>552</v>
      </c>
      <c r="G3223" s="3" t="s">
        <v>103</v>
      </c>
      <c r="H3223" s="2" t="s">
        <v>21</v>
      </c>
      <c r="I3223" s="2" t="s">
        <v>7395</v>
      </c>
      <c r="J3223" s="3" t="str">
        <f>HYPERLINK("https://www.boe.es/gazeta/dias/1816/03/21/pdfs/GMD-1816-38.pdf#page=4","Abrir facsímil")</f>
        <v>Abrir facsímil</v>
      </c>
      <c r="K3223" s="3" t="s">
        <v>23</v>
      </c>
    </row>
    <row r="3224" spans="1:11" ht="42" customHeight="1">
      <c r="A3224" s="2" t="s">
        <v>7393</v>
      </c>
      <c r="B3224" s="2" t="s">
        <v>7394</v>
      </c>
      <c r="C3224" s="2" t="s">
        <v>34</v>
      </c>
      <c r="D3224" s="2" t="s">
        <v>35</v>
      </c>
      <c r="E3224" s="5">
        <v>-30599</v>
      </c>
      <c r="F3224" s="3" t="s">
        <v>552</v>
      </c>
      <c r="G3224" s="3" t="s">
        <v>28</v>
      </c>
      <c r="H3224" s="2" t="s">
        <v>21</v>
      </c>
      <c r="I3224" s="2" t="s">
        <v>7396</v>
      </c>
      <c r="J3224" s="3" t="str">
        <f>HYPERLINK("https://www.boe.es/gazeta/dias/1816/03/21/pdfs/GMD-1816-38.pdf#page=6","Abrir facsímil")</f>
        <v>Abrir facsímil</v>
      </c>
      <c r="K3224" s="3" t="s">
        <v>23</v>
      </c>
    </row>
    <row r="3225" spans="1:11" ht="42" customHeight="1">
      <c r="A3225" s="2" t="s">
        <v>7397</v>
      </c>
      <c r="B3225" s="2" t="s">
        <v>7398</v>
      </c>
      <c r="C3225" s="2" t="s">
        <v>111</v>
      </c>
      <c r="D3225" s="2" t="s">
        <v>112</v>
      </c>
      <c r="E3225" s="5">
        <v>-30538</v>
      </c>
      <c r="F3225" s="3" t="s">
        <v>496</v>
      </c>
      <c r="G3225" s="3" t="s">
        <v>42</v>
      </c>
      <c r="H3225" s="2" t="s">
        <v>21</v>
      </c>
      <c r="I3225" s="2" t="s">
        <v>7399</v>
      </c>
      <c r="J3225" s="3" t="str">
        <f>HYPERLINK("https://www.boe.es/gazeta/dias/1816/05/21/pdfs/GMD-1816-64.pdf#page=8","Abrir facsímil")</f>
        <v>Abrir facsímil</v>
      </c>
      <c r="K3225" s="3" t="s">
        <v>23</v>
      </c>
    </row>
    <row r="3226" spans="1:11" ht="42" customHeight="1">
      <c r="A3226" s="2" t="s">
        <v>7400</v>
      </c>
      <c r="B3226" s="2" t="s">
        <v>7400</v>
      </c>
      <c r="C3226" s="2" t="s">
        <v>34</v>
      </c>
      <c r="D3226" s="2" t="s">
        <v>35</v>
      </c>
      <c r="E3226" s="5">
        <v>-30328</v>
      </c>
      <c r="F3226" s="3" t="s">
        <v>573</v>
      </c>
      <c r="G3226" s="3" t="s">
        <v>42</v>
      </c>
      <c r="H3226" s="2" t="s">
        <v>21</v>
      </c>
      <c r="I3226" s="2" t="s">
        <v>7401</v>
      </c>
      <c r="J3226" s="3" t="str">
        <f>HYPERLINK("https://www.boe.es/gazeta/dias/1816/12/17/pdfs/GMD-1816-156.pdf#page=8","Abrir facsímil")</f>
        <v>Abrir facsímil</v>
      </c>
      <c r="K3226" s="3" t="s">
        <v>23</v>
      </c>
    </row>
    <row r="3227" spans="1:11" ht="42" customHeight="1">
      <c r="A3227" s="2" t="s">
        <v>7402</v>
      </c>
      <c r="B3227" s="2" t="s">
        <v>7403</v>
      </c>
      <c r="C3227" s="2" t="s">
        <v>26</v>
      </c>
      <c r="D3227" s="2" t="s">
        <v>18</v>
      </c>
      <c r="E3227" s="5">
        <v>-30335</v>
      </c>
      <c r="F3227" s="3" t="s">
        <v>468</v>
      </c>
      <c r="G3227" s="3" t="s">
        <v>47</v>
      </c>
      <c r="H3227" s="2" t="s">
        <v>21</v>
      </c>
      <c r="I3227" s="2" t="s">
        <v>7404</v>
      </c>
      <c r="J3227" s="3" t="str">
        <f>HYPERLINK("https://www.boe.es/gazeta/dias/1816/12/10/pdfs/GMD-1816-153.pdf#page=5","Abrir facsímil")</f>
        <v>Abrir facsímil</v>
      </c>
      <c r="K3227" s="3" t="s">
        <v>23</v>
      </c>
    </row>
    <row r="3228" spans="1:11" ht="42" customHeight="1">
      <c r="A3228" s="2" t="s">
        <v>7405</v>
      </c>
      <c r="B3228" s="2" t="s">
        <v>7405</v>
      </c>
      <c r="C3228" s="2" t="s">
        <v>34</v>
      </c>
      <c r="D3228" s="2" t="s">
        <v>35</v>
      </c>
      <c r="E3228" s="5">
        <v>-30499</v>
      </c>
      <c r="F3228" s="3" t="s">
        <v>971</v>
      </c>
      <c r="G3228" s="3" t="s">
        <v>58</v>
      </c>
      <c r="H3228" s="2" t="s">
        <v>21</v>
      </c>
      <c r="I3228" s="2" t="s">
        <v>7406</v>
      </c>
      <c r="J3228" s="3" t="str">
        <f>HYPERLINK("https://www.boe.es/gazeta/dias/1816/06/29/pdfs/GMD-1816-81.pdf#page=1","Abrir facsímil")</f>
        <v>Abrir facsímil</v>
      </c>
      <c r="K3228" s="3" t="s">
        <v>23</v>
      </c>
    </row>
    <row r="3229" spans="1:11" ht="42" customHeight="1">
      <c r="A3229" s="2" t="s">
        <v>7407</v>
      </c>
      <c r="B3229" s="2" t="s">
        <v>7407</v>
      </c>
      <c r="C3229" s="2" t="s">
        <v>67</v>
      </c>
      <c r="D3229" s="2" t="s">
        <v>18</v>
      </c>
      <c r="E3229" s="5">
        <v>-30601</v>
      </c>
      <c r="F3229" s="3" t="s">
        <v>308</v>
      </c>
      <c r="G3229" s="3" t="s">
        <v>28</v>
      </c>
      <c r="H3229" s="2" t="s">
        <v>21</v>
      </c>
      <c r="I3229" s="2" t="s">
        <v>7408</v>
      </c>
      <c r="J3229" s="3" t="str">
        <f>HYPERLINK("https://www.boe.es/gazeta/dias/1816/03/19/pdfs/GMD-1816-37.pdf#page=6","Abrir facsímil")</f>
        <v>Abrir facsímil</v>
      </c>
      <c r="K3229" s="3" t="s">
        <v>23</v>
      </c>
    </row>
    <row r="3230" spans="1:11" ht="42" customHeight="1">
      <c r="A3230" s="2" t="s">
        <v>7407</v>
      </c>
      <c r="B3230" s="2" t="s">
        <v>7407</v>
      </c>
      <c r="C3230" s="2" t="s">
        <v>34</v>
      </c>
      <c r="D3230" s="2" t="s">
        <v>35</v>
      </c>
      <c r="E3230" s="5">
        <v>-30585</v>
      </c>
      <c r="F3230" s="3" t="s">
        <v>633</v>
      </c>
      <c r="G3230" s="3" t="s">
        <v>184</v>
      </c>
      <c r="H3230" s="2" t="s">
        <v>21</v>
      </c>
      <c r="I3230" s="2" t="s">
        <v>7409</v>
      </c>
      <c r="J3230" s="3" t="str">
        <f>HYPERLINK("https://www.boe.es/gazeta/dias/1816/04/04/pdfs/GMD-1816-44.pdf#page=3","Abrir facsímil")</f>
        <v>Abrir facsímil</v>
      </c>
      <c r="K3230" s="3" t="s">
        <v>23</v>
      </c>
    </row>
    <row r="3231" spans="1:11" ht="42" customHeight="1">
      <c r="A3231" s="2" t="s">
        <v>7407</v>
      </c>
      <c r="B3231" s="2" t="s">
        <v>7407</v>
      </c>
      <c r="C3231" s="2" t="s">
        <v>41</v>
      </c>
      <c r="D3231" s="2" t="s">
        <v>18</v>
      </c>
      <c r="E3231" s="5">
        <v>-30468</v>
      </c>
      <c r="F3231" s="3" t="s">
        <v>383</v>
      </c>
      <c r="G3231" s="3" t="s">
        <v>184</v>
      </c>
      <c r="H3231" s="2" t="s">
        <v>21</v>
      </c>
      <c r="I3231" s="2" t="s">
        <v>7410</v>
      </c>
      <c r="J3231" s="3" t="str">
        <f>HYPERLINK("https://www.boe.es/gazeta/dias/1816/07/30/pdfs/GMD-1816-94.pdf#page=3","Abrir facsímil")</f>
        <v>Abrir facsímil</v>
      </c>
      <c r="K3231" s="3" t="s">
        <v>23</v>
      </c>
    </row>
    <row r="3232" spans="1:11" ht="42" customHeight="1">
      <c r="A3232" s="2" t="s">
        <v>7411</v>
      </c>
      <c r="B3232" s="2" t="s">
        <v>7411</v>
      </c>
      <c r="C3232" s="2" t="s">
        <v>34</v>
      </c>
      <c r="D3232" s="2" t="s">
        <v>35</v>
      </c>
      <c r="E3232" s="5">
        <v>-30622</v>
      </c>
      <c r="F3232" s="3" t="s">
        <v>27</v>
      </c>
      <c r="G3232" s="3" t="s">
        <v>2083</v>
      </c>
      <c r="H3232" s="2" t="s">
        <v>21</v>
      </c>
      <c r="I3232" s="2" t="s">
        <v>7412</v>
      </c>
      <c r="J3232" s="3" t="str">
        <f>HYPERLINK("https://www.boe.es/gazeta/dias/1816/02/27/pdfs/GMD-1816-26.pdf#page=4","Abrir facsímil")</f>
        <v>Abrir facsímil</v>
      </c>
      <c r="K3232" s="3" t="s">
        <v>23</v>
      </c>
    </row>
    <row r="3233" spans="1:11" ht="42" customHeight="1">
      <c r="A3233" s="2" t="s">
        <v>7413</v>
      </c>
      <c r="B3233" s="2" t="s">
        <v>7413</v>
      </c>
      <c r="C3233" s="2" t="s">
        <v>34</v>
      </c>
      <c r="D3233" s="2" t="s">
        <v>35</v>
      </c>
      <c r="E3233" s="5">
        <v>-30501</v>
      </c>
      <c r="F3233" s="3" t="s">
        <v>475</v>
      </c>
      <c r="G3233" s="3" t="s">
        <v>560</v>
      </c>
      <c r="H3233" s="2" t="s">
        <v>21</v>
      </c>
      <c r="I3233" s="2" t="s">
        <v>7414</v>
      </c>
      <c r="J3233" s="3" t="str">
        <f>HYPERLINK("https://www.boe.es/gazeta/dias/1816/06/27/pdfs/GMD-1816-80.pdf#page=7","Abrir facsímil")</f>
        <v>Abrir facsímil</v>
      </c>
      <c r="K3233" s="3" t="s">
        <v>23</v>
      </c>
    </row>
    <row r="3234" spans="1:11" ht="42" customHeight="1">
      <c r="A3234" s="2" t="s">
        <v>7415</v>
      </c>
      <c r="B3234" s="2" t="s">
        <v>7416</v>
      </c>
      <c r="C3234" s="2" t="s">
        <v>34</v>
      </c>
      <c r="D3234" s="2" t="s">
        <v>35</v>
      </c>
      <c r="E3234" s="5">
        <v>-30592</v>
      </c>
      <c r="F3234" s="3" t="s">
        <v>236</v>
      </c>
      <c r="G3234" s="3" t="s">
        <v>28</v>
      </c>
      <c r="H3234" s="2" t="s">
        <v>29</v>
      </c>
      <c r="I3234" s="2" t="s">
        <v>7417</v>
      </c>
      <c r="J3234" s="3" t="str">
        <f>HYPERLINK("https://www.boe.es/gazeta/dias/1816/03/28/pdfs/GMD-1816-41.pdf#page=6","Abrir facsímil")</f>
        <v>Abrir facsímil</v>
      </c>
      <c r="K3234" s="3" t="s">
        <v>31</v>
      </c>
    </row>
    <row r="3235" spans="1:11" ht="42" customHeight="1">
      <c r="A3235" s="2" t="s">
        <v>7418</v>
      </c>
      <c r="B3235" s="2" t="s">
        <v>7419</v>
      </c>
      <c r="C3235" s="2" t="s">
        <v>41</v>
      </c>
      <c r="D3235" s="2" t="s">
        <v>18</v>
      </c>
      <c r="E3235" s="5">
        <v>-30391</v>
      </c>
      <c r="F3235" s="3" t="s">
        <v>482</v>
      </c>
      <c r="G3235" s="3" t="s">
        <v>72</v>
      </c>
      <c r="H3235" s="2" t="s">
        <v>21</v>
      </c>
      <c r="I3235" s="2" t="s">
        <v>7420</v>
      </c>
      <c r="J3235" s="3" t="str">
        <f>HYPERLINK("https://www.boe.es/gazeta/dias/1816/10/15/pdfs/GMD-1816-129.pdf#page=7","Abrir facsímil")</f>
        <v>Abrir facsímil</v>
      </c>
      <c r="K3235" s="3" t="s">
        <v>23</v>
      </c>
    </row>
    <row r="3236" spans="1:11" ht="42" customHeight="1">
      <c r="A3236" s="2" t="s">
        <v>7421</v>
      </c>
      <c r="B3236" s="2" t="s">
        <v>7422</v>
      </c>
      <c r="C3236" s="2" t="s">
        <v>26</v>
      </c>
      <c r="D3236" s="2" t="s">
        <v>18</v>
      </c>
      <c r="E3236" s="5">
        <v>-30620</v>
      </c>
      <c r="F3236" s="3" t="s">
        <v>622</v>
      </c>
      <c r="G3236" s="3" t="s">
        <v>28</v>
      </c>
      <c r="H3236" s="2" t="s">
        <v>21</v>
      </c>
      <c r="I3236" s="2" t="s">
        <v>7423</v>
      </c>
      <c r="J3236" s="3" t="str">
        <f>HYPERLINK("https://www.boe.es/gazeta/dias/1816/02/29/pdfs/GMD-1816-28.pdf#page=6","Abrir facsímil")</f>
        <v>Abrir facsímil</v>
      </c>
      <c r="K3236" s="3" t="s">
        <v>23</v>
      </c>
    </row>
    <row r="3237" spans="1:11" ht="42" customHeight="1">
      <c r="A3237" s="2" t="s">
        <v>7424</v>
      </c>
      <c r="B3237" s="2" t="s">
        <v>7425</v>
      </c>
      <c r="C3237" s="2" t="s">
        <v>26</v>
      </c>
      <c r="D3237" s="2" t="s">
        <v>18</v>
      </c>
      <c r="E3237" s="5">
        <v>-30433</v>
      </c>
      <c r="F3237" s="3" t="s">
        <v>954</v>
      </c>
      <c r="G3237" s="3" t="s">
        <v>955</v>
      </c>
      <c r="H3237" s="2" t="s">
        <v>21</v>
      </c>
      <c r="I3237" s="2" t="s">
        <v>7426</v>
      </c>
      <c r="J3237" s="3" t="str">
        <f>HYPERLINK("https://www.boe.es/gazeta/dias/1816/09/03/pdfs/GMD-1816-109.pdf#page=7","Abrir facsímil")</f>
        <v>Abrir facsímil</v>
      </c>
      <c r="K3237" s="3" t="s">
        <v>23</v>
      </c>
    </row>
    <row r="3238" spans="1:11" ht="42" customHeight="1">
      <c r="A3238" s="2" t="s">
        <v>7427</v>
      </c>
      <c r="B3238" s="2" t="s">
        <v>7428</v>
      </c>
      <c r="C3238" s="2" t="s">
        <v>41</v>
      </c>
      <c r="D3238" s="2" t="s">
        <v>18</v>
      </c>
      <c r="E3238" s="5">
        <v>-30431</v>
      </c>
      <c r="F3238" s="3" t="s">
        <v>756</v>
      </c>
      <c r="G3238" s="3" t="s">
        <v>2277</v>
      </c>
      <c r="H3238" s="2" t="s">
        <v>21</v>
      </c>
      <c r="I3238" s="2" t="s">
        <v>7429</v>
      </c>
      <c r="J3238" s="3" t="str">
        <f>HYPERLINK("https://www.boe.es/gazeta/dias/1816/09/05/pdfs/GMD-1816-110.pdf#page=8","Abrir facsímil")</f>
        <v>Abrir facsímil</v>
      </c>
      <c r="K3238" s="3" t="s">
        <v>23</v>
      </c>
    </row>
    <row r="3239" spans="1:11" ht="42" customHeight="1">
      <c r="A3239" s="2" t="s">
        <v>7430</v>
      </c>
      <c r="B3239" s="2" t="s">
        <v>7431</v>
      </c>
      <c r="C3239" s="2" t="s">
        <v>34</v>
      </c>
      <c r="D3239" s="2" t="s">
        <v>35</v>
      </c>
      <c r="E3239" s="5">
        <v>-30468</v>
      </c>
      <c r="F3239" s="3" t="s">
        <v>383</v>
      </c>
      <c r="G3239" s="3" t="s">
        <v>28</v>
      </c>
      <c r="H3239" s="2" t="s">
        <v>21</v>
      </c>
      <c r="I3239" s="2" t="s">
        <v>7432</v>
      </c>
      <c r="J3239" s="3" t="str">
        <f>HYPERLINK("https://www.boe.es/gazeta/dias/1816/07/30/pdfs/GMD-1816-94.pdf#page=6","Abrir facsímil")</f>
        <v>Abrir facsímil</v>
      </c>
      <c r="K3239" s="3" t="s">
        <v>23</v>
      </c>
    </row>
    <row r="3240" spans="1:11" ht="42" customHeight="1">
      <c r="A3240" s="2" t="s">
        <v>7433</v>
      </c>
      <c r="B3240" s="2" t="s">
        <v>7434</v>
      </c>
      <c r="C3240" s="2" t="s">
        <v>67</v>
      </c>
      <c r="D3240" s="2" t="s">
        <v>18</v>
      </c>
      <c r="E3240" s="5">
        <v>-30585</v>
      </c>
      <c r="F3240" s="3" t="s">
        <v>633</v>
      </c>
      <c r="G3240" s="3" t="s">
        <v>42</v>
      </c>
      <c r="H3240" s="2" t="s">
        <v>21</v>
      </c>
      <c r="I3240" s="2" t="s">
        <v>7435</v>
      </c>
      <c r="J3240" s="3" t="str">
        <f>HYPERLINK("https://www.boe.es/gazeta/dias/1816/04/04/pdfs/GMD-1816-44.pdf#page=8","Abrir facsímil")</f>
        <v>Abrir facsímil</v>
      </c>
      <c r="K3240" s="3" t="s">
        <v>23</v>
      </c>
    </row>
    <row r="3241" spans="1:11" ht="42" customHeight="1">
      <c r="A3241" s="2" t="s">
        <v>7436</v>
      </c>
      <c r="B3241" s="2" t="s">
        <v>7437</v>
      </c>
      <c r="C3241" s="2" t="s">
        <v>26</v>
      </c>
      <c r="D3241" s="2" t="s">
        <v>18</v>
      </c>
      <c r="E3241" s="5">
        <v>-30571</v>
      </c>
      <c r="F3241" s="3" t="s">
        <v>738</v>
      </c>
      <c r="G3241" s="3" t="s">
        <v>28</v>
      </c>
      <c r="H3241" s="2" t="s">
        <v>21</v>
      </c>
      <c r="I3241" s="2" t="s">
        <v>7438</v>
      </c>
      <c r="J3241" s="3" t="str">
        <f>HYPERLINK("https://www.boe.es/gazeta/dias/1816/04/18/pdfs/GMD-1816-50.pdf#page=6","Abrir facsímil")</f>
        <v>Abrir facsímil</v>
      </c>
      <c r="K3241" s="3" t="s">
        <v>23</v>
      </c>
    </row>
    <row r="3242" spans="1:11" ht="42" customHeight="1">
      <c r="A3242" s="2" t="s">
        <v>7439</v>
      </c>
      <c r="B3242" s="2" t="s">
        <v>7440</v>
      </c>
      <c r="C3242" s="2" t="s">
        <v>34</v>
      </c>
      <c r="D3242" s="2" t="s">
        <v>35</v>
      </c>
      <c r="E3242" s="5">
        <v>-30443</v>
      </c>
      <c r="F3242" s="3" t="s">
        <v>259</v>
      </c>
      <c r="G3242" s="3" t="s">
        <v>270</v>
      </c>
      <c r="H3242" s="2" t="s">
        <v>21</v>
      </c>
      <c r="I3242" s="2" t="s">
        <v>7441</v>
      </c>
      <c r="J3242" s="3" t="str">
        <f>HYPERLINK("https://www.boe.es/gazeta/dias/1816/08/24/pdfs/GMD-1816-105.pdf#page=2","Abrir facsímil")</f>
        <v>Abrir facsímil</v>
      </c>
      <c r="K3242" s="3" t="s">
        <v>23</v>
      </c>
    </row>
    <row r="3243" spans="1:11" ht="42" customHeight="1">
      <c r="A3243" s="2" t="s">
        <v>7442</v>
      </c>
      <c r="B3243" s="2" t="s">
        <v>7443</v>
      </c>
      <c r="C3243" s="2" t="s">
        <v>2803</v>
      </c>
      <c r="D3243" s="2" t="s">
        <v>112</v>
      </c>
      <c r="E3243" s="5">
        <v>-30578</v>
      </c>
      <c r="F3243" s="3" t="s">
        <v>91</v>
      </c>
      <c r="G3243" s="3" t="s">
        <v>42</v>
      </c>
      <c r="H3243" s="2" t="s">
        <v>21</v>
      </c>
      <c r="I3243" s="2" t="s">
        <v>7444</v>
      </c>
      <c r="J3243" s="3" t="str">
        <f>HYPERLINK("https://www.boe.es/gazeta/dias/1816/04/11/pdfs/GMD-1816-47.pdf#page=8","Abrir facsímil")</f>
        <v>Abrir facsímil</v>
      </c>
      <c r="K3243" s="3" t="s">
        <v>23</v>
      </c>
    </row>
    <row r="3244" spans="1:11" ht="42" customHeight="1">
      <c r="A3244" s="2" t="s">
        <v>7445</v>
      </c>
      <c r="B3244" s="2" t="s">
        <v>7446</v>
      </c>
      <c r="C3244" s="2" t="s">
        <v>26</v>
      </c>
      <c r="D3244" s="2" t="s">
        <v>18</v>
      </c>
      <c r="E3244" s="5">
        <v>-30494</v>
      </c>
      <c r="F3244" s="3" t="s">
        <v>174</v>
      </c>
      <c r="G3244" s="3" t="s">
        <v>175</v>
      </c>
      <c r="H3244" s="2" t="s">
        <v>21</v>
      </c>
      <c r="I3244" s="2" t="s">
        <v>7447</v>
      </c>
      <c r="J3244" s="3" t="str">
        <f>HYPERLINK("https://www.boe.es/gazeta/dias/1816/07/04/pdfs/GMD-1816-83.pdf#page=11","Abrir facsímil")</f>
        <v>Abrir facsímil</v>
      </c>
      <c r="K3244" s="3" t="s">
        <v>23</v>
      </c>
    </row>
    <row r="3245" spans="1:11" ht="42" customHeight="1">
      <c r="A3245" s="2" t="s">
        <v>7448</v>
      </c>
      <c r="B3245" s="2" t="s">
        <v>7449</v>
      </c>
      <c r="C3245" s="2" t="s">
        <v>26</v>
      </c>
      <c r="D3245" s="2" t="s">
        <v>18</v>
      </c>
      <c r="E3245" s="5">
        <v>-30524</v>
      </c>
      <c r="F3245" s="3" t="s">
        <v>98</v>
      </c>
      <c r="G3245" s="3" t="s">
        <v>1209</v>
      </c>
      <c r="H3245" s="2" t="s">
        <v>21</v>
      </c>
      <c r="I3245" s="2" t="s">
        <v>7450</v>
      </c>
      <c r="J3245" s="3" t="str">
        <f>HYPERLINK("https://www.boe.es/gazeta/dias/1816/06/04/pdfs/GMD-1816-70.pdf#page=8","Abrir facsímil")</f>
        <v>Abrir facsímil</v>
      </c>
      <c r="K3245" s="3" t="s">
        <v>23</v>
      </c>
    </row>
    <row r="3246" spans="1:11" ht="42" customHeight="1">
      <c r="A3246" s="2" t="s">
        <v>7451</v>
      </c>
      <c r="B3246" s="2" t="s">
        <v>7452</v>
      </c>
      <c r="C3246" s="2" t="s">
        <v>81</v>
      </c>
      <c r="D3246" s="2" t="s">
        <v>18</v>
      </c>
      <c r="E3246" s="5">
        <v>-30566</v>
      </c>
      <c r="F3246" s="3" t="s">
        <v>113</v>
      </c>
      <c r="G3246" s="3" t="s">
        <v>42</v>
      </c>
      <c r="H3246" s="2" t="s">
        <v>21</v>
      </c>
      <c r="I3246" s="2" t="s">
        <v>7453</v>
      </c>
      <c r="J3246" s="3" t="str">
        <f>HYPERLINK("https://www.boe.es/gazeta/dias/1816/04/23/pdfs/GMD-1816-52.pdf#page=8","Abrir facsímil")</f>
        <v>Abrir facsímil</v>
      </c>
      <c r="K3246" s="3" t="s">
        <v>23</v>
      </c>
    </row>
    <row r="3247" spans="1:11" ht="42" customHeight="1">
      <c r="A3247" s="2" t="s">
        <v>7454</v>
      </c>
      <c r="B3247" s="2" t="s">
        <v>7454</v>
      </c>
      <c r="C3247" s="2" t="s">
        <v>26</v>
      </c>
      <c r="D3247" s="2" t="s">
        <v>18</v>
      </c>
      <c r="E3247" s="5">
        <v>-30436</v>
      </c>
      <c r="F3247" s="3" t="s">
        <v>102</v>
      </c>
      <c r="G3247" s="3" t="s">
        <v>175</v>
      </c>
      <c r="H3247" s="2" t="s">
        <v>21</v>
      </c>
      <c r="I3247" s="2" t="s">
        <v>7455</v>
      </c>
      <c r="J3247" s="3" t="str">
        <f>HYPERLINK("https://www.boe.es/gazeta/dias/1816/08/31/pdfs/GMD-1816-108.pdf#page=11","Abrir facsímil")</f>
        <v>Abrir facsímil</v>
      </c>
      <c r="K3247" s="3" t="s">
        <v>23</v>
      </c>
    </row>
    <row r="3248" spans="1:11" ht="42" customHeight="1">
      <c r="A3248" s="2" t="s">
        <v>7456</v>
      </c>
      <c r="B3248" s="2" t="s">
        <v>7457</v>
      </c>
      <c r="C3248" s="2" t="s">
        <v>111</v>
      </c>
      <c r="D3248" s="2" t="s">
        <v>112</v>
      </c>
      <c r="E3248" s="5">
        <v>-30471</v>
      </c>
      <c r="F3248" s="3" t="s">
        <v>639</v>
      </c>
      <c r="G3248" s="3" t="s">
        <v>47</v>
      </c>
      <c r="H3248" s="2" t="s">
        <v>21</v>
      </c>
      <c r="I3248" s="2" t="s">
        <v>7458</v>
      </c>
      <c r="J3248" s="3" t="str">
        <f>HYPERLINK("https://www.boe.es/gazeta/dias/1816/07/27/pdfs/GMD-1816-93.pdf#page=5","Abrir facsímil")</f>
        <v>Abrir facsímil</v>
      </c>
      <c r="K3248" s="3" t="s">
        <v>23</v>
      </c>
    </row>
    <row r="3249" spans="1:11" ht="42" customHeight="1">
      <c r="A3249" s="2" t="s">
        <v>7459</v>
      </c>
      <c r="B3249" s="2" t="s">
        <v>7460</v>
      </c>
      <c r="C3249" s="2" t="s">
        <v>111</v>
      </c>
      <c r="D3249" s="2" t="s">
        <v>112</v>
      </c>
      <c r="E3249" s="5">
        <v>-30408</v>
      </c>
      <c r="F3249" s="3" t="s">
        <v>295</v>
      </c>
      <c r="G3249" s="3" t="s">
        <v>103</v>
      </c>
      <c r="H3249" s="2" t="s">
        <v>21</v>
      </c>
      <c r="I3249" s="2" t="s">
        <v>7461</v>
      </c>
      <c r="J3249" s="3" t="str">
        <f>HYPERLINK("https://www.boe.es/gazeta/dias/1816/09/28/pdfs/GMD-1816-120.pdf#page=4","Abrir facsímil")</f>
        <v>Abrir facsímil</v>
      </c>
      <c r="K3249" s="3" t="s">
        <v>23</v>
      </c>
    </row>
    <row r="3250" spans="1:11" ht="42" customHeight="1">
      <c r="A3250" s="2" t="s">
        <v>7462</v>
      </c>
      <c r="B3250" s="2" t="s">
        <v>7463</v>
      </c>
      <c r="C3250" s="2" t="s">
        <v>111</v>
      </c>
      <c r="D3250" s="2" t="s">
        <v>56</v>
      </c>
      <c r="E3250" s="5">
        <v>-30393</v>
      </c>
      <c r="F3250" s="3" t="s">
        <v>202</v>
      </c>
      <c r="G3250" s="3" t="s">
        <v>645</v>
      </c>
      <c r="H3250" s="2" t="s">
        <v>21</v>
      </c>
      <c r="I3250" s="2" t="s">
        <v>7464</v>
      </c>
      <c r="J3250" s="3" t="str">
        <f>HYPERLINK("https://www.boe.es/gazeta/dias/1816/10/13/pdfs/GMD-1816-128E.pdf#page=4","Abrir facsímil")</f>
        <v>Abrir facsímil</v>
      </c>
      <c r="K3250" s="3" t="s">
        <v>23</v>
      </c>
    </row>
    <row r="3251" spans="1:11" ht="42" customHeight="1">
      <c r="A3251" s="2" t="s">
        <v>7465</v>
      </c>
      <c r="B3251" s="2" t="s">
        <v>7465</v>
      </c>
      <c r="C3251" s="2" t="s">
        <v>34</v>
      </c>
      <c r="D3251" s="2" t="s">
        <v>35</v>
      </c>
      <c r="E3251" s="5">
        <v>-30669</v>
      </c>
      <c r="F3251" s="3" t="s">
        <v>3499</v>
      </c>
      <c r="G3251" s="3" t="s">
        <v>72</v>
      </c>
      <c r="H3251" s="2" t="s">
        <v>21</v>
      </c>
      <c r="I3251" s="2" t="s">
        <v>7466</v>
      </c>
      <c r="J3251" s="3" t="str">
        <f>HYPERLINK("https://www.boe.es/gazeta/dias/1816/01/11/pdfs/GMD-1816-5.pdf#page=7","Abrir facsímil")</f>
        <v>Abrir facsímil</v>
      </c>
      <c r="K3251" s="3" t="s">
        <v>23</v>
      </c>
    </row>
    <row r="3252" spans="1:11" ht="42" customHeight="1">
      <c r="A3252" s="2" t="s">
        <v>7467</v>
      </c>
      <c r="B3252" s="2" t="s">
        <v>7468</v>
      </c>
      <c r="C3252" s="2" t="s">
        <v>34</v>
      </c>
      <c r="D3252" s="2" t="s">
        <v>35</v>
      </c>
      <c r="E3252" s="5">
        <v>-30515</v>
      </c>
      <c r="F3252" s="3" t="s">
        <v>2452</v>
      </c>
      <c r="G3252" s="3" t="s">
        <v>3166</v>
      </c>
      <c r="H3252" s="2" t="s">
        <v>29</v>
      </c>
      <c r="I3252" s="2" t="s">
        <v>7469</v>
      </c>
      <c r="J3252" s="3" t="str">
        <f>HYPERLINK("https://www.boe.es/gazeta/dias/1816/06/13/pdfs/GMD-1816-74.pdf#page=6","Abrir facsímil")</f>
        <v>Abrir facsímil</v>
      </c>
      <c r="K3252" s="3" t="s">
        <v>31</v>
      </c>
    </row>
    <row r="3253" spans="1:11" ht="42" customHeight="1">
      <c r="A3253" s="2" t="s">
        <v>7470</v>
      </c>
      <c r="B3253" s="2" t="s">
        <v>7471</v>
      </c>
      <c r="C3253" s="2" t="s">
        <v>34</v>
      </c>
      <c r="D3253" s="2" t="s">
        <v>56</v>
      </c>
      <c r="E3253" s="5">
        <v>-30622</v>
      </c>
      <c r="F3253" s="3" t="s">
        <v>907</v>
      </c>
      <c r="G3253" s="3" t="s">
        <v>103</v>
      </c>
      <c r="H3253" s="2" t="s">
        <v>29</v>
      </c>
      <c r="I3253" s="2" t="s">
        <v>7472</v>
      </c>
      <c r="J3253" s="3" t="str">
        <f>HYPERLINK("https://www.boe.es/gazeta/dias/1816/02/27/pdfs/GMD-1816-27E.pdf#page=4","Abrir facsímil")</f>
        <v>Abrir facsímil</v>
      </c>
      <c r="K3253" s="3" t="s">
        <v>31</v>
      </c>
    </row>
    <row r="3254" spans="1:11" ht="42" customHeight="1">
      <c r="A3254" s="2" t="s">
        <v>7473</v>
      </c>
      <c r="B3254" s="2" t="s">
        <v>7474</v>
      </c>
      <c r="C3254" s="2" t="s">
        <v>26</v>
      </c>
      <c r="D3254" s="2" t="s">
        <v>18</v>
      </c>
      <c r="E3254" s="5">
        <v>-30391</v>
      </c>
      <c r="F3254" s="3" t="s">
        <v>482</v>
      </c>
      <c r="G3254" s="3" t="s">
        <v>47</v>
      </c>
      <c r="H3254" s="2" t="s">
        <v>21</v>
      </c>
      <c r="I3254" s="2" t="s">
        <v>7475</v>
      </c>
      <c r="J3254" s="3" t="str">
        <f>HYPERLINK("https://www.boe.es/gazeta/dias/1816/10/15/pdfs/GMD-1816-129.pdf#page=5","Abrir facsímil")</f>
        <v>Abrir facsímil</v>
      </c>
      <c r="K3254" s="3" t="s">
        <v>23</v>
      </c>
    </row>
    <row r="3255" spans="1:11" ht="42" customHeight="1">
      <c r="A3255" s="2" t="s">
        <v>7476</v>
      </c>
      <c r="B3255" s="2" t="s">
        <v>7477</v>
      </c>
      <c r="C3255" s="2" t="s">
        <v>26</v>
      </c>
      <c r="D3255" s="2" t="s">
        <v>18</v>
      </c>
      <c r="E3255" s="5">
        <v>-30429</v>
      </c>
      <c r="F3255" s="3" t="s">
        <v>598</v>
      </c>
      <c r="G3255" s="3" t="s">
        <v>103</v>
      </c>
      <c r="H3255" s="2" t="s">
        <v>21</v>
      </c>
      <c r="I3255" s="2" t="s">
        <v>7478</v>
      </c>
      <c r="J3255" s="3" t="str">
        <f>HYPERLINK("https://www.boe.es/gazeta/dias/1816/09/07/pdfs/GMD-1816-111.pdf#page=4","Abrir facsímil")</f>
        <v>Abrir facsímil</v>
      </c>
      <c r="K3255" s="3" t="s">
        <v>23</v>
      </c>
    </row>
    <row r="3256" spans="1:11" ht="42" customHeight="1">
      <c r="A3256" s="2" t="s">
        <v>7479</v>
      </c>
      <c r="B3256" s="2" t="s">
        <v>7480</v>
      </c>
      <c r="C3256" s="2" t="s">
        <v>34</v>
      </c>
      <c r="D3256" s="2" t="s">
        <v>56</v>
      </c>
      <c r="E3256" s="5">
        <v>-30393</v>
      </c>
      <c r="F3256" s="3" t="s">
        <v>202</v>
      </c>
      <c r="G3256" s="3" t="s">
        <v>270</v>
      </c>
      <c r="H3256" s="2" t="s">
        <v>21</v>
      </c>
      <c r="I3256" s="2" t="s">
        <v>7481</v>
      </c>
      <c r="J3256" s="3" t="str">
        <f>HYPERLINK("https://www.boe.es/gazeta/dias/1816/10/13/pdfs/GMD-1816-128E.pdf#page=2","Abrir facsímil")</f>
        <v>Abrir facsímil</v>
      </c>
      <c r="K3256" s="3" t="s">
        <v>23</v>
      </c>
    </row>
    <row r="3257" spans="1:11" ht="42" customHeight="1">
      <c r="A3257" s="2" t="s">
        <v>7482</v>
      </c>
      <c r="B3257" s="2" t="s">
        <v>7483</v>
      </c>
      <c r="C3257" s="2" t="s">
        <v>111</v>
      </c>
      <c r="D3257" s="2" t="s">
        <v>112</v>
      </c>
      <c r="E3257" s="5">
        <v>-30480</v>
      </c>
      <c r="F3257" s="3" t="s">
        <v>147</v>
      </c>
      <c r="G3257" s="3" t="s">
        <v>7484</v>
      </c>
      <c r="H3257" s="2" t="s">
        <v>21</v>
      </c>
      <c r="I3257" s="2" t="s">
        <v>7485</v>
      </c>
      <c r="J3257" s="3" t="str">
        <f>HYPERLINK("https://www.boe.es/gazeta/dias/1816/07/18/pdfs/GMD-1816-89.pdf#page=7","Abrir facsímil")</f>
        <v>Abrir facsímil</v>
      </c>
      <c r="K3257" s="3" t="s">
        <v>23</v>
      </c>
    </row>
    <row r="3258" spans="1:11" ht="42" customHeight="1">
      <c r="A3258" s="2" t="s">
        <v>7486</v>
      </c>
      <c r="B3258" s="2" t="s">
        <v>7487</v>
      </c>
      <c r="C3258" s="2" t="s">
        <v>34</v>
      </c>
      <c r="D3258" s="2" t="s">
        <v>35</v>
      </c>
      <c r="E3258" s="5">
        <v>-30377</v>
      </c>
      <c r="F3258" s="3" t="s">
        <v>138</v>
      </c>
      <c r="G3258" s="3" t="s">
        <v>47</v>
      </c>
      <c r="H3258" s="2" t="s">
        <v>21</v>
      </c>
      <c r="I3258" s="2" t="s">
        <v>7488</v>
      </c>
      <c r="J3258" s="3" t="str">
        <f>HYPERLINK("https://www.boe.es/gazeta/dias/1816/10/29/pdfs/GMD-1816-135.pdf#page=5","Abrir facsímil")</f>
        <v>Abrir facsímil</v>
      </c>
      <c r="K3258" s="3" t="s">
        <v>23</v>
      </c>
    </row>
    <row r="3259" spans="1:11" ht="42" customHeight="1">
      <c r="A3259" s="2" t="s">
        <v>7489</v>
      </c>
      <c r="B3259" s="2" t="s">
        <v>7490</v>
      </c>
      <c r="C3259" s="2" t="s">
        <v>26</v>
      </c>
      <c r="D3259" s="2" t="s">
        <v>56</v>
      </c>
      <c r="E3259" s="5">
        <v>-30393</v>
      </c>
      <c r="F3259" s="3" t="s">
        <v>202</v>
      </c>
      <c r="G3259" s="3" t="s">
        <v>47</v>
      </c>
      <c r="H3259" s="2" t="s">
        <v>21</v>
      </c>
      <c r="I3259" s="2" t="s">
        <v>7491</v>
      </c>
      <c r="J3259" s="3" t="str">
        <f>HYPERLINK("https://www.boe.es/gazeta/dias/1816/10/13/pdfs/GMD-1816-128E.pdf#page=5","Abrir facsímil")</f>
        <v>Abrir facsímil</v>
      </c>
      <c r="K3259" s="3" t="s">
        <v>23</v>
      </c>
    </row>
    <row r="3260" spans="1:11" ht="42" customHeight="1">
      <c r="A3260" s="2" t="s">
        <v>7492</v>
      </c>
      <c r="B3260" s="2" t="s">
        <v>7492</v>
      </c>
      <c r="C3260" s="2" t="s">
        <v>34</v>
      </c>
      <c r="D3260" s="2" t="s">
        <v>35</v>
      </c>
      <c r="E3260" s="5">
        <v>-30643</v>
      </c>
      <c r="F3260" s="3" t="s">
        <v>620</v>
      </c>
      <c r="G3260" s="3" t="s">
        <v>58</v>
      </c>
      <c r="H3260" s="2" t="s">
        <v>21</v>
      </c>
      <c r="I3260" s="2" t="s">
        <v>7493</v>
      </c>
      <c r="J3260" s="3" t="str">
        <f>HYPERLINK("https://www.boe.es/gazeta/dias/1816/02/06/pdfs/GMD-1816-17.pdf#page=1","Abrir facsímil")</f>
        <v>Abrir facsímil</v>
      </c>
      <c r="K3260" s="3" t="s">
        <v>23</v>
      </c>
    </row>
    <row r="3261" spans="1:11" ht="42" customHeight="1">
      <c r="A3261" s="2" t="s">
        <v>7494</v>
      </c>
      <c r="B3261" s="2" t="s">
        <v>7494</v>
      </c>
      <c r="C3261" s="2" t="s">
        <v>34</v>
      </c>
      <c r="D3261" s="2" t="s">
        <v>35</v>
      </c>
      <c r="E3261" s="5">
        <v>-30426</v>
      </c>
      <c r="F3261" s="3" t="s">
        <v>779</v>
      </c>
      <c r="G3261" s="3" t="s">
        <v>184</v>
      </c>
      <c r="H3261" s="2" t="s">
        <v>21</v>
      </c>
      <c r="I3261" s="2" t="s">
        <v>7495</v>
      </c>
      <c r="J3261" s="3" t="str">
        <f>HYPERLINK("https://www.boe.es/gazeta/dias/1816/09/10/pdfs/GMD-1816-112.pdf#page=3","Abrir facsímil")</f>
        <v>Abrir facsímil</v>
      </c>
      <c r="K3261" s="3" t="s">
        <v>23</v>
      </c>
    </row>
    <row r="3262" spans="1:11" ht="42" customHeight="1">
      <c r="A3262" s="2" t="s">
        <v>7496</v>
      </c>
      <c r="B3262" s="2" t="s">
        <v>7497</v>
      </c>
      <c r="C3262" s="2" t="s">
        <v>81</v>
      </c>
      <c r="D3262" s="2" t="s">
        <v>18</v>
      </c>
      <c r="E3262" s="5">
        <v>-30634</v>
      </c>
      <c r="F3262" s="3" t="s">
        <v>1104</v>
      </c>
      <c r="G3262" s="3" t="s">
        <v>2234</v>
      </c>
      <c r="H3262" s="2" t="s">
        <v>21</v>
      </c>
      <c r="I3262" s="2" t="s">
        <v>7498</v>
      </c>
      <c r="J3262" s="3" t="str">
        <f>HYPERLINK("https://www.boe.es/gazeta/dias/1816/02/15/pdfs/GMD-1816-21.pdf#page=8","Abrir facsímil")</f>
        <v>Abrir facsímil</v>
      </c>
      <c r="K3262" s="3" t="s">
        <v>23</v>
      </c>
    </row>
    <row r="3263" spans="1:11" ht="42" customHeight="1">
      <c r="A3263" s="2" t="s">
        <v>7499</v>
      </c>
      <c r="B3263" s="2" t="s">
        <v>7499</v>
      </c>
      <c r="C3263" s="2" t="s">
        <v>26</v>
      </c>
      <c r="D3263" s="2" t="s">
        <v>18</v>
      </c>
      <c r="E3263" s="5">
        <v>-30576</v>
      </c>
      <c r="F3263" s="3" t="s">
        <v>353</v>
      </c>
      <c r="G3263" s="3" t="s">
        <v>72</v>
      </c>
      <c r="H3263" s="2" t="s">
        <v>21</v>
      </c>
      <c r="I3263" s="2" t="s">
        <v>7500</v>
      </c>
      <c r="J3263" s="3" t="str">
        <f>HYPERLINK("https://www.boe.es/gazeta/dias/1816/04/13/pdfs/GMD-1816-48.pdf#page=7","Abrir facsímil")</f>
        <v>Abrir facsímil</v>
      </c>
      <c r="K3263" s="3" t="s">
        <v>23</v>
      </c>
    </row>
    <row r="3264" spans="1:11" ht="42" customHeight="1">
      <c r="A3264" s="2" t="s">
        <v>7501</v>
      </c>
      <c r="B3264" s="2" t="s">
        <v>7502</v>
      </c>
      <c r="C3264" s="2" t="s">
        <v>111</v>
      </c>
      <c r="D3264" s="2" t="s">
        <v>112</v>
      </c>
      <c r="E3264" s="5">
        <v>-30464</v>
      </c>
      <c r="F3264" s="3" t="s">
        <v>215</v>
      </c>
      <c r="G3264" s="3" t="s">
        <v>175</v>
      </c>
      <c r="H3264" s="2" t="s">
        <v>21</v>
      </c>
      <c r="I3264" s="2" t="s">
        <v>7503</v>
      </c>
      <c r="J3264" s="3" t="str">
        <f>HYPERLINK("https://www.boe.es/gazeta/dias/1816/08/03/pdfs/GMD-1816-96.pdf#page=11","Abrir facsímil")</f>
        <v>Abrir facsímil</v>
      </c>
      <c r="K3264" s="3" t="s">
        <v>23</v>
      </c>
    </row>
    <row r="3265" spans="1:11" ht="42" customHeight="1">
      <c r="A3265" s="2" t="s">
        <v>7504</v>
      </c>
      <c r="B3265" s="2" t="s">
        <v>7505</v>
      </c>
      <c r="C3265" s="2" t="s">
        <v>111</v>
      </c>
      <c r="D3265" s="2" t="s">
        <v>112</v>
      </c>
      <c r="E3265" s="5">
        <v>-30632</v>
      </c>
      <c r="F3265" s="3" t="s">
        <v>89</v>
      </c>
      <c r="G3265" s="3" t="s">
        <v>42</v>
      </c>
      <c r="H3265" s="2" t="s">
        <v>21</v>
      </c>
      <c r="I3265" s="2" t="s">
        <v>7506</v>
      </c>
      <c r="J3265" s="3" t="str">
        <f>HYPERLINK("https://www.boe.es/gazeta/dias/1816/02/17/pdfs/GMD-1816-22.pdf#page=8","Abrir facsímil")</f>
        <v>Abrir facsímil</v>
      </c>
      <c r="K3265" s="3" t="s">
        <v>23</v>
      </c>
    </row>
    <row r="3266" spans="1:11" ht="42" customHeight="1">
      <c r="A3266" s="2" t="s">
        <v>7507</v>
      </c>
      <c r="B3266" s="2" t="s">
        <v>7508</v>
      </c>
      <c r="C3266" s="2" t="s">
        <v>111</v>
      </c>
      <c r="D3266" s="2" t="s">
        <v>112</v>
      </c>
      <c r="E3266" s="5">
        <v>-30478</v>
      </c>
      <c r="F3266" s="3" t="s">
        <v>123</v>
      </c>
      <c r="G3266" s="3" t="s">
        <v>72</v>
      </c>
      <c r="H3266" s="2" t="s">
        <v>21</v>
      </c>
      <c r="I3266" s="2" t="s">
        <v>7509</v>
      </c>
      <c r="J3266" s="3" t="str">
        <f>HYPERLINK("https://www.boe.es/gazeta/dias/1816/07/20/pdfs/GMD-1816-90.pdf#page=7","Abrir facsímil")</f>
        <v>Abrir facsímil</v>
      </c>
      <c r="K3266" s="3" t="s">
        <v>23</v>
      </c>
    </row>
    <row r="3267" spans="1:11" ht="42" customHeight="1">
      <c r="A3267" s="2" t="s">
        <v>7510</v>
      </c>
      <c r="B3267" s="2" t="s">
        <v>7511</v>
      </c>
      <c r="C3267" s="2" t="s">
        <v>34</v>
      </c>
      <c r="D3267" s="2" t="s">
        <v>35</v>
      </c>
      <c r="E3267" s="5">
        <v>-30326</v>
      </c>
      <c r="F3267" s="3" t="s">
        <v>377</v>
      </c>
      <c r="G3267" s="3" t="s">
        <v>28</v>
      </c>
      <c r="H3267" s="2" t="s">
        <v>21</v>
      </c>
      <c r="I3267" s="2" t="s">
        <v>7512</v>
      </c>
      <c r="J3267" s="3" t="str">
        <f>HYPERLINK("https://www.boe.es/gazeta/dias/1816/12/19/pdfs/GMD-1816-157.pdf#page=6","Abrir facsímil")</f>
        <v>Abrir facsímil</v>
      </c>
      <c r="K3267" s="3" t="s">
        <v>23</v>
      </c>
    </row>
    <row r="3268" spans="1:11" ht="42" customHeight="1">
      <c r="A3268" s="2" t="s">
        <v>7513</v>
      </c>
      <c r="B3268" s="2" t="s">
        <v>7514</v>
      </c>
      <c r="C3268" s="2" t="s">
        <v>34</v>
      </c>
      <c r="D3268" s="2" t="s">
        <v>35</v>
      </c>
      <c r="E3268" s="5">
        <v>-30592</v>
      </c>
      <c r="F3268" s="3" t="s">
        <v>236</v>
      </c>
      <c r="G3268" s="3" t="s">
        <v>175</v>
      </c>
      <c r="H3268" s="2" t="s">
        <v>21</v>
      </c>
      <c r="I3268" s="2" t="s">
        <v>7515</v>
      </c>
      <c r="J3268" s="3" t="str">
        <f>HYPERLINK("https://www.boe.es/gazeta/dias/1816/03/28/pdfs/GMD-1816-41.pdf#page=11","Abrir facsímil")</f>
        <v>Abrir facsímil</v>
      </c>
      <c r="K3268" s="3" t="s">
        <v>23</v>
      </c>
    </row>
    <row r="3269" spans="1:11" ht="42" customHeight="1">
      <c r="A3269" s="2" t="s">
        <v>7516</v>
      </c>
      <c r="B3269" s="2" t="s">
        <v>7517</v>
      </c>
      <c r="C3269" s="2" t="s">
        <v>34</v>
      </c>
      <c r="D3269" s="2" t="s">
        <v>35</v>
      </c>
      <c r="E3269" s="5">
        <v>-30534</v>
      </c>
      <c r="F3269" s="3" t="s">
        <v>274</v>
      </c>
      <c r="G3269" s="3" t="s">
        <v>103</v>
      </c>
      <c r="H3269" s="2" t="s">
        <v>21</v>
      </c>
      <c r="I3269" s="2" t="s">
        <v>7518</v>
      </c>
      <c r="J3269" s="3" t="str">
        <f>HYPERLINK("https://www.boe.es/gazeta/dias/1816/05/25/pdfs/GMD-1816-66.pdf#page=4","Abrir facsímil")</f>
        <v>Abrir facsímil</v>
      </c>
      <c r="K3269" s="3" t="s">
        <v>23</v>
      </c>
    </row>
    <row r="3270" spans="1:11" ht="42" customHeight="1">
      <c r="A3270" s="2" t="s">
        <v>7519</v>
      </c>
      <c r="B3270" s="2" t="s">
        <v>7520</v>
      </c>
      <c r="C3270" s="2" t="s">
        <v>26</v>
      </c>
      <c r="D3270" s="2" t="s">
        <v>18</v>
      </c>
      <c r="E3270" s="5">
        <v>-30438</v>
      </c>
      <c r="F3270" s="3" t="s">
        <v>299</v>
      </c>
      <c r="G3270" s="3" t="s">
        <v>300</v>
      </c>
      <c r="H3270" s="2" t="s">
        <v>21</v>
      </c>
      <c r="I3270" s="2" t="s">
        <v>7521</v>
      </c>
      <c r="J3270" s="3" t="str">
        <f>HYPERLINK("https://www.boe.es/gazeta/dias/1816/08/29/pdfs/GMD-1816-107.pdf#page=12","Abrir facsímil")</f>
        <v>Abrir facsímil</v>
      </c>
      <c r="K3270" s="3" t="s">
        <v>23</v>
      </c>
    </row>
    <row r="3271" spans="1:11" ht="42" customHeight="1">
      <c r="A3271" s="2" t="s">
        <v>7522</v>
      </c>
      <c r="B3271" s="2" t="s">
        <v>7523</v>
      </c>
      <c r="C3271" s="2" t="s">
        <v>387</v>
      </c>
      <c r="D3271" s="2" t="s">
        <v>18</v>
      </c>
      <c r="E3271" s="5">
        <v>-30436</v>
      </c>
      <c r="F3271" s="3" t="s">
        <v>102</v>
      </c>
      <c r="G3271" s="3" t="s">
        <v>52</v>
      </c>
      <c r="H3271" s="2" t="s">
        <v>21</v>
      </c>
      <c r="I3271" s="2" t="s">
        <v>7524</v>
      </c>
      <c r="J3271" s="3" t="str">
        <f>HYPERLINK("https://www.boe.es/gazeta/dias/1816/08/31/pdfs/GMD-1816-108.pdf#page=12","Abrir facsímil")</f>
        <v>Abrir facsímil</v>
      </c>
      <c r="K3271" s="3" t="s">
        <v>23</v>
      </c>
    </row>
    <row r="3272" spans="1:11" ht="42" customHeight="1">
      <c r="A3272" s="2" t="s">
        <v>7525</v>
      </c>
      <c r="B3272" s="2" t="s">
        <v>7526</v>
      </c>
      <c r="C3272" s="2" t="s">
        <v>26</v>
      </c>
      <c r="D3272" s="2" t="s">
        <v>56</v>
      </c>
      <c r="E3272" s="5">
        <v>-30393</v>
      </c>
      <c r="F3272" s="3" t="s">
        <v>202</v>
      </c>
      <c r="G3272" s="3" t="s">
        <v>203</v>
      </c>
      <c r="H3272" s="2" t="s">
        <v>21</v>
      </c>
      <c r="I3272" s="2" t="s">
        <v>7527</v>
      </c>
      <c r="J3272" s="3" t="str">
        <f>HYPERLINK("https://www.boe.es/gazeta/dias/1816/10/13/pdfs/GMD-1816-128E.pdf#page=7","Abrir facsímil")</f>
        <v>Abrir facsímil</v>
      </c>
      <c r="K3272" s="3" t="s">
        <v>23</v>
      </c>
    </row>
    <row r="3273" spans="1:11" ht="42" customHeight="1">
      <c r="A3273" s="2" t="s">
        <v>7528</v>
      </c>
      <c r="B3273" s="2" t="s">
        <v>7529</v>
      </c>
      <c r="C3273" s="2" t="s">
        <v>111</v>
      </c>
      <c r="D3273" s="2" t="s">
        <v>112</v>
      </c>
      <c r="E3273" s="5">
        <v>-30438</v>
      </c>
      <c r="F3273" s="3" t="s">
        <v>299</v>
      </c>
      <c r="G3273" s="3" t="s">
        <v>300</v>
      </c>
      <c r="H3273" s="2" t="s">
        <v>29</v>
      </c>
      <c r="I3273" s="2" t="s">
        <v>7530</v>
      </c>
      <c r="J3273" s="3" t="str">
        <f>HYPERLINK("https://www.boe.es/gazeta/dias/1816/08/29/pdfs/GMD-1816-107.pdf#page=12","Abrir facsímil")</f>
        <v>Abrir facsímil</v>
      </c>
      <c r="K3273" s="3" t="s">
        <v>31</v>
      </c>
    </row>
    <row r="3274" spans="1:11" ht="42" customHeight="1">
      <c r="A3274" s="2" t="s">
        <v>7531</v>
      </c>
      <c r="B3274" s="2" t="s">
        <v>7532</v>
      </c>
      <c r="C3274" s="2" t="s">
        <v>67</v>
      </c>
      <c r="D3274" s="2" t="s">
        <v>18</v>
      </c>
      <c r="E3274" s="5">
        <v>-30461</v>
      </c>
      <c r="F3274" s="3" t="s">
        <v>912</v>
      </c>
      <c r="G3274" s="3" t="s">
        <v>1375</v>
      </c>
      <c r="H3274" s="2" t="s">
        <v>29</v>
      </c>
      <c r="I3274" s="2" t="s">
        <v>7533</v>
      </c>
      <c r="J3274" s="3" t="str">
        <f>HYPERLINK("https://www.boe.es/gazeta/dias/1816/08/06/pdfs/GMD-1816-97.pdf#page=6","Abrir facsímil")</f>
        <v>Abrir facsímil</v>
      </c>
      <c r="K3274" s="3" t="s">
        <v>31</v>
      </c>
    </row>
    <row r="3275" spans="1:11" ht="42" customHeight="1">
      <c r="A3275" s="2" t="s">
        <v>7534</v>
      </c>
      <c r="B3275" s="2" t="s">
        <v>7535</v>
      </c>
      <c r="C3275" s="2" t="s">
        <v>26</v>
      </c>
      <c r="D3275" s="2" t="s">
        <v>18</v>
      </c>
      <c r="E3275" s="5">
        <v>-30391</v>
      </c>
      <c r="F3275" s="3" t="s">
        <v>482</v>
      </c>
      <c r="G3275" s="3" t="s">
        <v>72</v>
      </c>
      <c r="H3275" s="2" t="s">
        <v>21</v>
      </c>
      <c r="I3275" s="2" t="s">
        <v>7536</v>
      </c>
      <c r="J3275" s="3" t="str">
        <f>HYPERLINK("https://www.boe.es/gazeta/dias/1816/10/15/pdfs/GMD-1816-129.pdf#page=7","Abrir facsímil")</f>
        <v>Abrir facsímil</v>
      </c>
      <c r="K3275" s="3" t="s">
        <v>23</v>
      </c>
    </row>
    <row r="3276" spans="1:11" ht="42" customHeight="1">
      <c r="A3276" s="2" t="s">
        <v>7537</v>
      </c>
      <c r="B3276" s="2" t="s">
        <v>7538</v>
      </c>
      <c r="C3276" s="2" t="s">
        <v>34</v>
      </c>
      <c r="D3276" s="2" t="s">
        <v>56</v>
      </c>
      <c r="E3276" s="5">
        <v>-30399</v>
      </c>
      <c r="F3276" s="3" t="s">
        <v>57</v>
      </c>
      <c r="G3276" s="3" t="s">
        <v>72</v>
      </c>
      <c r="H3276" s="2" t="s">
        <v>21</v>
      </c>
      <c r="I3276" s="2" t="s">
        <v>7539</v>
      </c>
      <c r="J3276" s="3" t="str">
        <f>HYPERLINK("https://www.boe.es/gazeta/dias/1816/10/07/pdfs/GMD-1816-124E.pdf#page=7","Abrir facsímil")</f>
        <v>Abrir facsímil</v>
      </c>
      <c r="K3276" s="3" t="s">
        <v>23</v>
      </c>
    </row>
    <row r="3277" spans="1:11" ht="42" customHeight="1">
      <c r="A3277" s="2" t="s">
        <v>7540</v>
      </c>
      <c r="B3277" s="2" t="s">
        <v>7541</v>
      </c>
      <c r="C3277" s="2" t="s">
        <v>41</v>
      </c>
      <c r="D3277" s="2" t="s">
        <v>18</v>
      </c>
      <c r="E3277" s="5">
        <v>-30398</v>
      </c>
      <c r="F3277" s="3" t="s">
        <v>447</v>
      </c>
      <c r="G3277" s="3" t="s">
        <v>72</v>
      </c>
      <c r="H3277" s="2" t="s">
        <v>21</v>
      </c>
      <c r="I3277" s="2" t="s">
        <v>7542</v>
      </c>
      <c r="J3277" s="3" t="str">
        <f>HYPERLINK("https://www.boe.es/gazeta/dias/1816/10/08/pdfs/GMD-1816-125.pdf#page=7","Abrir facsímil")</f>
        <v>Abrir facsímil</v>
      </c>
      <c r="K3277" s="3" t="s">
        <v>23</v>
      </c>
    </row>
    <row r="3278" spans="1:11" ht="42" customHeight="1">
      <c r="A3278" s="2" t="s">
        <v>7543</v>
      </c>
      <c r="B3278" s="2" t="s">
        <v>7544</v>
      </c>
      <c r="C3278" s="2" t="s">
        <v>111</v>
      </c>
      <c r="D3278" s="2" t="s">
        <v>112</v>
      </c>
      <c r="E3278" s="5">
        <v>-30429</v>
      </c>
      <c r="F3278" s="3" t="s">
        <v>598</v>
      </c>
      <c r="G3278" s="3" t="s">
        <v>103</v>
      </c>
      <c r="H3278" s="2" t="s">
        <v>21</v>
      </c>
      <c r="I3278" s="2" t="s">
        <v>7545</v>
      </c>
      <c r="J3278" s="3" t="str">
        <f>HYPERLINK("https://www.boe.es/gazeta/dias/1816/09/07/pdfs/GMD-1816-111.pdf#page=4","Abrir facsímil")</f>
        <v>Abrir facsímil</v>
      </c>
      <c r="K3278" s="3" t="s">
        <v>23</v>
      </c>
    </row>
    <row r="3279" spans="1:11" ht="42" customHeight="1">
      <c r="A3279" s="2" t="s">
        <v>7546</v>
      </c>
      <c r="B3279" s="2" t="s">
        <v>7547</v>
      </c>
      <c r="C3279" s="2" t="s">
        <v>67</v>
      </c>
      <c r="D3279" s="2" t="s">
        <v>18</v>
      </c>
      <c r="E3279" s="5">
        <v>-30401</v>
      </c>
      <c r="F3279" s="3" t="s">
        <v>652</v>
      </c>
      <c r="G3279" s="3" t="s">
        <v>47</v>
      </c>
      <c r="H3279" s="2" t="s">
        <v>21</v>
      </c>
      <c r="I3279" s="2" t="s">
        <v>7548</v>
      </c>
      <c r="J3279" s="3" t="str">
        <f>HYPERLINK("https://www.boe.es/gazeta/dias/1816/10/05/pdfs/GMD-1816-123.pdf#page=5","Abrir facsímil")</f>
        <v>Abrir facsímil</v>
      </c>
      <c r="K3279" s="3" t="s">
        <v>23</v>
      </c>
    </row>
    <row r="3280" spans="1:11" ht="42" customHeight="1">
      <c r="A3280" s="2" t="s">
        <v>7549</v>
      </c>
      <c r="B3280" s="2" t="s">
        <v>7550</v>
      </c>
      <c r="C3280" s="2" t="s">
        <v>41</v>
      </c>
      <c r="D3280" s="2" t="s">
        <v>18</v>
      </c>
      <c r="E3280" s="5">
        <v>-30494</v>
      </c>
      <c r="F3280" s="3" t="s">
        <v>174</v>
      </c>
      <c r="G3280" s="3" t="s">
        <v>175</v>
      </c>
      <c r="H3280" s="2" t="s">
        <v>21</v>
      </c>
      <c r="I3280" s="2" t="s">
        <v>7551</v>
      </c>
      <c r="J3280" s="3" t="str">
        <f>HYPERLINK("https://www.boe.es/gazeta/dias/1816/07/04/pdfs/GMD-1816-83.pdf#page=11","Abrir facsímil")</f>
        <v>Abrir facsímil</v>
      </c>
      <c r="K3280" s="3" t="s">
        <v>23</v>
      </c>
    </row>
    <row r="3281" spans="1:11" ht="42" customHeight="1">
      <c r="A3281" s="2" t="s">
        <v>7552</v>
      </c>
      <c r="B3281" s="2" t="s">
        <v>7553</v>
      </c>
      <c r="C3281" s="2" t="s">
        <v>111</v>
      </c>
      <c r="D3281" s="2" t="s">
        <v>112</v>
      </c>
      <c r="E3281" s="5">
        <v>-30431</v>
      </c>
      <c r="F3281" s="3" t="s">
        <v>756</v>
      </c>
      <c r="G3281" s="3" t="s">
        <v>184</v>
      </c>
      <c r="H3281" s="2" t="s">
        <v>21</v>
      </c>
      <c r="I3281" s="2" t="s">
        <v>7554</v>
      </c>
      <c r="J3281" s="3" t="str">
        <f>HYPERLINK("https://www.boe.es/gazeta/dias/1816/09/05/pdfs/GMD-1816-110.pdf#page=3","Abrir facsímil")</f>
        <v>Abrir facsímil</v>
      </c>
      <c r="K3281" s="3" t="s">
        <v>23</v>
      </c>
    </row>
    <row r="3282" spans="1:11" ht="42" customHeight="1">
      <c r="A3282" s="2" t="s">
        <v>7552</v>
      </c>
      <c r="B3282" s="2" t="s">
        <v>7553</v>
      </c>
      <c r="C3282" s="2" t="s">
        <v>111</v>
      </c>
      <c r="D3282" s="2" t="s">
        <v>112</v>
      </c>
      <c r="E3282" s="5">
        <v>-30389</v>
      </c>
      <c r="F3282" s="3" t="s">
        <v>522</v>
      </c>
      <c r="G3282" s="3" t="s">
        <v>47</v>
      </c>
      <c r="H3282" s="2" t="s">
        <v>21</v>
      </c>
      <c r="I3282" s="2" t="s">
        <v>7555</v>
      </c>
      <c r="J3282" s="3" t="str">
        <f>HYPERLINK("https://www.boe.es/gazeta/dias/1816/10/17/pdfs/GMD-1816-130.pdf#page=5","Abrir facsímil")</f>
        <v>Abrir facsímil</v>
      </c>
      <c r="K3282" s="3" t="s">
        <v>23</v>
      </c>
    </row>
    <row r="3283" spans="1:11" ht="42" customHeight="1">
      <c r="A3283" s="2" t="s">
        <v>7556</v>
      </c>
      <c r="B3283" s="2" t="s">
        <v>7557</v>
      </c>
      <c r="C3283" s="2" t="s">
        <v>67</v>
      </c>
      <c r="D3283" s="2" t="s">
        <v>18</v>
      </c>
      <c r="E3283" s="5">
        <v>-30487</v>
      </c>
      <c r="F3283" s="3" t="s">
        <v>397</v>
      </c>
      <c r="G3283" s="3" t="s">
        <v>52</v>
      </c>
      <c r="H3283" s="2" t="s">
        <v>29</v>
      </c>
      <c r="I3283" s="2" t="s">
        <v>7558</v>
      </c>
      <c r="J3283" s="3" t="str">
        <f>HYPERLINK("https://www.boe.es/gazeta/dias/1816/07/11/pdfs/GMD-1816-86.pdf#page=12","Abrir facsímil")</f>
        <v>Abrir facsímil</v>
      </c>
      <c r="K3283" s="3" t="s">
        <v>31</v>
      </c>
    </row>
    <row r="3284" spans="1:11" ht="42" customHeight="1">
      <c r="A3284" s="2" t="s">
        <v>7559</v>
      </c>
      <c r="B3284" s="2" t="s">
        <v>7560</v>
      </c>
      <c r="C3284" s="2" t="s">
        <v>34</v>
      </c>
      <c r="D3284" s="2" t="s">
        <v>35</v>
      </c>
      <c r="E3284" s="5">
        <v>-30671</v>
      </c>
      <c r="F3284" s="3" t="s">
        <v>2049</v>
      </c>
      <c r="G3284" s="3" t="s">
        <v>47</v>
      </c>
      <c r="H3284" s="2" t="s">
        <v>21</v>
      </c>
      <c r="I3284" s="2" t="s">
        <v>7561</v>
      </c>
      <c r="J3284" s="3" t="str">
        <f>HYPERLINK("https://www.boe.es/gazeta/dias/1816/01/09/pdfs/GMD-1816-4.pdf#page=5","Abrir facsímil")</f>
        <v>Abrir facsímil</v>
      </c>
      <c r="K3284" s="3" t="s">
        <v>23</v>
      </c>
    </row>
    <row r="3285" spans="1:11" ht="42" customHeight="1">
      <c r="A3285" s="2" t="s">
        <v>7562</v>
      </c>
      <c r="B3285" s="2" t="s">
        <v>7563</v>
      </c>
      <c r="C3285" s="2" t="s">
        <v>111</v>
      </c>
      <c r="D3285" s="2" t="s">
        <v>112</v>
      </c>
      <c r="E3285" s="5">
        <v>-30366</v>
      </c>
      <c r="F3285" s="3" t="s">
        <v>179</v>
      </c>
      <c r="G3285" s="3" t="s">
        <v>47</v>
      </c>
      <c r="H3285" s="2" t="s">
        <v>21</v>
      </c>
      <c r="I3285" s="2" t="s">
        <v>7564</v>
      </c>
      <c r="J3285" s="3" t="str">
        <f>HYPERLINK("https://www.boe.es/gazeta/dias/1816/11/09/pdfs/GMD-1816-140.pdf#page=5","Abrir facsímil")</f>
        <v>Abrir facsímil</v>
      </c>
      <c r="K3285" s="3" t="s">
        <v>23</v>
      </c>
    </row>
    <row r="3286" spans="1:11" ht="42" customHeight="1">
      <c r="A3286" s="2" t="s">
        <v>7565</v>
      </c>
      <c r="B3286" s="2" t="s">
        <v>7566</v>
      </c>
      <c r="C3286" s="2" t="s">
        <v>67</v>
      </c>
      <c r="D3286" s="2" t="s">
        <v>18</v>
      </c>
      <c r="E3286" s="5">
        <v>-30660</v>
      </c>
      <c r="F3286" s="3" t="s">
        <v>809</v>
      </c>
      <c r="G3286" s="3" t="s">
        <v>810</v>
      </c>
      <c r="H3286" s="2" t="s">
        <v>21</v>
      </c>
      <c r="I3286" s="2" t="s">
        <v>7567</v>
      </c>
      <c r="J3286" s="3" t="str">
        <f>HYPERLINK("https://www.boe.es/gazeta/dias/1816/01/20/pdfs/GMD-1816-9.pdf#page=8","Abrir facsímil")</f>
        <v>Abrir facsímil</v>
      </c>
      <c r="K3286" s="3" t="s">
        <v>23</v>
      </c>
    </row>
    <row r="3287" spans="1:11" ht="42" customHeight="1">
      <c r="A3287" s="2" t="s">
        <v>7568</v>
      </c>
      <c r="B3287" s="2" t="s">
        <v>7569</v>
      </c>
      <c r="C3287" s="2" t="s">
        <v>111</v>
      </c>
      <c r="D3287" s="2" t="s">
        <v>112</v>
      </c>
      <c r="E3287" s="5">
        <v>-30611</v>
      </c>
      <c r="F3287" s="3" t="s">
        <v>211</v>
      </c>
      <c r="G3287" s="3" t="s">
        <v>42</v>
      </c>
      <c r="H3287" s="2" t="s">
        <v>21</v>
      </c>
      <c r="I3287" s="2" t="s">
        <v>7570</v>
      </c>
      <c r="J3287" s="3" t="str">
        <f>HYPERLINK("https://www.boe.es/gazeta/dias/1816/03/09/pdfs/GMD-1816-32.pdf#page=8","Abrir facsímil")</f>
        <v>Abrir facsímil</v>
      </c>
      <c r="K3287" s="3" t="s">
        <v>23</v>
      </c>
    </row>
    <row r="3288" spans="1:11" ht="42" customHeight="1">
      <c r="A3288" s="2" t="s">
        <v>7571</v>
      </c>
      <c r="B3288" s="2" t="s">
        <v>7572</v>
      </c>
      <c r="C3288" s="2" t="s">
        <v>81</v>
      </c>
      <c r="D3288" s="2" t="s">
        <v>18</v>
      </c>
      <c r="E3288" s="5">
        <v>-30559</v>
      </c>
      <c r="F3288" s="3" t="s">
        <v>165</v>
      </c>
      <c r="G3288" s="3" t="s">
        <v>42</v>
      </c>
      <c r="H3288" s="2" t="s">
        <v>21</v>
      </c>
      <c r="I3288" s="2" t="s">
        <v>7573</v>
      </c>
      <c r="J3288" s="3" t="str">
        <f>HYPERLINK("https://www.boe.es/gazeta/dias/1816/04/30/pdfs/GMD-1816-55.pdf#page=8","Abrir facsímil")</f>
        <v>Abrir facsímil</v>
      </c>
      <c r="K3288" s="3" t="s">
        <v>23</v>
      </c>
    </row>
    <row r="3289" spans="1:11" ht="42" customHeight="1">
      <c r="A3289" s="2" t="s">
        <v>7574</v>
      </c>
      <c r="B3289" s="2" t="s">
        <v>7575</v>
      </c>
      <c r="C3289" s="2" t="s">
        <v>34</v>
      </c>
      <c r="D3289" s="2" t="s">
        <v>35</v>
      </c>
      <c r="E3289" s="5">
        <v>-30627</v>
      </c>
      <c r="F3289" s="3" t="s">
        <v>136</v>
      </c>
      <c r="G3289" s="3" t="s">
        <v>72</v>
      </c>
      <c r="H3289" s="2" t="s">
        <v>21</v>
      </c>
      <c r="I3289" s="2" t="s">
        <v>7576</v>
      </c>
      <c r="J3289" s="3" t="str">
        <f>HYPERLINK("https://www.boe.es/gazeta/dias/1816/02/22/pdfs/GMD-1816-24.pdf#page=7","Abrir facsímil")</f>
        <v>Abrir facsímil</v>
      </c>
      <c r="K3289" s="3" t="s">
        <v>23</v>
      </c>
    </row>
    <row r="3290" spans="1:11" ht="42" customHeight="1">
      <c r="A3290" s="2" t="s">
        <v>7577</v>
      </c>
      <c r="B3290" s="2" t="s">
        <v>7578</v>
      </c>
      <c r="C3290" s="2" t="s">
        <v>34</v>
      </c>
      <c r="D3290" s="2" t="s">
        <v>35</v>
      </c>
      <c r="E3290" s="5">
        <v>-30468</v>
      </c>
      <c r="F3290" s="3" t="s">
        <v>383</v>
      </c>
      <c r="G3290" s="3" t="s">
        <v>28</v>
      </c>
      <c r="H3290" s="2" t="s">
        <v>21</v>
      </c>
      <c r="I3290" s="2" t="s">
        <v>7579</v>
      </c>
      <c r="J3290" s="3" t="str">
        <f>HYPERLINK("https://www.boe.es/gazeta/dias/1816/07/30/pdfs/GMD-1816-94.pdf#page=6","Abrir facsímil")</f>
        <v>Abrir facsímil</v>
      </c>
      <c r="K3290" s="3" t="s">
        <v>23</v>
      </c>
    </row>
    <row r="3291" spans="1:11" ht="42" customHeight="1">
      <c r="A3291" s="2" t="s">
        <v>7580</v>
      </c>
      <c r="B3291" s="2" t="s">
        <v>7581</v>
      </c>
      <c r="C3291" s="2" t="s">
        <v>34</v>
      </c>
      <c r="D3291" s="2" t="s">
        <v>35</v>
      </c>
      <c r="E3291" s="5">
        <v>-30326</v>
      </c>
      <c r="F3291" s="3" t="s">
        <v>377</v>
      </c>
      <c r="G3291" s="3" t="s">
        <v>28</v>
      </c>
      <c r="H3291" s="2" t="s">
        <v>21</v>
      </c>
      <c r="I3291" s="2" t="s">
        <v>7582</v>
      </c>
      <c r="J3291" s="3" t="str">
        <f>HYPERLINK("https://www.boe.es/gazeta/dias/1816/12/19/pdfs/GMD-1816-157.pdf#page=6","Abrir facsímil")</f>
        <v>Abrir facsímil</v>
      </c>
      <c r="K3291" s="3" t="s">
        <v>23</v>
      </c>
    </row>
    <row r="3292" spans="1:11" ht="42" customHeight="1">
      <c r="A3292" s="2" t="s">
        <v>7583</v>
      </c>
      <c r="B3292" s="2" t="s">
        <v>7584</v>
      </c>
      <c r="C3292" s="2" t="s">
        <v>26</v>
      </c>
      <c r="D3292" s="2" t="s">
        <v>18</v>
      </c>
      <c r="E3292" s="5">
        <v>-30382</v>
      </c>
      <c r="F3292" s="3" t="s">
        <v>326</v>
      </c>
      <c r="G3292" s="3" t="s">
        <v>28</v>
      </c>
      <c r="H3292" s="2" t="s">
        <v>21</v>
      </c>
      <c r="I3292" s="2" t="s">
        <v>7585</v>
      </c>
      <c r="J3292" s="3" t="str">
        <f>HYPERLINK("https://www.boe.es/gazeta/dias/1816/10/24/pdfs/GMD-1816-133.pdf#page=6","Abrir facsímil")</f>
        <v>Abrir facsímil</v>
      </c>
      <c r="K3292" s="3" t="s">
        <v>23</v>
      </c>
    </row>
    <row r="3293" spans="1:11" ht="42" customHeight="1">
      <c r="A3293" s="2" t="s">
        <v>7586</v>
      </c>
      <c r="B3293" s="2" t="s">
        <v>7587</v>
      </c>
      <c r="C3293" s="2" t="s">
        <v>67</v>
      </c>
      <c r="D3293" s="2" t="s">
        <v>18</v>
      </c>
      <c r="E3293" s="5">
        <v>-30410</v>
      </c>
      <c r="F3293" s="3" t="s">
        <v>1259</v>
      </c>
      <c r="G3293" s="3" t="s">
        <v>28</v>
      </c>
      <c r="H3293" s="2" t="s">
        <v>21</v>
      </c>
      <c r="I3293" s="2" t="s">
        <v>7588</v>
      </c>
      <c r="J3293" s="3" t="str">
        <f>HYPERLINK("https://www.boe.es/gazeta/dias/1816/09/26/pdfs/GMD-1816-119.pdf#page=6","Abrir facsímil")</f>
        <v>Abrir facsímil</v>
      </c>
      <c r="K3293" s="3" t="s">
        <v>23</v>
      </c>
    </row>
    <row r="3294" spans="1:11" ht="42" customHeight="1">
      <c r="A3294" s="2" t="s">
        <v>7589</v>
      </c>
      <c r="B3294" s="2" t="s">
        <v>7589</v>
      </c>
      <c r="C3294" s="2" t="s">
        <v>111</v>
      </c>
      <c r="D3294" s="2" t="s">
        <v>112</v>
      </c>
      <c r="E3294" s="5">
        <v>-30655</v>
      </c>
      <c r="F3294" s="3" t="s">
        <v>170</v>
      </c>
      <c r="G3294" s="3" t="s">
        <v>850</v>
      </c>
      <c r="H3294" s="2" t="s">
        <v>21</v>
      </c>
      <c r="I3294" s="2" t="s">
        <v>7590</v>
      </c>
      <c r="J3294" s="3" t="str">
        <f>HYPERLINK("https://www.boe.es/gazeta/dias/1816/01/25/pdfs/GMD-1816-11.pdf#page=6","Abrir facsímil")</f>
        <v>Abrir facsímil</v>
      </c>
      <c r="K3294" s="3" t="s">
        <v>23</v>
      </c>
    </row>
    <row r="3295" spans="1:11" ht="42" customHeight="1">
      <c r="A3295" s="2" t="s">
        <v>7589</v>
      </c>
      <c r="B3295" s="2" t="s">
        <v>7589</v>
      </c>
      <c r="C3295" s="2" t="s">
        <v>67</v>
      </c>
      <c r="D3295" s="2" t="s">
        <v>18</v>
      </c>
      <c r="E3295" s="5">
        <v>-30478</v>
      </c>
      <c r="F3295" s="3" t="s">
        <v>123</v>
      </c>
      <c r="G3295" s="3" t="s">
        <v>2092</v>
      </c>
      <c r="H3295" s="2" t="s">
        <v>21</v>
      </c>
      <c r="I3295" s="2" t="s">
        <v>7591</v>
      </c>
      <c r="J3295" s="3" t="str">
        <f>HYPERLINK("https://www.boe.es/gazeta/dias/1816/07/20/pdfs/GMD-1816-90.pdf#page=5","Abrir facsímil")</f>
        <v>Abrir facsímil</v>
      </c>
      <c r="K3295" s="3" t="s">
        <v>23</v>
      </c>
    </row>
    <row r="3296" spans="1:11" ht="42" customHeight="1">
      <c r="A3296" s="2" t="s">
        <v>7589</v>
      </c>
      <c r="B3296" s="2" t="s">
        <v>7589</v>
      </c>
      <c r="C3296" s="2" t="s">
        <v>81</v>
      </c>
      <c r="D3296" s="2" t="s">
        <v>18</v>
      </c>
      <c r="E3296" s="5">
        <v>-30384</v>
      </c>
      <c r="F3296" s="3" t="s">
        <v>460</v>
      </c>
      <c r="G3296" s="3" t="s">
        <v>932</v>
      </c>
      <c r="H3296" s="2" t="s">
        <v>21</v>
      </c>
      <c r="I3296" s="2" t="s">
        <v>7592</v>
      </c>
      <c r="J3296" s="3" t="str">
        <f>HYPERLINK("https://www.boe.es/gazeta/dias/1816/10/22/pdfs/GMD-1816-132.pdf#page=7","Abrir facsímil")</f>
        <v>Abrir facsímil</v>
      </c>
      <c r="K3296" s="3" t="s">
        <v>23</v>
      </c>
    </row>
    <row r="3297" spans="1:11" ht="42" customHeight="1">
      <c r="A3297" s="2" t="s">
        <v>7593</v>
      </c>
      <c r="B3297" s="2" t="s">
        <v>7594</v>
      </c>
      <c r="C3297" s="2" t="s">
        <v>26</v>
      </c>
      <c r="D3297" s="2" t="s">
        <v>18</v>
      </c>
      <c r="E3297" s="5">
        <v>-30571</v>
      </c>
      <c r="F3297" s="3" t="s">
        <v>738</v>
      </c>
      <c r="G3297" s="3" t="s">
        <v>42</v>
      </c>
      <c r="H3297" s="2" t="s">
        <v>21</v>
      </c>
      <c r="I3297" s="2" t="s">
        <v>7595</v>
      </c>
      <c r="J3297" s="3" t="str">
        <f>HYPERLINK("https://www.boe.es/gazeta/dias/1816/04/18/pdfs/GMD-1816-50.pdf#page=8","Abrir facsímil")</f>
        <v>Abrir facsímil</v>
      </c>
      <c r="K3297" s="3" t="s">
        <v>23</v>
      </c>
    </row>
    <row r="3298" spans="1:11" ht="42" customHeight="1">
      <c r="A3298" s="2" t="s">
        <v>7596</v>
      </c>
      <c r="B3298" s="2" t="s">
        <v>7596</v>
      </c>
      <c r="C3298" s="2" t="s">
        <v>34</v>
      </c>
      <c r="D3298" s="2" t="s">
        <v>35</v>
      </c>
      <c r="E3298" s="5">
        <v>-30478</v>
      </c>
      <c r="F3298" s="3" t="s">
        <v>123</v>
      </c>
      <c r="G3298" s="3" t="s">
        <v>4140</v>
      </c>
      <c r="H3298" s="2" t="s">
        <v>21</v>
      </c>
      <c r="I3298" s="2" t="s">
        <v>7597</v>
      </c>
      <c r="J3298" s="3" t="str">
        <f>HYPERLINK("https://www.boe.es/gazeta/dias/1816/07/20/pdfs/GMD-1816-90.pdf#page=3","Abrir facsímil")</f>
        <v>Abrir facsímil</v>
      </c>
      <c r="K3298" s="3" t="s">
        <v>23</v>
      </c>
    </row>
    <row r="3299" spans="1:11" ht="42" customHeight="1">
      <c r="A3299" s="2" t="s">
        <v>7598</v>
      </c>
      <c r="B3299" s="2" t="s">
        <v>7599</v>
      </c>
      <c r="C3299" s="2" t="s">
        <v>26</v>
      </c>
      <c r="D3299" s="2" t="s">
        <v>18</v>
      </c>
      <c r="E3299" s="5">
        <v>-30592</v>
      </c>
      <c r="F3299" s="3" t="s">
        <v>236</v>
      </c>
      <c r="G3299" s="3" t="s">
        <v>42</v>
      </c>
      <c r="H3299" s="2" t="s">
        <v>21</v>
      </c>
      <c r="I3299" s="2" t="s">
        <v>7600</v>
      </c>
      <c r="J3299" s="3" t="str">
        <f>HYPERLINK("https://www.boe.es/gazeta/dias/1816/03/28/pdfs/GMD-1816-41.pdf#page=8","Abrir facsímil")</f>
        <v>Abrir facsímil</v>
      </c>
      <c r="K3299" s="3" t="s">
        <v>23</v>
      </c>
    </row>
    <row r="3300" spans="1:11" ht="42" customHeight="1">
      <c r="A3300" s="2" t="s">
        <v>7598</v>
      </c>
      <c r="B3300" s="2" t="s">
        <v>7599</v>
      </c>
      <c r="C3300" s="2" t="s">
        <v>26</v>
      </c>
      <c r="D3300" s="2" t="s">
        <v>18</v>
      </c>
      <c r="E3300" s="5">
        <v>-30580</v>
      </c>
      <c r="F3300" s="3" t="s">
        <v>107</v>
      </c>
      <c r="G3300" s="3" t="s">
        <v>72</v>
      </c>
      <c r="H3300" s="2" t="s">
        <v>21</v>
      </c>
      <c r="I3300" s="2" t="s">
        <v>7601</v>
      </c>
      <c r="J3300" s="3" t="str">
        <f>HYPERLINK("https://www.boe.es/gazeta/dias/1816/04/09/pdfs/GMD-1816-46.pdf#page=7","Abrir facsímil")</f>
        <v>Abrir facsímil</v>
      </c>
      <c r="K3300" s="3" t="s">
        <v>23</v>
      </c>
    </row>
    <row r="3301" spans="1:11" ht="42" customHeight="1">
      <c r="A3301" s="2" t="s">
        <v>7602</v>
      </c>
      <c r="B3301" s="2" t="s">
        <v>7603</v>
      </c>
      <c r="C3301" s="2" t="s">
        <v>26</v>
      </c>
      <c r="D3301" s="2" t="s">
        <v>18</v>
      </c>
      <c r="E3301" s="5">
        <v>-30485</v>
      </c>
      <c r="F3301" s="3" t="s">
        <v>156</v>
      </c>
      <c r="G3301" s="3" t="s">
        <v>161</v>
      </c>
      <c r="H3301" s="2" t="s">
        <v>21</v>
      </c>
      <c r="I3301" s="2" t="s">
        <v>7604</v>
      </c>
      <c r="J3301" s="3" t="str">
        <f>HYPERLINK("https://www.boe.es/gazeta/dias/1816/07/13/pdfs/GMD-1816-87.pdf#page=4","Abrir facsímil")</f>
        <v>Abrir facsímil</v>
      </c>
      <c r="K3301" s="3" t="s">
        <v>23</v>
      </c>
    </row>
    <row r="3302" spans="1:11" ht="42" customHeight="1">
      <c r="A3302" s="2" t="s">
        <v>7605</v>
      </c>
      <c r="B3302" s="2" t="s">
        <v>7606</v>
      </c>
      <c r="C3302" s="2" t="s">
        <v>34</v>
      </c>
      <c r="D3302" s="2" t="s">
        <v>35</v>
      </c>
      <c r="E3302" s="5">
        <v>-30433</v>
      </c>
      <c r="F3302" s="3" t="s">
        <v>954</v>
      </c>
      <c r="G3302" s="3" t="s">
        <v>28</v>
      </c>
      <c r="H3302" s="2" t="s">
        <v>21</v>
      </c>
      <c r="I3302" s="2" t="s">
        <v>7607</v>
      </c>
      <c r="J3302" s="3" t="str">
        <f>HYPERLINK("https://www.boe.es/gazeta/dias/1816/09/03/pdfs/GMD-1816-109.pdf#page=6","Abrir facsímil")</f>
        <v>Abrir facsímil</v>
      </c>
      <c r="K3302" s="3" t="s">
        <v>23</v>
      </c>
    </row>
    <row r="3303" spans="1:11" ht="42" customHeight="1">
      <c r="A3303" s="2" t="s">
        <v>7608</v>
      </c>
      <c r="B3303" s="2" t="s">
        <v>7609</v>
      </c>
      <c r="C3303" s="2" t="s">
        <v>26</v>
      </c>
      <c r="D3303" s="2" t="s">
        <v>18</v>
      </c>
      <c r="E3303" s="5">
        <v>-30571</v>
      </c>
      <c r="F3303" s="3" t="s">
        <v>738</v>
      </c>
      <c r="G3303" s="3" t="s">
        <v>42</v>
      </c>
      <c r="H3303" s="2" t="s">
        <v>21</v>
      </c>
      <c r="I3303" s="2" t="s">
        <v>7610</v>
      </c>
      <c r="J3303" s="3" t="str">
        <f>HYPERLINK("https://www.boe.es/gazeta/dias/1816/04/18/pdfs/GMD-1816-50.pdf#page=8","Abrir facsímil")</f>
        <v>Abrir facsímil</v>
      </c>
      <c r="K3303" s="3" t="s">
        <v>23</v>
      </c>
    </row>
    <row r="3304" spans="1:11" ht="42" customHeight="1">
      <c r="A3304" s="2" t="s">
        <v>7611</v>
      </c>
      <c r="B3304" s="2" t="s">
        <v>7611</v>
      </c>
      <c r="C3304" s="2" t="s">
        <v>17</v>
      </c>
      <c r="D3304" s="2" t="s">
        <v>18</v>
      </c>
      <c r="E3304" s="5">
        <v>-30632</v>
      </c>
      <c r="F3304" s="3" t="s">
        <v>89</v>
      </c>
      <c r="G3304" s="3" t="s">
        <v>42</v>
      </c>
      <c r="H3304" s="2" t="s">
        <v>21</v>
      </c>
      <c r="I3304" s="2" t="s">
        <v>7612</v>
      </c>
      <c r="J3304" s="3" t="str">
        <f>HYPERLINK("https://www.boe.es/gazeta/dias/1816/02/17/pdfs/GMD-1816-22.pdf#page=8","Abrir facsímil")</f>
        <v>Abrir facsímil</v>
      </c>
      <c r="K3304" s="3" t="s">
        <v>23</v>
      </c>
    </row>
    <row r="3305" spans="1:11" ht="42" customHeight="1">
      <c r="A3305" s="2" t="s">
        <v>7613</v>
      </c>
      <c r="B3305" s="2" t="s">
        <v>7613</v>
      </c>
      <c r="C3305" s="2" t="s">
        <v>67</v>
      </c>
      <c r="D3305" s="2" t="s">
        <v>18</v>
      </c>
      <c r="E3305" s="5">
        <v>-30487</v>
      </c>
      <c r="F3305" s="3" t="s">
        <v>397</v>
      </c>
      <c r="G3305" s="3" t="s">
        <v>175</v>
      </c>
      <c r="H3305" s="2" t="s">
        <v>21</v>
      </c>
      <c r="I3305" s="2" t="s">
        <v>7614</v>
      </c>
      <c r="J3305" s="3" t="str">
        <f>HYPERLINK("https://www.boe.es/gazeta/dias/1816/07/11/pdfs/GMD-1816-86.pdf#page=11","Abrir facsímil")</f>
        <v>Abrir facsímil</v>
      </c>
      <c r="K3305" s="3" t="s">
        <v>23</v>
      </c>
    </row>
    <row r="3306" spans="1:11" ht="42" customHeight="1">
      <c r="A3306" s="2" t="s">
        <v>7615</v>
      </c>
      <c r="B3306" s="2" t="s">
        <v>7615</v>
      </c>
      <c r="C3306" s="2" t="s">
        <v>34</v>
      </c>
      <c r="D3306" s="2" t="s">
        <v>35</v>
      </c>
      <c r="E3306" s="5">
        <v>-30594</v>
      </c>
      <c r="F3306" s="3" t="s">
        <v>234</v>
      </c>
      <c r="G3306" s="3" t="s">
        <v>42</v>
      </c>
      <c r="H3306" s="2" t="s">
        <v>21</v>
      </c>
      <c r="I3306" s="2" t="s">
        <v>7616</v>
      </c>
      <c r="J3306" s="3" t="str">
        <f>HYPERLINK("https://www.boe.es/gazeta/dias/1816/03/26/pdfs/GMD-1816-40.pdf#page=8","Abrir facsímil")</f>
        <v>Abrir facsímil</v>
      </c>
      <c r="K3306" s="3" t="s">
        <v>23</v>
      </c>
    </row>
    <row r="3307" spans="1:11" ht="42" customHeight="1">
      <c r="A3307" s="2" t="s">
        <v>7615</v>
      </c>
      <c r="B3307" s="2" t="s">
        <v>7615</v>
      </c>
      <c r="C3307" s="2" t="s">
        <v>34</v>
      </c>
      <c r="D3307" s="2" t="s">
        <v>35</v>
      </c>
      <c r="E3307" s="5">
        <v>-30580</v>
      </c>
      <c r="F3307" s="3" t="s">
        <v>107</v>
      </c>
      <c r="G3307" s="3" t="s">
        <v>28</v>
      </c>
      <c r="H3307" s="2" t="s">
        <v>21</v>
      </c>
      <c r="I3307" s="2" t="s">
        <v>7617</v>
      </c>
      <c r="J3307" s="3" t="str">
        <f>HYPERLINK("https://www.boe.es/gazeta/dias/1816/04/09/pdfs/GMD-1816-46.pdf#page=6","Abrir facsímil")</f>
        <v>Abrir facsímil</v>
      </c>
      <c r="K3307" s="3" t="s">
        <v>23</v>
      </c>
    </row>
    <row r="3308" spans="1:11" ht="42" customHeight="1">
      <c r="A3308" s="2" t="s">
        <v>7615</v>
      </c>
      <c r="B3308" s="2" t="s">
        <v>7615</v>
      </c>
      <c r="C3308" s="2" t="s">
        <v>26</v>
      </c>
      <c r="D3308" s="2" t="s">
        <v>18</v>
      </c>
      <c r="E3308" s="5">
        <v>-30559</v>
      </c>
      <c r="F3308" s="3" t="s">
        <v>165</v>
      </c>
      <c r="G3308" s="3" t="s">
        <v>270</v>
      </c>
      <c r="H3308" s="2" t="s">
        <v>21</v>
      </c>
      <c r="I3308" s="2" t="s">
        <v>7618</v>
      </c>
      <c r="J3308" s="3" t="str">
        <f>HYPERLINK("https://www.boe.es/gazeta/dias/1816/04/30/pdfs/GMD-1816-55.pdf#page=2","Abrir facsímil")</f>
        <v>Abrir facsímil</v>
      </c>
      <c r="K3308" s="3" t="s">
        <v>23</v>
      </c>
    </row>
    <row r="3309" spans="1:11" ht="42" customHeight="1">
      <c r="A3309" s="2" t="s">
        <v>7615</v>
      </c>
      <c r="B3309" s="2" t="s">
        <v>7615</v>
      </c>
      <c r="C3309" s="2" t="s">
        <v>34</v>
      </c>
      <c r="D3309" s="2" t="s">
        <v>35</v>
      </c>
      <c r="E3309" s="5">
        <v>-30452</v>
      </c>
      <c r="F3309" s="3" t="s">
        <v>3546</v>
      </c>
      <c r="G3309" s="3" t="s">
        <v>184</v>
      </c>
      <c r="H3309" s="2" t="s">
        <v>21</v>
      </c>
      <c r="I3309" s="2" t="s">
        <v>7619</v>
      </c>
      <c r="J3309" s="3" t="str">
        <f>HYPERLINK("https://www.boe.es/gazeta/dias/1816/08/15/pdfs/GMD-1816-101.pdf#page=3","Abrir facsímil")</f>
        <v>Abrir facsímil</v>
      </c>
      <c r="K3309" s="3" t="s">
        <v>23</v>
      </c>
    </row>
    <row r="3310" spans="1:11" ht="42" customHeight="1">
      <c r="A3310" s="2" t="s">
        <v>7615</v>
      </c>
      <c r="B3310" s="2" t="s">
        <v>7615</v>
      </c>
      <c r="C3310" s="2" t="s">
        <v>34</v>
      </c>
      <c r="D3310" s="2" t="s">
        <v>35</v>
      </c>
      <c r="E3310" s="5">
        <v>-30429</v>
      </c>
      <c r="F3310" s="3" t="s">
        <v>598</v>
      </c>
      <c r="G3310" s="3" t="s">
        <v>4352</v>
      </c>
      <c r="H3310" s="2" t="s">
        <v>21</v>
      </c>
      <c r="I3310" s="2" t="s">
        <v>7620</v>
      </c>
      <c r="J3310" s="3" t="str">
        <f>HYPERLINK("https://www.boe.es/gazeta/dias/1816/09/07/pdfs/GMD-1816-111.pdf#page=6","Abrir facsímil")</f>
        <v>Abrir facsímil</v>
      </c>
      <c r="K3310" s="3" t="s">
        <v>23</v>
      </c>
    </row>
    <row r="3311" spans="1:11" ht="42" customHeight="1">
      <c r="A3311" s="2" t="s">
        <v>7615</v>
      </c>
      <c r="B3311" s="2" t="s">
        <v>7615</v>
      </c>
      <c r="C3311" s="2" t="s">
        <v>34</v>
      </c>
      <c r="D3311" s="2" t="s">
        <v>35</v>
      </c>
      <c r="E3311" s="5">
        <v>-30389</v>
      </c>
      <c r="F3311" s="3" t="s">
        <v>522</v>
      </c>
      <c r="G3311" s="3" t="s">
        <v>58</v>
      </c>
      <c r="H3311" s="2" t="s">
        <v>21</v>
      </c>
      <c r="I3311" s="2" t="s">
        <v>7621</v>
      </c>
      <c r="J3311" s="3" t="str">
        <f>HYPERLINK("https://www.boe.es/gazeta/dias/1816/10/17/pdfs/GMD-1816-130.pdf#page=1","Abrir facsímil")</f>
        <v>Abrir facsímil</v>
      </c>
      <c r="K3311" s="3" t="s">
        <v>23</v>
      </c>
    </row>
    <row r="3312" spans="1:11" ht="42" customHeight="1">
      <c r="A3312" s="2" t="s">
        <v>7622</v>
      </c>
      <c r="B3312" s="2" t="s">
        <v>7623</v>
      </c>
      <c r="C3312" s="2" t="s">
        <v>26</v>
      </c>
      <c r="D3312" s="2" t="s">
        <v>18</v>
      </c>
      <c r="E3312" s="5">
        <v>-30335</v>
      </c>
      <c r="F3312" s="3" t="s">
        <v>468</v>
      </c>
      <c r="G3312" s="3" t="s">
        <v>103</v>
      </c>
      <c r="H3312" s="2" t="s">
        <v>21</v>
      </c>
      <c r="I3312" s="2" t="s">
        <v>7624</v>
      </c>
      <c r="J3312" s="3" t="str">
        <f>HYPERLINK("https://www.boe.es/gazeta/dias/1816/12/10/pdfs/GMD-1816-153.pdf#page=4","Abrir facsímil")</f>
        <v>Abrir facsímil</v>
      </c>
      <c r="K3312" s="3" t="s">
        <v>23</v>
      </c>
    </row>
    <row r="3313" spans="1:11" ht="42" customHeight="1">
      <c r="A3313" s="2" t="s">
        <v>7625</v>
      </c>
      <c r="B3313" s="2" t="s">
        <v>7626</v>
      </c>
      <c r="C3313" s="2" t="s">
        <v>34</v>
      </c>
      <c r="D3313" s="2" t="s">
        <v>35</v>
      </c>
      <c r="E3313" s="5">
        <v>-30562</v>
      </c>
      <c r="F3313" s="3" t="s">
        <v>1664</v>
      </c>
      <c r="G3313" s="3" t="s">
        <v>270</v>
      </c>
      <c r="H3313" s="2" t="s">
        <v>29</v>
      </c>
      <c r="I3313" s="2" t="s">
        <v>7627</v>
      </c>
      <c r="J3313" s="3" t="str">
        <f>HYPERLINK("https://www.boe.es/gazeta/dias/1816/04/27/pdfs/GMD-1816-54.pdf#page=2","Abrir facsímil")</f>
        <v>Abrir facsímil</v>
      </c>
      <c r="K3313" s="3" t="s">
        <v>31</v>
      </c>
    </row>
    <row r="3314" spans="1:11" ht="42" customHeight="1">
      <c r="A3314" s="2" t="s">
        <v>7628</v>
      </c>
      <c r="B3314" s="2" t="s">
        <v>7629</v>
      </c>
      <c r="C3314" s="2" t="s">
        <v>34</v>
      </c>
      <c r="D3314" s="2" t="s">
        <v>56</v>
      </c>
      <c r="E3314" s="5">
        <v>-30393</v>
      </c>
      <c r="F3314" s="3" t="s">
        <v>202</v>
      </c>
      <c r="G3314" s="3" t="s">
        <v>47</v>
      </c>
      <c r="H3314" s="2" t="s">
        <v>21</v>
      </c>
      <c r="I3314" s="2" t="s">
        <v>7630</v>
      </c>
      <c r="J3314" s="3" t="str">
        <f>HYPERLINK("https://www.boe.es/gazeta/dias/1816/10/13/pdfs/GMD-1816-128E.pdf#page=5","Abrir facsímil")</f>
        <v>Abrir facsímil</v>
      </c>
      <c r="K3314" s="3" t="s">
        <v>23</v>
      </c>
    </row>
    <row r="3315" spans="1:11" ht="42" customHeight="1">
      <c r="A3315" s="2" t="s">
        <v>7631</v>
      </c>
      <c r="B3315" s="2" t="s">
        <v>7631</v>
      </c>
      <c r="C3315" s="2" t="s">
        <v>26</v>
      </c>
      <c r="D3315" s="2" t="s">
        <v>18</v>
      </c>
      <c r="E3315" s="5">
        <v>-30608</v>
      </c>
      <c r="F3315" s="3" t="s">
        <v>550</v>
      </c>
      <c r="G3315" s="3" t="s">
        <v>1872</v>
      </c>
      <c r="H3315" s="2" t="s">
        <v>21</v>
      </c>
      <c r="I3315" s="2" t="s">
        <v>7632</v>
      </c>
      <c r="J3315" s="3" t="str">
        <f>HYPERLINK("https://www.boe.es/gazeta/dias/1816/03/12/pdfs/GMD-1816-33.pdf#page=3","Abrir facsímil")</f>
        <v>Abrir facsímil</v>
      </c>
      <c r="K3315" s="3" t="s">
        <v>23</v>
      </c>
    </row>
    <row r="3316" spans="1:11" ht="42" customHeight="1">
      <c r="A3316" s="2" t="s">
        <v>7631</v>
      </c>
      <c r="B3316" s="2" t="s">
        <v>7631</v>
      </c>
      <c r="C3316" s="2" t="s">
        <v>34</v>
      </c>
      <c r="D3316" s="2" t="s">
        <v>35</v>
      </c>
      <c r="E3316" s="5">
        <v>-30562</v>
      </c>
      <c r="F3316" s="3" t="s">
        <v>1664</v>
      </c>
      <c r="G3316" s="3" t="s">
        <v>270</v>
      </c>
      <c r="H3316" s="2" t="s">
        <v>21</v>
      </c>
      <c r="I3316" s="2" t="s">
        <v>7633</v>
      </c>
      <c r="J3316" s="3" t="str">
        <f>HYPERLINK("https://www.boe.es/gazeta/dias/1816/04/27/pdfs/GMD-1816-54.pdf#page=2","Abrir facsímil")</f>
        <v>Abrir facsímil</v>
      </c>
      <c r="K3316" s="3" t="s">
        <v>23</v>
      </c>
    </row>
    <row r="3317" spans="1:11" ht="42" customHeight="1">
      <c r="A3317" s="2" t="s">
        <v>7634</v>
      </c>
      <c r="B3317" s="2" t="s">
        <v>7635</v>
      </c>
      <c r="C3317" s="2" t="s">
        <v>81</v>
      </c>
      <c r="D3317" s="2" t="s">
        <v>18</v>
      </c>
      <c r="E3317" s="5">
        <v>-30328</v>
      </c>
      <c r="F3317" s="3" t="s">
        <v>573</v>
      </c>
      <c r="G3317" s="3" t="s">
        <v>42</v>
      </c>
      <c r="H3317" s="2" t="s">
        <v>21</v>
      </c>
      <c r="I3317" s="2" t="s">
        <v>7636</v>
      </c>
      <c r="J3317" s="3" t="str">
        <f>HYPERLINK("https://www.boe.es/gazeta/dias/1816/12/17/pdfs/GMD-1816-156.pdf#page=8","Abrir facsímil")</f>
        <v>Abrir facsímil</v>
      </c>
      <c r="K3317" s="3" t="s">
        <v>23</v>
      </c>
    </row>
    <row r="3318" spans="1:11" ht="42" customHeight="1">
      <c r="A3318" s="2" t="s">
        <v>7637</v>
      </c>
      <c r="B3318" s="2" t="s">
        <v>7637</v>
      </c>
      <c r="C3318" s="2" t="s">
        <v>34</v>
      </c>
      <c r="D3318" s="2" t="s">
        <v>35</v>
      </c>
      <c r="E3318" s="5">
        <v>-30405</v>
      </c>
      <c r="F3318" s="3" t="s">
        <v>587</v>
      </c>
      <c r="G3318" s="3" t="s">
        <v>270</v>
      </c>
      <c r="H3318" s="2" t="s">
        <v>21</v>
      </c>
      <c r="I3318" s="2" t="s">
        <v>7638</v>
      </c>
      <c r="J3318" s="3" t="str">
        <f>HYPERLINK("https://www.boe.es/gazeta/dias/1816/10/01/pdfs/GMD-1816-121.pdf#page=2","Abrir facsímil")</f>
        <v>Abrir facsímil</v>
      </c>
      <c r="K3318" s="3" t="s">
        <v>23</v>
      </c>
    </row>
    <row r="3319" spans="1:11" ht="42" customHeight="1">
      <c r="A3319" s="2" t="s">
        <v>7639</v>
      </c>
      <c r="B3319" s="2" t="s">
        <v>7639</v>
      </c>
      <c r="C3319" s="2" t="s">
        <v>34</v>
      </c>
      <c r="D3319" s="2" t="s">
        <v>35</v>
      </c>
      <c r="E3319" s="5">
        <v>-30391</v>
      </c>
      <c r="F3319" s="3" t="s">
        <v>482</v>
      </c>
      <c r="G3319" s="3" t="s">
        <v>184</v>
      </c>
      <c r="H3319" s="2" t="s">
        <v>21</v>
      </c>
      <c r="I3319" s="2" t="s">
        <v>7640</v>
      </c>
      <c r="J3319" s="3" t="str">
        <f>HYPERLINK("https://www.boe.es/gazeta/dias/1816/10/15/pdfs/GMD-1816-129.pdf#page=3","Abrir facsímil")</f>
        <v>Abrir facsímil</v>
      </c>
      <c r="K3319" s="3" t="s">
        <v>23</v>
      </c>
    </row>
    <row r="3320" spans="1:11" ht="42" customHeight="1">
      <c r="A3320" s="2" t="s">
        <v>7641</v>
      </c>
      <c r="B3320" s="2" t="s">
        <v>7642</v>
      </c>
      <c r="C3320" s="2" t="s">
        <v>26</v>
      </c>
      <c r="D3320" s="2" t="s">
        <v>18</v>
      </c>
      <c r="E3320" s="5">
        <v>-30391</v>
      </c>
      <c r="F3320" s="3" t="s">
        <v>482</v>
      </c>
      <c r="G3320" s="3" t="s">
        <v>72</v>
      </c>
      <c r="H3320" s="2" t="s">
        <v>21</v>
      </c>
      <c r="I3320" s="2" t="s">
        <v>7643</v>
      </c>
      <c r="J3320" s="3" t="str">
        <f>HYPERLINK("https://www.boe.es/gazeta/dias/1816/10/15/pdfs/GMD-1816-129.pdf#page=7","Abrir facsímil")</f>
        <v>Abrir facsímil</v>
      </c>
      <c r="K3320" s="3" t="s">
        <v>23</v>
      </c>
    </row>
    <row r="3321" spans="1:11" ht="42" customHeight="1">
      <c r="A3321" s="2" t="s">
        <v>7644</v>
      </c>
      <c r="B3321" s="2" t="s">
        <v>7645</v>
      </c>
      <c r="C3321" s="2" t="s">
        <v>26</v>
      </c>
      <c r="D3321" s="2" t="s">
        <v>18</v>
      </c>
      <c r="E3321" s="5">
        <v>-30431</v>
      </c>
      <c r="F3321" s="3" t="s">
        <v>756</v>
      </c>
      <c r="G3321" s="3" t="s">
        <v>72</v>
      </c>
      <c r="H3321" s="2" t="s">
        <v>21</v>
      </c>
      <c r="I3321" s="2" t="s">
        <v>7646</v>
      </c>
      <c r="J3321" s="3" t="str">
        <f>HYPERLINK("https://www.boe.es/gazeta/dias/1816/09/05/pdfs/GMD-1816-110.pdf#page=7","Abrir facsímil")</f>
        <v>Abrir facsímil</v>
      </c>
      <c r="K3321" s="3" t="s">
        <v>23</v>
      </c>
    </row>
    <row r="3322" spans="1:11" ht="42" customHeight="1">
      <c r="A3322" s="2" t="s">
        <v>7647</v>
      </c>
      <c r="B3322" s="2" t="s">
        <v>7647</v>
      </c>
      <c r="C3322" s="2" t="s">
        <v>34</v>
      </c>
      <c r="D3322" s="2" t="s">
        <v>35</v>
      </c>
      <c r="E3322" s="5">
        <v>-30678</v>
      </c>
      <c r="F3322" s="3" t="s">
        <v>76</v>
      </c>
      <c r="G3322" s="3" t="s">
        <v>1638</v>
      </c>
      <c r="H3322" s="2" t="s">
        <v>21</v>
      </c>
      <c r="I3322" s="2" t="s">
        <v>7648</v>
      </c>
      <c r="J3322" s="3" t="str">
        <f>HYPERLINK("https://www.boe.es/gazeta/dias/1816/01/02/pdfs/GMD-1816-1.pdf#page=2","Abrir facsímil")</f>
        <v>Abrir facsímil</v>
      </c>
      <c r="K3322" s="3" t="s">
        <v>23</v>
      </c>
    </row>
    <row r="3323" spans="1:11" ht="42" customHeight="1">
      <c r="A3323" s="2" t="s">
        <v>7649</v>
      </c>
      <c r="B3323" s="2" t="s">
        <v>7649</v>
      </c>
      <c r="C3323" s="2" t="s">
        <v>34</v>
      </c>
      <c r="D3323" s="2" t="s">
        <v>35</v>
      </c>
      <c r="E3323" s="5">
        <v>-30424</v>
      </c>
      <c r="F3323" s="3" t="s">
        <v>142</v>
      </c>
      <c r="G3323" s="3" t="s">
        <v>42</v>
      </c>
      <c r="H3323" s="2" t="s">
        <v>21</v>
      </c>
      <c r="I3323" s="2" t="s">
        <v>7650</v>
      </c>
      <c r="J3323" s="3" t="str">
        <f>HYPERLINK("https://www.boe.es/gazeta/dias/1816/09/12/pdfs/GMD-1816-113.pdf#page=8","Abrir facsímil")</f>
        <v>Abrir facsímil</v>
      </c>
      <c r="K3323" s="3" t="s">
        <v>23</v>
      </c>
    </row>
    <row r="3324" spans="1:11" ht="42" customHeight="1">
      <c r="A3324" s="2" t="s">
        <v>7651</v>
      </c>
      <c r="B3324" s="2" t="s">
        <v>7651</v>
      </c>
      <c r="C3324" s="2" t="s">
        <v>34</v>
      </c>
      <c r="D3324" s="2" t="s">
        <v>35</v>
      </c>
      <c r="E3324" s="5">
        <v>-30618</v>
      </c>
      <c r="F3324" s="3" t="s">
        <v>207</v>
      </c>
      <c r="G3324" s="3" t="s">
        <v>184</v>
      </c>
      <c r="H3324" s="2" t="s">
        <v>21</v>
      </c>
      <c r="I3324" s="2" t="s">
        <v>7652</v>
      </c>
      <c r="J3324" s="3" t="str">
        <f>HYPERLINK("https://www.boe.es/gazeta/dias/1816/03/02/pdfs/GMD-1816-29.pdf#page=3","Abrir facsímil")</f>
        <v>Abrir facsímil</v>
      </c>
      <c r="K3324" s="3" t="s">
        <v>23</v>
      </c>
    </row>
    <row r="3325" spans="1:11" ht="42" customHeight="1">
      <c r="A3325" s="2" t="s">
        <v>7653</v>
      </c>
      <c r="B3325" s="2" t="s">
        <v>7653</v>
      </c>
      <c r="C3325" s="2" t="s">
        <v>34</v>
      </c>
      <c r="D3325" s="2" t="s">
        <v>35</v>
      </c>
      <c r="E3325" s="5">
        <v>-30326</v>
      </c>
      <c r="F3325" s="3" t="s">
        <v>377</v>
      </c>
      <c r="G3325" s="3" t="s">
        <v>28</v>
      </c>
      <c r="H3325" s="2" t="s">
        <v>21</v>
      </c>
      <c r="I3325" s="2" t="s">
        <v>7654</v>
      </c>
      <c r="J3325" s="3" t="str">
        <f>HYPERLINK("https://www.boe.es/gazeta/dias/1816/12/19/pdfs/GMD-1816-157.pdf#page=6","Abrir facsímil")</f>
        <v>Abrir facsímil</v>
      </c>
      <c r="K3325" s="3" t="s">
        <v>23</v>
      </c>
    </row>
    <row r="3326" spans="1:11" ht="42" customHeight="1">
      <c r="A3326" s="2" t="s">
        <v>7655</v>
      </c>
      <c r="B3326" s="2" t="s">
        <v>7656</v>
      </c>
      <c r="C3326" s="2" t="s">
        <v>26</v>
      </c>
      <c r="D3326" s="2" t="s">
        <v>18</v>
      </c>
      <c r="E3326" s="5">
        <v>-30475</v>
      </c>
      <c r="F3326" s="3" t="s">
        <v>319</v>
      </c>
      <c r="G3326" s="3" t="s">
        <v>72</v>
      </c>
      <c r="H3326" s="2" t="s">
        <v>21</v>
      </c>
      <c r="I3326" s="2" t="s">
        <v>7657</v>
      </c>
      <c r="J3326" s="3" t="str">
        <f>HYPERLINK("https://www.boe.es/gazeta/dias/1816/07/23/pdfs/GMD-1816-91.pdf#page=7","Abrir facsímil")</f>
        <v>Abrir facsímil</v>
      </c>
      <c r="K3326" s="3" t="s">
        <v>23</v>
      </c>
    </row>
    <row r="3327" spans="1:11" ht="42" customHeight="1">
      <c r="A3327" s="2" t="s">
        <v>7658</v>
      </c>
      <c r="B3327" s="2" t="s">
        <v>7658</v>
      </c>
      <c r="C3327" s="2" t="s">
        <v>34</v>
      </c>
      <c r="D3327" s="2" t="s">
        <v>35</v>
      </c>
      <c r="E3327" s="5">
        <v>-30422</v>
      </c>
      <c r="F3327" s="3" t="s">
        <v>803</v>
      </c>
      <c r="G3327" s="3" t="s">
        <v>58</v>
      </c>
      <c r="H3327" s="2" t="s">
        <v>21</v>
      </c>
      <c r="I3327" s="2" t="s">
        <v>7659</v>
      </c>
      <c r="J3327" s="3" t="str">
        <f>HYPERLINK("https://www.boe.es/gazeta/dias/1816/09/14/pdfs/GMD-1816-114.pdf#page=1","Abrir facsímil")</f>
        <v>Abrir facsímil</v>
      </c>
      <c r="K3327" s="3" t="s">
        <v>23</v>
      </c>
    </row>
    <row r="3328" spans="1:11" ht="42" customHeight="1">
      <c r="A3328" s="2" t="s">
        <v>7660</v>
      </c>
      <c r="B3328" s="2" t="s">
        <v>7661</v>
      </c>
      <c r="C3328" s="2" t="s">
        <v>34</v>
      </c>
      <c r="D3328" s="2" t="s">
        <v>56</v>
      </c>
      <c r="E3328" s="5">
        <v>-30393</v>
      </c>
      <c r="F3328" s="3" t="s">
        <v>202</v>
      </c>
      <c r="G3328" s="3" t="s">
        <v>184</v>
      </c>
      <c r="H3328" s="2" t="s">
        <v>29</v>
      </c>
      <c r="I3328" s="2" t="s">
        <v>7662</v>
      </c>
      <c r="J3328" s="3" t="str">
        <f>HYPERLINK("https://www.boe.es/gazeta/dias/1816/10/13/pdfs/GMD-1816-128E.pdf#page=3","Abrir facsímil")</f>
        <v>Abrir facsímil</v>
      </c>
      <c r="K3328" s="3" t="s">
        <v>31</v>
      </c>
    </row>
    <row r="3329" spans="1:11" ht="42" customHeight="1">
      <c r="A3329" s="2" t="s">
        <v>7663</v>
      </c>
      <c r="B3329" s="2" t="s">
        <v>7664</v>
      </c>
      <c r="C3329" s="2" t="s">
        <v>26</v>
      </c>
      <c r="D3329" s="2" t="s">
        <v>18</v>
      </c>
      <c r="E3329" s="5">
        <v>-30347</v>
      </c>
      <c r="F3329" s="3" t="s">
        <v>2994</v>
      </c>
      <c r="G3329" s="3" t="s">
        <v>72</v>
      </c>
      <c r="H3329" s="2" t="s">
        <v>21</v>
      </c>
      <c r="I3329" s="2" t="s">
        <v>7665</v>
      </c>
      <c r="J3329" s="3" t="str">
        <f>HYPERLINK("https://www.boe.es/gazeta/dias/1816/11/28/pdfs/GMD-1816-148.pdf#page=7","Abrir facsímil")</f>
        <v>Abrir facsímil</v>
      </c>
      <c r="K3329" s="3" t="s">
        <v>23</v>
      </c>
    </row>
    <row r="3330" spans="1:11" ht="42" customHeight="1">
      <c r="A3330" s="2" t="s">
        <v>7666</v>
      </c>
      <c r="B3330" s="2" t="s">
        <v>7667</v>
      </c>
      <c r="C3330" s="2" t="s">
        <v>111</v>
      </c>
      <c r="D3330" s="2" t="s">
        <v>112</v>
      </c>
      <c r="E3330" s="5">
        <v>-30580</v>
      </c>
      <c r="F3330" s="3" t="s">
        <v>107</v>
      </c>
      <c r="G3330" s="3" t="s">
        <v>47</v>
      </c>
      <c r="H3330" s="2" t="s">
        <v>21</v>
      </c>
      <c r="I3330" s="2" t="s">
        <v>7668</v>
      </c>
      <c r="J3330" s="3" t="str">
        <f>HYPERLINK("https://www.boe.es/gazeta/dias/1816/04/09/pdfs/GMD-1816-46.pdf#page=5","Abrir facsímil")</f>
        <v>Abrir facsímil</v>
      </c>
      <c r="K3330" s="3" t="s">
        <v>23</v>
      </c>
    </row>
    <row r="3331" spans="1:11" ht="42" customHeight="1">
      <c r="A3331" s="2" t="s">
        <v>7666</v>
      </c>
      <c r="B3331" s="2" t="s">
        <v>7667</v>
      </c>
      <c r="C3331" s="2" t="s">
        <v>34</v>
      </c>
      <c r="D3331" s="2" t="s">
        <v>35</v>
      </c>
      <c r="E3331" s="5">
        <v>-30422</v>
      </c>
      <c r="F3331" s="3" t="s">
        <v>803</v>
      </c>
      <c r="G3331" s="3" t="s">
        <v>28</v>
      </c>
      <c r="H3331" s="2" t="s">
        <v>21</v>
      </c>
      <c r="I3331" s="2" t="s">
        <v>7669</v>
      </c>
      <c r="J3331" s="3" t="str">
        <f>HYPERLINK("https://www.boe.es/gazeta/dias/1816/09/14/pdfs/GMD-1816-114.pdf#page=6","Abrir facsímil")</f>
        <v>Abrir facsímil</v>
      </c>
      <c r="K3331" s="3" t="s">
        <v>23</v>
      </c>
    </row>
    <row r="3332" spans="1:11" ht="42" customHeight="1">
      <c r="A3332" s="2" t="s">
        <v>7670</v>
      </c>
      <c r="B3332" s="2" t="s">
        <v>7671</v>
      </c>
      <c r="C3332" s="2" t="s">
        <v>26</v>
      </c>
      <c r="D3332" s="2" t="s">
        <v>18</v>
      </c>
      <c r="E3332" s="5">
        <v>-30478</v>
      </c>
      <c r="F3332" s="3" t="s">
        <v>123</v>
      </c>
      <c r="G3332" s="3" t="s">
        <v>2092</v>
      </c>
      <c r="H3332" s="2" t="s">
        <v>21</v>
      </c>
      <c r="I3332" s="2" t="s">
        <v>7672</v>
      </c>
      <c r="J3332" s="3" t="str">
        <f>HYPERLINK("https://www.boe.es/gazeta/dias/1816/07/20/pdfs/GMD-1816-90.pdf#page=5","Abrir facsímil")</f>
        <v>Abrir facsímil</v>
      </c>
      <c r="K3332" s="3" t="s">
        <v>23</v>
      </c>
    </row>
    <row r="3333" spans="1:11" ht="42" customHeight="1">
      <c r="A3333" s="2" t="s">
        <v>7673</v>
      </c>
      <c r="B3333" s="2" t="s">
        <v>7674</v>
      </c>
      <c r="C3333" s="2" t="s">
        <v>387</v>
      </c>
      <c r="D3333" s="2" t="s">
        <v>18</v>
      </c>
      <c r="E3333" s="5">
        <v>-30552</v>
      </c>
      <c r="F3333" s="3" t="s">
        <v>1842</v>
      </c>
      <c r="G3333" s="3" t="s">
        <v>42</v>
      </c>
      <c r="H3333" s="2" t="s">
        <v>21</v>
      </c>
      <c r="I3333" s="2" t="s">
        <v>7675</v>
      </c>
      <c r="J3333" s="3" t="str">
        <f>HYPERLINK("https://www.boe.es/gazeta/dias/1816/05/07/pdfs/GMD-1816-58.pdf#page=8","Abrir facsímil")</f>
        <v>Abrir facsímil</v>
      </c>
      <c r="K3333" s="3" t="s">
        <v>23</v>
      </c>
    </row>
    <row r="3334" spans="1:11" ht="42" customHeight="1">
      <c r="A3334" s="2" t="s">
        <v>7676</v>
      </c>
      <c r="B3334" s="2" t="s">
        <v>7677</v>
      </c>
      <c r="C3334" s="2" t="s">
        <v>26</v>
      </c>
      <c r="D3334" s="2" t="s">
        <v>18</v>
      </c>
      <c r="E3334" s="5">
        <v>-30492</v>
      </c>
      <c r="F3334" s="3" t="s">
        <v>248</v>
      </c>
      <c r="G3334" s="3" t="s">
        <v>103</v>
      </c>
      <c r="H3334" s="2" t="s">
        <v>29</v>
      </c>
      <c r="I3334" s="2" t="s">
        <v>7678</v>
      </c>
      <c r="J3334" s="3" t="str">
        <f>HYPERLINK("https://www.boe.es/gazeta/dias/1816/07/06/pdfs/GMD-1816-84.pdf#page=4","Abrir facsímil")</f>
        <v>Abrir facsímil</v>
      </c>
      <c r="K3334" s="3" t="s">
        <v>31</v>
      </c>
    </row>
    <row r="3335" spans="1:11" ht="42" customHeight="1">
      <c r="A3335" s="2" t="s">
        <v>7679</v>
      </c>
      <c r="B3335" s="2" t="s">
        <v>7680</v>
      </c>
      <c r="C3335" s="2" t="s">
        <v>34</v>
      </c>
      <c r="D3335" s="2" t="s">
        <v>35</v>
      </c>
      <c r="E3335" s="5">
        <v>-30417</v>
      </c>
      <c r="F3335" s="3" t="s">
        <v>62</v>
      </c>
      <c r="G3335" s="3" t="s">
        <v>103</v>
      </c>
      <c r="H3335" s="2" t="s">
        <v>21</v>
      </c>
      <c r="I3335" s="2" t="s">
        <v>7681</v>
      </c>
      <c r="J3335" s="3" t="str">
        <f>HYPERLINK("https://www.boe.es/gazeta/dias/1816/09/19/pdfs/GMD-1816-116.pdf#page=4","Abrir facsímil")</f>
        <v>Abrir facsímil</v>
      </c>
      <c r="K3335" s="3" t="s">
        <v>23</v>
      </c>
    </row>
    <row r="3336" spans="1:11" ht="42" customHeight="1">
      <c r="A3336" s="2" t="s">
        <v>7682</v>
      </c>
      <c r="B3336" s="2" t="s">
        <v>7682</v>
      </c>
      <c r="C3336" s="2" t="s">
        <v>34</v>
      </c>
      <c r="D3336" s="2" t="s">
        <v>35</v>
      </c>
      <c r="E3336" s="5">
        <v>-30473</v>
      </c>
      <c r="F3336" s="3" t="s">
        <v>336</v>
      </c>
      <c r="G3336" s="3" t="s">
        <v>337</v>
      </c>
      <c r="H3336" s="2" t="s">
        <v>21</v>
      </c>
      <c r="I3336" s="2" t="s">
        <v>7683</v>
      </c>
      <c r="J3336" s="3" t="str">
        <f>HYPERLINK("https://www.boe.es/gazeta/dias/1816/07/25/pdfs/GMD-1816-92.pdf#page=3","Abrir facsímil")</f>
        <v>Abrir facsímil</v>
      </c>
      <c r="K3336" s="3" t="s">
        <v>23</v>
      </c>
    </row>
    <row r="3337" spans="1:11" ht="42" customHeight="1">
      <c r="A3337" s="2" t="s">
        <v>7684</v>
      </c>
      <c r="B3337" s="2" t="s">
        <v>7685</v>
      </c>
      <c r="C3337" s="2" t="s">
        <v>111</v>
      </c>
      <c r="D3337" s="2" t="s">
        <v>112</v>
      </c>
      <c r="E3337" s="5">
        <v>-30380</v>
      </c>
      <c r="F3337" s="3" t="s">
        <v>819</v>
      </c>
      <c r="G3337" s="3" t="s">
        <v>42</v>
      </c>
      <c r="H3337" s="2" t="s">
        <v>21</v>
      </c>
      <c r="I3337" s="2" t="s">
        <v>7686</v>
      </c>
      <c r="J3337" s="3" t="str">
        <f>HYPERLINK("https://www.boe.es/gazeta/dias/1816/10/26/pdfs/GMD-1816-134.pdf#page=8","Abrir facsímil")</f>
        <v>Abrir facsímil</v>
      </c>
      <c r="K3337" s="3" t="s">
        <v>23</v>
      </c>
    </row>
    <row r="3338" spans="1:11" ht="42" customHeight="1">
      <c r="A3338" s="2" t="s">
        <v>7687</v>
      </c>
      <c r="B3338" s="2" t="s">
        <v>7688</v>
      </c>
      <c r="C3338" s="2" t="s">
        <v>26</v>
      </c>
      <c r="D3338" s="2" t="s">
        <v>18</v>
      </c>
      <c r="E3338" s="5">
        <v>-30473</v>
      </c>
      <c r="F3338" s="3" t="s">
        <v>336</v>
      </c>
      <c r="G3338" s="3" t="s">
        <v>7143</v>
      </c>
      <c r="H3338" s="2" t="s">
        <v>21</v>
      </c>
      <c r="I3338" s="2" t="s">
        <v>7689</v>
      </c>
      <c r="J3338" s="3" t="str">
        <f>HYPERLINK("https://www.boe.es/gazeta/dias/1816/07/25/pdfs/GMD-1816-92.pdf#page=9","Abrir facsímil")</f>
        <v>Abrir facsímil</v>
      </c>
      <c r="K3338" s="3" t="s">
        <v>23</v>
      </c>
    </row>
    <row r="3339" spans="1:11" ht="42" customHeight="1">
      <c r="A3339" s="2" t="s">
        <v>7690</v>
      </c>
      <c r="B3339" s="2" t="s">
        <v>7690</v>
      </c>
      <c r="C3339" s="2" t="s">
        <v>34</v>
      </c>
      <c r="D3339" s="2" t="s">
        <v>35</v>
      </c>
      <c r="E3339" s="5">
        <v>-30489</v>
      </c>
      <c r="F3339" s="3" t="s">
        <v>1120</v>
      </c>
      <c r="G3339" s="3" t="s">
        <v>103</v>
      </c>
      <c r="H3339" s="2" t="s">
        <v>21</v>
      </c>
      <c r="I3339" s="2" t="s">
        <v>7691</v>
      </c>
      <c r="J3339" s="3" t="str">
        <f>HYPERLINK("https://www.boe.es/gazeta/dias/1816/07/09/pdfs/GMD-1816-85.pdf#page=4","Abrir facsímil")</f>
        <v>Abrir facsímil</v>
      </c>
      <c r="K3339" s="3" t="s">
        <v>23</v>
      </c>
    </row>
    <row r="3340" spans="1:11" ht="42" customHeight="1">
      <c r="A3340" s="2" t="s">
        <v>7692</v>
      </c>
      <c r="B3340" s="2" t="s">
        <v>7692</v>
      </c>
      <c r="C3340" s="2" t="s">
        <v>34</v>
      </c>
      <c r="D3340" s="2" t="s">
        <v>35</v>
      </c>
      <c r="E3340" s="5">
        <v>-30503</v>
      </c>
      <c r="F3340" s="3" t="s">
        <v>1600</v>
      </c>
      <c r="G3340" s="3" t="s">
        <v>270</v>
      </c>
      <c r="H3340" s="2" t="s">
        <v>21</v>
      </c>
      <c r="I3340" s="2" t="s">
        <v>7693</v>
      </c>
      <c r="J3340" s="3" t="str">
        <f>HYPERLINK("https://www.boe.es/gazeta/dias/1816/06/25/pdfs/GMD-1816-79.pdf#page=2","Abrir facsímil")</f>
        <v>Abrir facsímil</v>
      </c>
      <c r="K3340" s="3" t="s">
        <v>23</v>
      </c>
    </row>
    <row r="3341" spans="1:11" ht="42" customHeight="1">
      <c r="A3341" s="2" t="s">
        <v>7694</v>
      </c>
      <c r="B3341" s="2" t="s">
        <v>7694</v>
      </c>
      <c r="C3341" s="2" t="s">
        <v>34</v>
      </c>
      <c r="D3341" s="2" t="s">
        <v>35</v>
      </c>
      <c r="E3341" s="5">
        <v>-30613</v>
      </c>
      <c r="F3341" s="3" t="s">
        <v>392</v>
      </c>
      <c r="G3341" s="3" t="s">
        <v>2396</v>
      </c>
      <c r="H3341" s="2" t="s">
        <v>21</v>
      </c>
      <c r="I3341" s="2" t="s">
        <v>7695</v>
      </c>
      <c r="J3341" s="3" t="str">
        <f>HYPERLINK("https://www.boe.es/gazeta/dias/1816/03/07/pdfs/GMD-1816-31.pdf#page=5","Abrir facsímil")</f>
        <v>Abrir facsímil</v>
      </c>
      <c r="K3341" s="3" t="s">
        <v>23</v>
      </c>
    </row>
    <row r="3342" spans="1:11" ht="42" customHeight="1">
      <c r="A3342" s="2" t="s">
        <v>7696</v>
      </c>
      <c r="B3342" s="2" t="s">
        <v>7697</v>
      </c>
      <c r="C3342" s="2" t="s">
        <v>111</v>
      </c>
      <c r="D3342" s="2" t="s">
        <v>112</v>
      </c>
      <c r="E3342" s="5">
        <v>-30576</v>
      </c>
      <c r="F3342" s="3" t="s">
        <v>353</v>
      </c>
      <c r="G3342" s="3" t="s">
        <v>72</v>
      </c>
      <c r="H3342" s="2" t="s">
        <v>21</v>
      </c>
      <c r="I3342" s="2" t="s">
        <v>7698</v>
      </c>
      <c r="J3342" s="3" t="str">
        <f>HYPERLINK("https://www.boe.es/gazeta/dias/1816/04/13/pdfs/GMD-1816-48.pdf#page=7","Abrir facsímil")</f>
        <v>Abrir facsímil</v>
      </c>
      <c r="K3342" s="3" t="s">
        <v>23</v>
      </c>
    </row>
    <row r="3343" spans="1:11" ht="42" customHeight="1">
      <c r="A3343" s="2" t="s">
        <v>7699</v>
      </c>
      <c r="B3343" s="2" t="s">
        <v>7700</v>
      </c>
      <c r="C3343" s="2" t="s">
        <v>34</v>
      </c>
      <c r="D3343" s="2" t="s">
        <v>35</v>
      </c>
      <c r="E3343" s="5">
        <v>-30599</v>
      </c>
      <c r="F3343" s="3" t="s">
        <v>552</v>
      </c>
      <c r="G3343" s="3" t="s">
        <v>72</v>
      </c>
      <c r="H3343" s="2" t="s">
        <v>21</v>
      </c>
      <c r="I3343" s="2" t="s">
        <v>7701</v>
      </c>
      <c r="J3343" s="3" t="str">
        <f>HYPERLINK("https://www.boe.es/gazeta/dias/1816/03/21/pdfs/GMD-1816-38.pdf#page=7","Abrir facsímil")</f>
        <v>Abrir facsímil</v>
      </c>
      <c r="K3343" s="3" t="s">
        <v>23</v>
      </c>
    </row>
    <row r="3344" spans="1:11" ht="42" customHeight="1">
      <c r="A3344" s="2" t="s">
        <v>7702</v>
      </c>
      <c r="B3344" s="2" t="s">
        <v>7703</v>
      </c>
      <c r="C3344" s="2" t="s">
        <v>67</v>
      </c>
      <c r="D3344" s="2" t="s">
        <v>18</v>
      </c>
      <c r="E3344" s="5">
        <v>-30492</v>
      </c>
      <c r="F3344" s="3" t="s">
        <v>248</v>
      </c>
      <c r="G3344" s="3" t="s">
        <v>103</v>
      </c>
      <c r="H3344" s="2" t="s">
        <v>21</v>
      </c>
      <c r="I3344" s="2" t="s">
        <v>7704</v>
      </c>
      <c r="J3344" s="3" t="str">
        <f>HYPERLINK("https://www.boe.es/gazeta/dias/1816/07/06/pdfs/GMD-1816-84.pdf#page=4","Abrir facsímil")</f>
        <v>Abrir facsímil</v>
      </c>
      <c r="K3344" s="3" t="s">
        <v>23</v>
      </c>
    </row>
    <row r="3345" spans="1:11" ht="42" customHeight="1">
      <c r="A3345" s="2" t="s">
        <v>7705</v>
      </c>
      <c r="B3345" s="2" t="s">
        <v>7706</v>
      </c>
      <c r="C3345" s="2" t="s">
        <v>34</v>
      </c>
      <c r="D3345" s="2" t="s">
        <v>35</v>
      </c>
      <c r="E3345" s="5">
        <v>-30592</v>
      </c>
      <c r="F3345" s="3" t="s">
        <v>236</v>
      </c>
      <c r="G3345" s="3" t="s">
        <v>47</v>
      </c>
      <c r="H3345" s="2" t="s">
        <v>21</v>
      </c>
      <c r="I3345" s="2" t="s">
        <v>7707</v>
      </c>
      <c r="J3345" s="3" t="str">
        <f>HYPERLINK("https://www.boe.es/gazeta/dias/1816/03/28/pdfs/GMD-1816-41.pdf#page=5","Abrir facsímil")</f>
        <v>Abrir facsímil</v>
      </c>
      <c r="K3345" s="3" t="s">
        <v>23</v>
      </c>
    </row>
    <row r="3346" spans="1:11" ht="42" customHeight="1">
      <c r="A3346" s="2" t="s">
        <v>7708</v>
      </c>
      <c r="B3346" s="2" t="s">
        <v>7709</v>
      </c>
      <c r="C3346" s="2" t="s">
        <v>111</v>
      </c>
      <c r="D3346" s="2" t="s">
        <v>112</v>
      </c>
      <c r="E3346" s="5">
        <v>-30403</v>
      </c>
      <c r="F3346" s="3" t="s">
        <v>1264</v>
      </c>
      <c r="G3346" s="3" t="s">
        <v>28</v>
      </c>
      <c r="H3346" s="2" t="s">
        <v>21</v>
      </c>
      <c r="I3346" s="2" t="s">
        <v>7710</v>
      </c>
      <c r="J3346" s="3" t="str">
        <f>HYPERLINK("https://www.boe.es/gazeta/dias/1816/10/03/pdfs/GMD-1816-122.pdf#page=6","Abrir facsímil")</f>
        <v>Abrir facsímil</v>
      </c>
      <c r="K3346" s="3" t="s">
        <v>23</v>
      </c>
    </row>
    <row r="3347" spans="1:11" ht="42" customHeight="1">
      <c r="A3347" s="2" t="s">
        <v>7711</v>
      </c>
      <c r="B3347" s="2" t="s">
        <v>7711</v>
      </c>
      <c r="C3347" s="2" t="s">
        <v>111</v>
      </c>
      <c r="D3347" s="2" t="s">
        <v>112</v>
      </c>
      <c r="E3347" s="5">
        <v>-30433</v>
      </c>
      <c r="F3347" s="3" t="s">
        <v>954</v>
      </c>
      <c r="G3347" s="3" t="s">
        <v>58</v>
      </c>
      <c r="H3347" s="2" t="s">
        <v>21</v>
      </c>
      <c r="I3347" s="2" t="s">
        <v>7712</v>
      </c>
      <c r="J3347" s="3" t="str">
        <f>HYPERLINK("https://www.boe.es/gazeta/dias/1816/09/03/pdfs/GMD-1816-109.pdf#page=1","Abrir facsímil")</f>
        <v>Abrir facsímil</v>
      </c>
      <c r="K3347" s="3" t="s">
        <v>23</v>
      </c>
    </row>
    <row r="3348" spans="1:11" ht="42" customHeight="1">
      <c r="A3348" s="2" t="s">
        <v>7713</v>
      </c>
      <c r="B3348" s="2" t="s">
        <v>7714</v>
      </c>
      <c r="C3348" s="2" t="s">
        <v>67</v>
      </c>
      <c r="D3348" s="2" t="s">
        <v>18</v>
      </c>
      <c r="E3348" s="5">
        <v>-30678</v>
      </c>
      <c r="F3348" s="3" t="s">
        <v>76</v>
      </c>
      <c r="G3348" s="3" t="s">
        <v>77</v>
      </c>
      <c r="H3348" s="2" t="s">
        <v>21</v>
      </c>
      <c r="I3348" s="2" t="s">
        <v>7715</v>
      </c>
      <c r="J3348" s="3" t="str">
        <f>HYPERLINK("https://www.boe.es/gazeta/dias/1816/01/02/pdfs/GMD-1816-1.pdf#page=8","Abrir facsímil")</f>
        <v>Abrir facsímil</v>
      </c>
      <c r="K3348" s="3" t="s">
        <v>23</v>
      </c>
    </row>
    <row r="3349" spans="1:11" ht="42" customHeight="1">
      <c r="A3349" s="2" t="s">
        <v>7716</v>
      </c>
      <c r="B3349" s="2" t="s">
        <v>7716</v>
      </c>
      <c r="C3349" s="2" t="s">
        <v>34</v>
      </c>
      <c r="D3349" s="2" t="s">
        <v>35</v>
      </c>
      <c r="E3349" s="5">
        <v>-30655</v>
      </c>
      <c r="F3349" s="3" t="s">
        <v>170</v>
      </c>
      <c r="G3349" s="3" t="s">
        <v>103</v>
      </c>
      <c r="H3349" s="2" t="s">
        <v>21</v>
      </c>
      <c r="I3349" s="2" t="s">
        <v>7717</v>
      </c>
      <c r="J3349" s="3" t="str">
        <f>HYPERLINK("https://www.boe.es/gazeta/dias/1816/01/25/pdfs/GMD-1816-11.pdf#page=4","Abrir facsímil")</f>
        <v>Abrir facsímil</v>
      </c>
      <c r="K3349" s="3" t="s">
        <v>23</v>
      </c>
    </row>
    <row r="3350" spans="1:11" ht="42" customHeight="1">
      <c r="A3350" s="2" t="s">
        <v>7718</v>
      </c>
      <c r="B3350" s="2" t="s">
        <v>7719</v>
      </c>
      <c r="C3350" s="2" t="s">
        <v>111</v>
      </c>
      <c r="D3350" s="2" t="s">
        <v>112</v>
      </c>
      <c r="E3350" s="5">
        <v>-30669</v>
      </c>
      <c r="F3350" s="3" t="s">
        <v>3499</v>
      </c>
      <c r="G3350" s="3" t="s">
        <v>72</v>
      </c>
      <c r="H3350" s="2" t="s">
        <v>21</v>
      </c>
      <c r="I3350" s="2" t="s">
        <v>7720</v>
      </c>
      <c r="J3350" s="3" t="str">
        <f>HYPERLINK("https://www.boe.es/gazeta/dias/1816/01/11/pdfs/GMD-1816-5.pdf#page=7","Abrir facsímil")</f>
        <v>Abrir facsímil</v>
      </c>
      <c r="K3350" s="3" t="s">
        <v>23</v>
      </c>
    </row>
    <row r="3351" spans="1:11" ht="42" customHeight="1">
      <c r="A3351" s="2" t="s">
        <v>7721</v>
      </c>
      <c r="B3351" s="2" t="s">
        <v>7721</v>
      </c>
      <c r="C3351" s="2" t="s">
        <v>34</v>
      </c>
      <c r="D3351" s="2" t="s">
        <v>35</v>
      </c>
      <c r="E3351" s="5">
        <v>-30669</v>
      </c>
      <c r="F3351" s="3" t="s">
        <v>3499</v>
      </c>
      <c r="G3351" s="3" t="s">
        <v>47</v>
      </c>
      <c r="H3351" s="2" t="s">
        <v>21</v>
      </c>
      <c r="I3351" s="2" t="s">
        <v>7722</v>
      </c>
      <c r="J3351" s="3" t="str">
        <f>HYPERLINK("https://www.boe.es/gazeta/dias/1816/01/11/pdfs/GMD-1816-5.pdf#page=5","Abrir facsímil")</f>
        <v>Abrir facsímil</v>
      </c>
      <c r="K3351" s="3" t="s">
        <v>23</v>
      </c>
    </row>
    <row r="3352" spans="1:11" ht="42" customHeight="1">
      <c r="A3352" s="2" t="s">
        <v>7721</v>
      </c>
      <c r="B3352" s="2" t="s">
        <v>7721</v>
      </c>
      <c r="C3352" s="2" t="s">
        <v>34</v>
      </c>
      <c r="D3352" s="2" t="s">
        <v>35</v>
      </c>
      <c r="E3352" s="5">
        <v>-30664</v>
      </c>
      <c r="F3352" s="3" t="s">
        <v>1999</v>
      </c>
      <c r="G3352" s="3" t="s">
        <v>7723</v>
      </c>
      <c r="H3352" s="2" t="s">
        <v>21</v>
      </c>
      <c r="I3352" s="2" t="s">
        <v>7724</v>
      </c>
      <c r="J3352" s="3" t="str">
        <f>HYPERLINK("https://www.boe.es/gazeta/dias/1816/01/16/pdfs/GMD-1816-7.pdf#page=4","Abrir facsímil")</f>
        <v>Abrir facsímil</v>
      </c>
      <c r="K3352" s="3" t="s">
        <v>23</v>
      </c>
    </row>
    <row r="3353" spans="1:11" ht="42" customHeight="1">
      <c r="A3353" s="2" t="s">
        <v>7721</v>
      </c>
      <c r="B3353" s="2" t="s">
        <v>7721</v>
      </c>
      <c r="C3353" s="2" t="s">
        <v>34</v>
      </c>
      <c r="D3353" s="2" t="s">
        <v>35</v>
      </c>
      <c r="E3353" s="5">
        <v>-30461</v>
      </c>
      <c r="F3353" s="3" t="s">
        <v>912</v>
      </c>
      <c r="G3353" s="3" t="s">
        <v>58</v>
      </c>
      <c r="H3353" s="2" t="s">
        <v>21</v>
      </c>
      <c r="I3353" s="2" t="s">
        <v>7725</v>
      </c>
      <c r="J3353" s="3" t="str">
        <f>HYPERLINK("https://www.boe.es/gazeta/dias/1816/08/06/pdfs/GMD-1816-97.pdf#page=1","Abrir facsímil")</f>
        <v>Abrir facsímil</v>
      </c>
      <c r="K3353" s="3" t="s">
        <v>23</v>
      </c>
    </row>
    <row r="3354" spans="1:11" ht="42" customHeight="1">
      <c r="A3354" s="2" t="s">
        <v>7721</v>
      </c>
      <c r="B3354" s="2" t="s">
        <v>7721</v>
      </c>
      <c r="C3354" s="2" t="s">
        <v>34</v>
      </c>
      <c r="D3354" s="2" t="s">
        <v>35</v>
      </c>
      <c r="E3354" s="5">
        <v>-30450</v>
      </c>
      <c r="F3354" s="3" t="s">
        <v>349</v>
      </c>
      <c r="G3354" s="3" t="s">
        <v>184</v>
      </c>
      <c r="H3354" s="2" t="s">
        <v>21</v>
      </c>
      <c r="I3354" s="2" t="s">
        <v>7726</v>
      </c>
      <c r="J3354" s="3" t="str">
        <f>HYPERLINK("https://www.boe.es/gazeta/dias/1816/08/17/pdfs/GMD-1816-102.pdf#page=3","Abrir facsímil")</f>
        <v>Abrir facsímil</v>
      </c>
      <c r="K3354" s="3" t="s">
        <v>23</v>
      </c>
    </row>
    <row r="3355" spans="1:11" ht="42" customHeight="1">
      <c r="A3355" s="2" t="s">
        <v>7727</v>
      </c>
      <c r="B3355" s="2" t="s">
        <v>7728</v>
      </c>
      <c r="C3355" s="2" t="s">
        <v>34</v>
      </c>
      <c r="D3355" s="2" t="s">
        <v>35</v>
      </c>
      <c r="E3355" s="5">
        <v>-30326</v>
      </c>
      <c r="F3355" s="3" t="s">
        <v>377</v>
      </c>
      <c r="G3355" s="3" t="s">
        <v>184</v>
      </c>
      <c r="H3355" s="2" t="s">
        <v>21</v>
      </c>
      <c r="I3355" s="2" t="s">
        <v>7729</v>
      </c>
      <c r="J3355" s="3" t="str">
        <f>HYPERLINK("https://www.boe.es/gazeta/dias/1816/12/19/pdfs/GMD-1816-157.pdf#page=3","Abrir facsímil")</f>
        <v>Abrir facsímil</v>
      </c>
      <c r="K3355" s="3" t="s">
        <v>23</v>
      </c>
    </row>
    <row r="3356" spans="1:11" ht="42" customHeight="1">
      <c r="A3356" s="2" t="s">
        <v>7730</v>
      </c>
      <c r="B3356" s="2" t="s">
        <v>7731</v>
      </c>
      <c r="C3356" s="2" t="s">
        <v>34</v>
      </c>
      <c r="D3356" s="2" t="s">
        <v>35</v>
      </c>
      <c r="E3356" s="5">
        <v>-30499</v>
      </c>
      <c r="F3356" s="3" t="s">
        <v>971</v>
      </c>
      <c r="G3356" s="3" t="s">
        <v>180</v>
      </c>
      <c r="H3356" s="2" t="s">
        <v>21</v>
      </c>
      <c r="I3356" s="2" t="s">
        <v>7732</v>
      </c>
      <c r="J3356" s="3" t="str">
        <f>HYPERLINK("https://www.boe.es/gazeta/dias/1816/06/29/pdfs/GMD-1816-81.pdf#page=10","Abrir facsímil")</f>
        <v>Abrir facsímil</v>
      </c>
      <c r="K3356" s="3" t="s">
        <v>23</v>
      </c>
    </row>
    <row r="3357" spans="1:11" ht="42" customHeight="1">
      <c r="A3357" s="2" t="s">
        <v>7733</v>
      </c>
      <c r="B3357" s="2" t="s">
        <v>7734</v>
      </c>
      <c r="C3357" s="2" t="s">
        <v>34</v>
      </c>
      <c r="D3357" s="2" t="s">
        <v>35</v>
      </c>
      <c r="E3357" s="5">
        <v>-30576</v>
      </c>
      <c r="F3357" s="3" t="s">
        <v>353</v>
      </c>
      <c r="G3357" s="3" t="s">
        <v>72</v>
      </c>
      <c r="H3357" s="2" t="s">
        <v>21</v>
      </c>
      <c r="I3357" s="2" t="s">
        <v>7735</v>
      </c>
      <c r="J3357" s="3" t="str">
        <f>HYPERLINK("https://www.boe.es/gazeta/dias/1816/04/13/pdfs/GMD-1816-48.pdf#page=7","Abrir facsímil")</f>
        <v>Abrir facsímil</v>
      </c>
      <c r="K3357" s="3" t="s">
        <v>23</v>
      </c>
    </row>
    <row r="3358" spans="1:11" ht="42" customHeight="1">
      <c r="A3358" s="2" t="s">
        <v>7736</v>
      </c>
      <c r="B3358" s="2" t="s">
        <v>7737</v>
      </c>
      <c r="C3358" s="2" t="s">
        <v>111</v>
      </c>
      <c r="D3358" s="2" t="s">
        <v>112</v>
      </c>
      <c r="E3358" s="5">
        <v>-30382</v>
      </c>
      <c r="F3358" s="3" t="s">
        <v>326</v>
      </c>
      <c r="G3358" s="3" t="s">
        <v>28</v>
      </c>
      <c r="H3358" s="2" t="s">
        <v>21</v>
      </c>
      <c r="I3358" s="2" t="s">
        <v>7738</v>
      </c>
      <c r="J3358" s="3" t="str">
        <f>HYPERLINK("https://www.boe.es/gazeta/dias/1816/10/24/pdfs/GMD-1816-133.pdf#page=6","Abrir facsímil")</f>
        <v>Abrir facsímil</v>
      </c>
      <c r="K3358" s="3" t="s">
        <v>23</v>
      </c>
    </row>
    <row r="3359" spans="1:11" ht="42" customHeight="1">
      <c r="A3359" s="2" t="s">
        <v>7739</v>
      </c>
      <c r="B3359" s="2" t="s">
        <v>7740</v>
      </c>
      <c r="C3359" s="2" t="s">
        <v>34</v>
      </c>
      <c r="D3359" s="2" t="s">
        <v>56</v>
      </c>
      <c r="E3359" s="5">
        <v>-30393</v>
      </c>
      <c r="F3359" s="3" t="s">
        <v>202</v>
      </c>
      <c r="G3359" s="3" t="s">
        <v>47</v>
      </c>
      <c r="H3359" s="2" t="s">
        <v>21</v>
      </c>
      <c r="I3359" s="2" t="s">
        <v>7741</v>
      </c>
      <c r="J3359" s="3" t="str">
        <f>HYPERLINK("https://www.boe.es/gazeta/dias/1816/10/13/pdfs/GMD-1816-128E.pdf#page=5","Abrir facsímil")</f>
        <v>Abrir facsímil</v>
      </c>
      <c r="K3359" s="3" t="s">
        <v>23</v>
      </c>
    </row>
    <row r="3360" spans="1:11" ht="42" customHeight="1">
      <c r="A3360" s="2" t="s">
        <v>7739</v>
      </c>
      <c r="B3360" s="2" t="s">
        <v>7740</v>
      </c>
      <c r="C3360" s="2" t="s">
        <v>26</v>
      </c>
      <c r="D3360" s="2" t="s">
        <v>18</v>
      </c>
      <c r="E3360" s="5">
        <v>-30387</v>
      </c>
      <c r="F3360" s="3" t="s">
        <v>224</v>
      </c>
      <c r="G3360" s="3" t="s">
        <v>72</v>
      </c>
      <c r="H3360" s="2" t="s">
        <v>21</v>
      </c>
      <c r="I3360" s="2" t="s">
        <v>7742</v>
      </c>
      <c r="J3360" s="3" t="str">
        <f>HYPERLINK("https://www.boe.es/gazeta/dias/1816/10/19/pdfs/GMD-1816-131.pdf#page=7","Abrir facsímil")</f>
        <v>Abrir facsímil</v>
      </c>
      <c r="K3360" s="3" t="s">
        <v>23</v>
      </c>
    </row>
    <row r="3361" spans="1:11" ht="42" customHeight="1">
      <c r="A3361" s="2" t="s">
        <v>7743</v>
      </c>
      <c r="B3361" s="2" t="s">
        <v>7744</v>
      </c>
      <c r="C3361" s="2" t="s">
        <v>26</v>
      </c>
      <c r="D3361" s="2" t="s">
        <v>18</v>
      </c>
      <c r="E3361" s="5">
        <v>-30655</v>
      </c>
      <c r="F3361" s="3" t="s">
        <v>170</v>
      </c>
      <c r="G3361" s="3" t="s">
        <v>72</v>
      </c>
      <c r="H3361" s="2" t="s">
        <v>21</v>
      </c>
      <c r="I3361" s="2" t="s">
        <v>7745</v>
      </c>
      <c r="J3361" s="3" t="str">
        <f>HYPERLINK("https://www.boe.es/gazeta/dias/1816/01/25/pdfs/GMD-1816-11.pdf#page=7","Abrir facsímil")</f>
        <v>Abrir facsímil</v>
      </c>
      <c r="K3361" s="3" t="s">
        <v>23</v>
      </c>
    </row>
    <row r="3362" spans="1:11" ht="42" customHeight="1">
      <c r="A3362" s="2" t="s">
        <v>7746</v>
      </c>
      <c r="B3362" s="2" t="s">
        <v>7747</v>
      </c>
      <c r="C3362" s="2" t="s">
        <v>34</v>
      </c>
      <c r="D3362" s="2" t="s">
        <v>35</v>
      </c>
      <c r="E3362" s="5">
        <v>-30394</v>
      </c>
      <c r="F3362" s="3" t="s">
        <v>589</v>
      </c>
      <c r="G3362" s="3" t="s">
        <v>72</v>
      </c>
      <c r="H3362" s="2" t="s">
        <v>21</v>
      </c>
      <c r="I3362" s="2" t="s">
        <v>7748</v>
      </c>
      <c r="J3362" s="3" t="str">
        <f>HYPERLINK("https://www.boe.es/gazeta/dias/1816/10/12/pdfs/GMD-1816-127.pdf#page=7","Abrir facsímil")</f>
        <v>Abrir facsímil</v>
      </c>
      <c r="K3362" s="3" t="s">
        <v>23</v>
      </c>
    </row>
    <row r="3363" spans="1:11" ht="42" customHeight="1">
      <c r="A3363" s="2" t="s">
        <v>7749</v>
      </c>
      <c r="B3363" s="2" t="s">
        <v>7750</v>
      </c>
      <c r="C3363" s="2" t="s">
        <v>34</v>
      </c>
      <c r="D3363" s="2" t="s">
        <v>56</v>
      </c>
      <c r="E3363" s="5">
        <v>-30393</v>
      </c>
      <c r="F3363" s="3" t="s">
        <v>202</v>
      </c>
      <c r="G3363" s="3" t="s">
        <v>47</v>
      </c>
      <c r="H3363" s="2" t="s">
        <v>21</v>
      </c>
      <c r="I3363" s="2" t="s">
        <v>7751</v>
      </c>
      <c r="J3363" s="3" t="str">
        <f>HYPERLINK("https://www.boe.es/gazeta/dias/1816/10/13/pdfs/GMD-1816-128E.pdf#page=5","Abrir facsímil")</f>
        <v>Abrir facsímil</v>
      </c>
      <c r="K3363" s="3" t="s">
        <v>23</v>
      </c>
    </row>
    <row r="3364" spans="1:11" ht="42" customHeight="1">
      <c r="A3364" s="2" t="s">
        <v>7752</v>
      </c>
      <c r="B3364" s="2" t="s">
        <v>7753</v>
      </c>
      <c r="C3364" s="2" t="s">
        <v>111</v>
      </c>
      <c r="D3364" s="2" t="s">
        <v>112</v>
      </c>
      <c r="E3364" s="5">
        <v>-30394</v>
      </c>
      <c r="F3364" s="3" t="s">
        <v>589</v>
      </c>
      <c r="G3364" s="3" t="s">
        <v>47</v>
      </c>
      <c r="H3364" s="2" t="s">
        <v>29</v>
      </c>
      <c r="I3364" s="2" t="s">
        <v>7754</v>
      </c>
      <c r="J3364" s="3" t="str">
        <f>HYPERLINK("https://www.boe.es/gazeta/dias/1816/10/12/pdfs/GMD-1816-127.pdf#page=5","Abrir facsímil")</f>
        <v>Abrir facsímil</v>
      </c>
      <c r="K3364" s="3" t="s">
        <v>31</v>
      </c>
    </row>
    <row r="3365" spans="1:11" ht="42" customHeight="1">
      <c r="A3365" s="2" t="s">
        <v>7755</v>
      </c>
      <c r="B3365" s="2" t="s">
        <v>7756</v>
      </c>
      <c r="C3365" s="2" t="s">
        <v>26</v>
      </c>
      <c r="D3365" s="2" t="s">
        <v>18</v>
      </c>
      <c r="E3365" s="5">
        <v>-30387</v>
      </c>
      <c r="F3365" s="3" t="s">
        <v>224</v>
      </c>
      <c r="G3365" s="3" t="s">
        <v>28</v>
      </c>
      <c r="H3365" s="2" t="s">
        <v>21</v>
      </c>
      <c r="I3365" s="2" t="s">
        <v>7757</v>
      </c>
      <c r="J3365" s="3" t="str">
        <f>HYPERLINK("https://www.boe.es/gazeta/dias/1816/10/19/pdfs/GMD-1816-131.pdf#page=6","Abrir facsímil")</f>
        <v>Abrir facsímil</v>
      </c>
      <c r="K3365" s="3" t="s">
        <v>23</v>
      </c>
    </row>
    <row r="3366" spans="1:11" ht="42" customHeight="1">
      <c r="A3366" s="2" t="s">
        <v>7758</v>
      </c>
      <c r="B3366" s="2" t="s">
        <v>7759</v>
      </c>
      <c r="C3366" s="2" t="s">
        <v>26</v>
      </c>
      <c r="D3366" s="2" t="s">
        <v>18</v>
      </c>
      <c r="E3366" s="5">
        <v>-30391</v>
      </c>
      <c r="F3366" s="3" t="s">
        <v>482</v>
      </c>
      <c r="G3366" s="3" t="s">
        <v>72</v>
      </c>
      <c r="H3366" s="2" t="s">
        <v>21</v>
      </c>
      <c r="I3366" s="2" t="s">
        <v>7760</v>
      </c>
      <c r="J3366" s="3" t="str">
        <f>HYPERLINK("https://www.boe.es/gazeta/dias/1816/10/15/pdfs/GMD-1816-129.pdf#page=7","Abrir facsímil")</f>
        <v>Abrir facsímil</v>
      </c>
      <c r="K3366" s="3" t="s">
        <v>23</v>
      </c>
    </row>
    <row r="3367" spans="1:11" ht="42" customHeight="1">
      <c r="A3367" s="2" t="s">
        <v>7761</v>
      </c>
      <c r="B3367" s="2" t="s">
        <v>7762</v>
      </c>
      <c r="C3367" s="2" t="s">
        <v>26</v>
      </c>
      <c r="D3367" s="2" t="s">
        <v>18</v>
      </c>
      <c r="E3367" s="5">
        <v>-30387</v>
      </c>
      <c r="F3367" s="3" t="s">
        <v>224</v>
      </c>
      <c r="G3367" s="3" t="s">
        <v>28</v>
      </c>
      <c r="H3367" s="2" t="s">
        <v>21</v>
      </c>
      <c r="I3367" s="2" t="s">
        <v>7763</v>
      </c>
      <c r="J3367" s="3" t="str">
        <f>HYPERLINK("https://www.boe.es/gazeta/dias/1816/10/19/pdfs/GMD-1816-131.pdf#page=6","Abrir facsímil")</f>
        <v>Abrir facsímil</v>
      </c>
      <c r="K3367" s="3" t="s">
        <v>23</v>
      </c>
    </row>
    <row r="3368" spans="1:11" ht="42" customHeight="1">
      <c r="A3368" s="2" t="s">
        <v>7764</v>
      </c>
      <c r="B3368" s="2" t="s">
        <v>7765</v>
      </c>
      <c r="C3368" s="2" t="s">
        <v>34</v>
      </c>
      <c r="D3368" s="2" t="s">
        <v>35</v>
      </c>
      <c r="E3368" s="5">
        <v>-30615</v>
      </c>
      <c r="F3368" s="3" t="s">
        <v>1848</v>
      </c>
      <c r="G3368" s="3" t="s">
        <v>58</v>
      </c>
      <c r="H3368" s="2" t="s">
        <v>29</v>
      </c>
      <c r="I3368" s="2" t="s">
        <v>7766</v>
      </c>
      <c r="J3368" s="3" t="str">
        <f>HYPERLINK("https://www.boe.es/gazeta/dias/1816/03/05/pdfs/GMD-1816-30.pdf#page=1","Abrir facsímil")</f>
        <v>Abrir facsímil</v>
      </c>
      <c r="K3368" s="3" t="s">
        <v>31</v>
      </c>
    </row>
    <row r="3369" spans="1:11" ht="42" customHeight="1">
      <c r="A3369" s="2" t="s">
        <v>7767</v>
      </c>
      <c r="B3369" s="2" t="s">
        <v>7768</v>
      </c>
      <c r="C3369" s="2" t="s">
        <v>67</v>
      </c>
      <c r="D3369" s="2" t="s">
        <v>18</v>
      </c>
      <c r="E3369" s="5">
        <v>-30342</v>
      </c>
      <c r="F3369" s="3" t="s">
        <v>116</v>
      </c>
      <c r="G3369" s="3" t="s">
        <v>28</v>
      </c>
      <c r="H3369" s="2" t="s">
        <v>21</v>
      </c>
      <c r="I3369" s="2" t="s">
        <v>7769</v>
      </c>
      <c r="J3369" s="3" t="str">
        <f>HYPERLINK("https://www.boe.es/gazeta/dias/1816/12/03/pdfs/GMD-1816-150.pdf#page=6","Abrir facsímil")</f>
        <v>Abrir facsímil</v>
      </c>
      <c r="K3369" s="3" t="s">
        <v>23</v>
      </c>
    </row>
    <row r="3370" spans="1:11" ht="42" customHeight="1">
      <c r="A3370" s="2" t="s">
        <v>7770</v>
      </c>
      <c r="B3370" s="2" t="s">
        <v>7770</v>
      </c>
      <c r="C3370" s="2" t="s">
        <v>34</v>
      </c>
      <c r="D3370" s="2" t="s">
        <v>35</v>
      </c>
      <c r="E3370" s="5">
        <v>-30634</v>
      </c>
      <c r="F3370" s="3" t="s">
        <v>1104</v>
      </c>
      <c r="G3370" s="3" t="s">
        <v>270</v>
      </c>
      <c r="H3370" s="2" t="s">
        <v>21</v>
      </c>
      <c r="I3370" s="2" t="s">
        <v>7771</v>
      </c>
      <c r="J3370" s="3" t="str">
        <f>HYPERLINK("https://www.boe.es/gazeta/dias/1816/02/15/pdfs/GMD-1816-21.pdf#page=2","Abrir facsímil")</f>
        <v>Abrir facsímil</v>
      </c>
      <c r="K3370" s="3" t="s">
        <v>23</v>
      </c>
    </row>
    <row r="3371" spans="1:11" ht="42" customHeight="1">
      <c r="A3371" s="2" t="s">
        <v>7772</v>
      </c>
      <c r="B3371" s="2" t="s">
        <v>7773</v>
      </c>
      <c r="C3371" s="2" t="s">
        <v>41</v>
      </c>
      <c r="D3371" s="2" t="s">
        <v>18</v>
      </c>
      <c r="E3371" s="5">
        <v>-30324</v>
      </c>
      <c r="F3371" s="3" t="s">
        <v>46</v>
      </c>
      <c r="G3371" s="3" t="s">
        <v>42</v>
      </c>
      <c r="H3371" s="2" t="s">
        <v>21</v>
      </c>
      <c r="I3371" s="2" t="s">
        <v>7774</v>
      </c>
      <c r="J3371" s="3" t="str">
        <f>HYPERLINK("https://www.boe.es/gazeta/dias/1816/12/21/pdfs/GMD-1816-158.pdf#page=8","Abrir facsímil")</f>
        <v>Abrir facsímil</v>
      </c>
      <c r="K3371" s="3" t="s">
        <v>23</v>
      </c>
    </row>
    <row r="3372" spans="1:11" ht="42" customHeight="1">
      <c r="A3372" s="2" t="s">
        <v>7775</v>
      </c>
      <c r="B3372" s="2" t="s">
        <v>7776</v>
      </c>
      <c r="C3372" s="2" t="s">
        <v>111</v>
      </c>
      <c r="D3372" s="2" t="s">
        <v>112</v>
      </c>
      <c r="E3372" s="5">
        <v>-30555</v>
      </c>
      <c r="F3372" s="3" t="s">
        <v>345</v>
      </c>
      <c r="G3372" s="3" t="s">
        <v>42</v>
      </c>
      <c r="H3372" s="2" t="s">
        <v>21</v>
      </c>
      <c r="I3372" s="2" t="s">
        <v>7777</v>
      </c>
      <c r="J3372" s="3" t="str">
        <f>HYPERLINK("https://www.boe.es/gazeta/dias/1816/05/04/pdfs/GMD-1816-57.pdf#page=8","Abrir facsímil")</f>
        <v>Abrir facsímil</v>
      </c>
      <c r="K3372" s="3" t="s">
        <v>23</v>
      </c>
    </row>
    <row r="3373" spans="1:11" ht="42" customHeight="1">
      <c r="A3373" s="2" t="s">
        <v>7778</v>
      </c>
      <c r="B3373" s="2" t="s">
        <v>7779</v>
      </c>
      <c r="C3373" s="2" t="s">
        <v>26</v>
      </c>
      <c r="D3373" s="2" t="s">
        <v>18</v>
      </c>
      <c r="E3373" s="5">
        <v>-30401</v>
      </c>
      <c r="F3373" s="3" t="s">
        <v>652</v>
      </c>
      <c r="G3373" s="3" t="s">
        <v>28</v>
      </c>
      <c r="H3373" s="2" t="s">
        <v>21</v>
      </c>
      <c r="I3373" s="2" t="s">
        <v>7780</v>
      </c>
      <c r="J3373" s="3" t="str">
        <f>HYPERLINK("https://www.boe.es/gazeta/dias/1816/10/05/pdfs/GMD-1816-123.pdf#page=6","Abrir facsímil")</f>
        <v>Abrir facsímil</v>
      </c>
      <c r="K3373" s="3" t="s">
        <v>23</v>
      </c>
    </row>
    <row r="3374" spans="1:11" ht="42" customHeight="1">
      <c r="A3374" s="2" t="s">
        <v>7781</v>
      </c>
      <c r="B3374" s="2" t="s">
        <v>7782</v>
      </c>
      <c r="C3374" s="2" t="s">
        <v>34</v>
      </c>
      <c r="D3374" s="2" t="s">
        <v>35</v>
      </c>
      <c r="E3374" s="5">
        <v>-30566</v>
      </c>
      <c r="F3374" s="3" t="s">
        <v>113</v>
      </c>
      <c r="G3374" s="3" t="s">
        <v>72</v>
      </c>
      <c r="H3374" s="2" t="s">
        <v>21</v>
      </c>
      <c r="I3374" s="2" t="s">
        <v>7783</v>
      </c>
      <c r="J3374" s="3" t="str">
        <f>HYPERLINK("https://www.boe.es/gazeta/dias/1816/04/23/pdfs/GMD-1816-52.pdf#page=7","Abrir facsímil")</f>
        <v>Abrir facsímil</v>
      </c>
      <c r="K3374" s="3" t="s">
        <v>23</v>
      </c>
    </row>
    <row r="3375" spans="1:11" ht="42" customHeight="1">
      <c r="A3375" s="2" t="s">
        <v>7784</v>
      </c>
      <c r="B3375" s="2" t="s">
        <v>7785</v>
      </c>
      <c r="C3375" s="2" t="s">
        <v>41</v>
      </c>
      <c r="D3375" s="2" t="s">
        <v>18</v>
      </c>
      <c r="E3375" s="5">
        <v>-30419</v>
      </c>
      <c r="F3375" s="3" t="s">
        <v>1256</v>
      </c>
      <c r="G3375" s="3" t="s">
        <v>2162</v>
      </c>
      <c r="H3375" s="2" t="s">
        <v>29</v>
      </c>
      <c r="I3375" s="2" t="s">
        <v>7786</v>
      </c>
      <c r="J3375" s="3" t="str">
        <f>HYPERLINK("https://www.boe.es/gazeta/dias/1816/09/17/pdfs/GMD-1816-115.pdf#page=8","Abrir facsímil")</f>
        <v>Abrir facsímil</v>
      </c>
      <c r="K3375" s="3" t="s">
        <v>31</v>
      </c>
    </row>
    <row r="3376" spans="1:11" ht="42" customHeight="1">
      <c r="A3376" s="2" t="s">
        <v>7787</v>
      </c>
      <c r="B3376" s="2" t="s">
        <v>7788</v>
      </c>
      <c r="C3376" s="2" t="s">
        <v>41</v>
      </c>
      <c r="D3376" s="2" t="s">
        <v>18</v>
      </c>
      <c r="E3376" s="5">
        <v>-30415</v>
      </c>
      <c r="F3376" s="3" t="s">
        <v>585</v>
      </c>
      <c r="G3376" s="3" t="s">
        <v>175</v>
      </c>
      <c r="H3376" s="2" t="s">
        <v>21</v>
      </c>
      <c r="I3376" s="2" t="s">
        <v>7789</v>
      </c>
      <c r="J3376" s="3" t="str">
        <f>HYPERLINK("https://www.boe.es/gazeta/dias/1816/09/21/pdfs/GMD-1816-117.pdf#page=11","Abrir facsímil")</f>
        <v>Abrir facsímil</v>
      </c>
      <c r="K3376" s="3" t="s">
        <v>23</v>
      </c>
    </row>
    <row r="3377" spans="1:11" ht="42" customHeight="1">
      <c r="A3377" s="2" t="s">
        <v>7790</v>
      </c>
      <c r="B3377" s="2" t="s">
        <v>7791</v>
      </c>
      <c r="C3377" s="2" t="s">
        <v>34</v>
      </c>
      <c r="D3377" s="2" t="s">
        <v>35</v>
      </c>
      <c r="E3377" s="5">
        <v>-30468</v>
      </c>
      <c r="F3377" s="3" t="s">
        <v>383</v>
      </c>
      <c r="G3377" s="3" t="s">
        <v>6201</v>
      </c>
      <c r="H3377" s="2" t="s">
        <v>21</v>
      </c>
      <c r="I3377" s="2" t="s">
        <v>7792</v>
      </c>
      <c r="J3377" s="3" t="str">
        <f>HYPERLINK("https://www.boe.es/gazeta/dias/1816/07/30/pdfs/GMD-1816-94.pdf#page=4","Abrir facsímil")</f>
        <v>Abrir facsímil</v>
      </c>
      <c r="K3377" s="3" t="s">
        <v>23</v>
      </c>
    </row>
    <row r="3378" spans="1:11" ht="42" customHeight="1">
      <c r="A3378" s="2" t="s">
        <v>7793</v>
      </c>
      <c r="B3378" s="2" t="s">
        <v>7794</v>
      </c>
      <c r="C3378" s="2" t="s">
        <v>26</v>
      </c>
      <c r="D3378" s="2" t="s">
        <v>18</v>
      </c>
      <c r="E3378" s="5">
        <v>-30548</v>
      </c>
      <c r="F3378" s="3" t="s">
        <v>472</v>
      </c>
      <c r="G3378" s="3" t="s">
        <v>42</v>
      </c>
      <c r="H3378" s="2" t="s">
        <v>21</v>
      </c>
      <c r="I3378" s="2" t="s">
        <v>7795</v>
      </c>
      <c r="J3378" s="3" t="str">
        <f>HYPERLINK("https://www.boe.es/gazeta/dias/1816/05/11/pdfs/GMD-1816-60.pdf#page=8","Abrir facsímil")</f>
        <v>Abrir facsímil</v>
      </c>
      <c r="K3378" s="3" t="s">
        <v>23</v>
      </c>
    </row>
    <row r="3379" spans="1:11" ht="42" customHeight="1">
      <c r="A3379" s="2" t="s">
        <v>7796</v>
      </c>
      <c r="B3379" s="2" t="s">
        <v>7797</v>
      </c>
      <c r="C3379" s="2" t="s">
        <v>41</v>
      </c>
      <c r="D3379" s="2" t="s">
        <v>18</v>
      </c>
      <c r="E3379" s="5">
        <v>-30342</v>
      </c>
      <c r="F3379" s="3" t="s">
        <v>116</v>
      </c>
      <c r="G3379" s="3" t="s">
        <v>184</v>
      </c>
      <c r="H3379" s="2" t="s">
        <v>21</v>
      </c>
      <c r="I3379" s="2" t="s">
        <v>7798</v>
      </c>
      <c r="J3379" s="3" t="str">
        <f>HYPERLINK("https://www.boe.es/gazeta/dias/1816/12/03/pdfs/GMD-1816-150.pdf#page=3","Abrir facsímil")</f>
        <v>Abrir facsímil</v>
      </c>
      <c r="K3379" s="3" t="s">
        <v>23</v>
      </c>
    </row>
    <row r="3380" spans="1:11" ht="42" customHeight="1">
      <c r="A3380" s="2" t="s">
        <v>7799</v>
      </c>
      <c r="B3380" s="2" t="s">
        <v>7800</v>
      </c>
      <c r="C3380" s="2" t="s">
        <v>67</v>
      </c>
      <c r="D3380" s="2" t="s">
        <v>18</v>
      </c>
      <c r="E3380" s="5">
        <v>-30401</v>
      </c>
      <c r="F3380" s="3" t="s">
        <v>652</v>
      </c>
      <c r="G3380" s="3" t="s">
        <v>47</v>
      </c>
      <c r="H3380" s="2" t="s">
        <v>21</v>
      </c>
      <c r="I3380" s="2" t="s">
        <v>7801</v>
      </c>
      <c r="J3380" s="3" t="str">
        <f>HYPERLINK("https://www.boe.es/gazeta/dias/1816/10/05/pdfs/GMD-1816-123.pdf#page=5","Abrir facsímil")</f>
        <v>Abrir facsímil</v>
      </c>
      <c r="K3380" s="3" t="s">
        <v>23</v>
      </c>
    </row>
    <row r="3381" spans="1:11" ht="42" customHeight="1">
      <c r="A3381" s="2" t="s">
        <v>7802</v>
      </c>
      <c r="B3381" s="2" t="s">
        <v>7803</v>
      </c>
      <c r="C3381" s="2" t="s">
        <v>34</v>
      </c>
      <c r="D3381" s="2" t="s">
        <v>56</v>
      </c>
      <c r="E3381" s="5">
        <v>-30603</v>
      </c>
      <c r="F3381" s="3" t="s">
        <v>503</v>
      </c>
      <c r="G3381" s="3" t="s">
        <v>58</v>
      </c>
      <c r="H3381" s="2" t="s">
        <v>21</v>
      </c>
      <c r="I3381" s="2" t="s">
        <v>7804</v>
      </c>
      <c r="J3381" s="3" t="str">
        <f>HYPERLINK("https://www.boe.es/gazeta/dias/1816/03/17/pdfs/GMD-1816-36E.pdf#page=1","Abrir facsímil")</f>
        <v>Abrir facsímil</v>
      </c>
      <c r="K3381" s="3" t="s">
        <v>23</v>
      </c>
    </row>
    <row r="3382" spans="1:11" ht="42" customHeight="1">
      <c r="A3382" s="2" t="s">
        <v>7802</v>
      </c>
      <c r="B3382" s="2" t="s">
        <v>7803</v>
      </c>
      <c r="C3382" s="2" t="s">
        <v>34</v>
      </c>
      <c r="D3382" s="2" t="s">
        <v>35</v>
      </c>
      <c r="E3382" s="5">
        <v>-30592</v>
      </c>
      <c r="F3382" s="3" t="s">
        <v>236</v>
      </c>
      <c r="G3382" s="3" t="s">
        <v>2199</v>
      </c>
      <c r="H3382" s="2" t="s">
        <v>21</v>
      </c>
      <c r="I3382" s="2" t="s">
        <v>7805</v>
      </c>
      <c r="J3382" s="3" t="str">
        <f>HYPERLINK("https://www.boe.es/gazeta/dias/1816/03/28/pdfs/GMD-1816-41.pdf#page=10","Abrir facsímil")</f>
        <v>Abrir facsímil</v>
      </c>
      <c r="K3382" s="3" t="s">
        <v>23</v>
      </c>
    </row>
    <row r="3383" spans="1:11" ht="42" customHeight="1">
      <c r="A3383" s="2" t="s">
        <v>7802</v>
      </c>
      <c r="B3383" s="2" t="s">
        <v>7803</v>
      </c>
      <c r="C3383" s="2" t="s">
        <v>34</v>
      </c>
      <c r="D3383" s="2" t="s">
        <v>35</v>
      </c>
      <c r="E3383" s="5">
        <v>-30580</v>
      </c>
      <c r="F3383" s="3" t="s">
        <v>107</v>
      </c>
      <c r="G3383" s="3" t="s">
        <v>28</v>
      </c>
      <c r="H3383" s="2" t="s">
        <v>21</v>
      </c>
      <c r="I3383" s="2" t="s">
        <v>7806</v>
      </c>
      <c r="J3383" s="3" t="str">
        <f>HYPERLINK("https://www.boe.es/gazeta/dias/1816/04/09/pdfs/GMD-1816-46.pdf#page=6","Abrir facsímil")</f>
        <v>Abrir facsímil</v>
      </c>
      <c r="K3383" s="3" t="s">
        <v>23</v>
      </c>
    </row>
    <row r="3384" spans="1:11" ht="42" customHeight="1">
      <c r="A3384" s="2" t="s">
        <v>7807</v>
      </c>
      <c r="B3384" s="2" t="s">
        <v>7808</v>
      </c>
      <c r="C3384" s="2" t="s">
        <v>26</v>
      </c>
      <c r="D3384" s="2" t="s">
        <v>18</v>
      </c>
      <c r="E3384" s="5">
        <v>-30592</v>
      </c>
      <c r="F3384" s="3" t="s">
        <v>236</v>
      </c>
      <c r="G3384" s="3" t="s">
        <v>42</v>
      </c>
      <c r="H3384" s="2" t="s">
        <v>21</v>
      </c>
      <c r="I3384" s="2" t="s">
        <v>7809</v>
      </c>
      <c r="J3384" s="3" t="str">
        <f>HYPERLINK("https://www.boe.es/gazeta/dias/1816/03/28/pdfs/GMD-1816-41.pdf#page=8","Abrir facsímil")</f>
        <v>Abrir facsímil</v>
      </c>
      <c r="K3384" s="3" t="s">
        <v>23</v>
      </c>
    </row>
    <row r="3385" spans="1:11" ht="42" customHeight="1">
      <c r="A3385" s="2" t="s">
        <v>7807</v>
      </c>
      <c r="B3385" s="2" t="s">
        <v>7808</v>
      </c>
      <c r="C3385" s="2" t="s">
        <v>26</v>
      </c>
      <c r="D3385" s="2" t="s">
        <v>18</v>
      </c>
      <c r="E3385" s="5">
        <v>-30580</v>
      </c>
      <c r="F3385" s="3" t="s">
        <v>107</v>
      </c>
      <c r="G3385" s="3" t="s">
        <v>72</v>
      </c>
      <c r="H3385" s="2" t="s">
        <v>21</v>
      </c>
      <c r="I3385" s="2" t="s">
        <v>7810</v>
      </c>
      <c r="J3385" s="3" t="str">
        <f>HYPERLINK("https://www.boe.es/gazeta/dias/1816/04/09/pdfs/GMD-1816-46.pdf#page=7","Abrir facsímil")</f>
        <v>Abrir facsímil</v>
      </c>
      <c r="K3385" s="3" t="s">
        <v>23</v>
      </c>
    </row>
    <row r="3386" spans="1:11" ht="42" customHeight="1">
      <c r="A3386" s="2" t="s">
        <v>7811</v>
      </c>
      <c r="B3386" s="2" t="s">
        <v>7812</v>
      </c>
      <c r="C3386" s="2" t="s">
        <v>111</v>
      </c>
      <c r="D3386" s="2" t="s">
        <v>112</v>
      </c>
      <c r="E3386" s="5">
        <v>-30508</v>
      </c>
      <c r="F3386" s="3" t="s">
        <v>36</v>
      </c>
      <c r="G3386" s="3" t="s">
        <v>1054</v>
      </c>
      <c r="H3386" s="2" t="s">
        <v>21</v>
      </c>
      <c r="I3386" s="2" t="s">
        <v>7813</v>
      </c>
      <c r="J3386" s="3" t="str">
        <f>HYPERLINK("https://www.boe.es/gazeta/dias/1816/06/20/pdfs/GMD-1816-77.pdf#page=4","Abrir facsímil")</f>
        <v>Abrir facsímil</v>
      </c>
      <c r="K3386" s="3" t="s">
        <v>23</v>
      </c>
    </row>
    <row r="3387" spans="1:11" ht="42" customHeight="1">
      <c r="A3387" s="2" t="s">
        <v>7814</v>
      </c>
      <c r="B3387" s="2" t="s">
        <v>7815</v>
      </c>
      <c r="C3387" s="2" t="s">
        <v>26</v>
      </c>
      <c r="D3387" s="2" t="s">
        <v>18</v>
      </c>
      <c r="E3387" s="5">
        <v>-30317</v>
      </c>
      <c r="F3387" s="3" t="s">
        <v>1030</v>
      </c>
      <c r="G3387" s="3" t="s">
        <v>184</v>
      </c>
      <c r="H3387" s="2" t="s">
        <v>21</v>
      </c>
      <c r="I3387" s="2" t="s">
        <v>7816</v>
      </c>
      <c r="J3387" s="3" t="str">
        <f>HYPERLINK("https://www.boe.es/gazeta/dias/1816/12/28/pdfs/GMD-1816-161.pdf#page=3","Abrir facsímil")</f>
        <v>Abrir facsímil</v>
      </c>
      <c r="K3387" s="3" t="s">
        <v>23</v>
      </c>
    </row>
    <row r="3388" spans="1:11" ht="42" customHeight="1">
      <c r="A3388" s="2" t="s">
        <v>7817</v>
      </c>
      <c r="B3388" s="2" t="s">
        <v>7818</v>
      </c>
      <c r="C3388" s="2" t="s">
        <v>34</v>
      </c>
      <c r="D3388" s="2" t="s">
        <v>35</v>
      </c>
      <c r="E3388" s="5">
        <v>-30387</v>
      </c>
      <c r="F3388" s="3" t="s">
        <v>224</v>
      </c>
      <c r="G3388" s="3" t="s">
        <v>28</v>
      </c>
      <c r="H3388" s="2" t="s">
        <v>29</v>
      </c>
      <c r="I3388" s="2" t="s">
        <v>7819</v>
      </c>
      <c r="J3388" s="3" t="str">
        <f>HYPERLINK("https://www.boe.es/gazeta/dias/1816/10/19/pdfs/GMD-1816-131.pdf#page=6","Abrir facsímil")</f>
        <v>Abrir facsímil</v>
      </c>
      <c r="K3388" s="3" t="s">
        <v>31</v>
      </c>
    </row>
    <row r="3389" spans="1:11" ht="42" customHeight="1">
      <c r="A3389" s="2" t="s">
        <v>7820</v>
      </c>
      <c r="B3389" s="2" t="s">
        <v>7821</v>
      </c>
      <c r="C3389" s="2" t="s">
        <v>34</v>
      </c>
      <c r="D3389" s="2" t="s">
        <v>56</v>
      </c>
      <c r="E3389" s="5">
        <v>-30393</v>
      </c>
      <c r="F3389" s="3" t="s">
        <v>202</v>
      </c>
      <c r="G3389" s="3" t="s">
        <v>184</v>
      </c>
      <c r="H3389" s="2" t="s">
        <v>21</v>
      </c>
      <c r="I3389" s="2" t="s">
        <v>7822</v>
      </c>
      <c r="J3389" s="3" t="str">
        <f>HYPERLINK("https://www.boe.es/gazeta/dias/1816/10/13/pdfs/GMD-1816-128E.pdf#page=3","Abrir facsímil")</f>
        <v>Abrir facsímil</v>
      </c>
      <c r="K3389" s="3" t="s">
        <v>23</v>
      </c>
    </row>
    <row r="3390" spans="1:11" ht="42" customHeight="1">
      <c r="A3390" s="2" t="s">
        <v>7823</v>
      </c>
      <c r="B3390" s="2" t="s">
        <v>7824</v>
      </c>
      <c r="C3390" s="2" t="s">
        <v>34</v>
      </c>
      <c r="D3390" s="2" t="s">
        <v>35</v>
      </c>
      <c r="E3390" s="5">
        <v>-30627</v>
      </c>
      <c r="F3390" s="3" t="s">
        <v>136</v>
      </c>
      <c r="G3390" s="3" t="s">
        <v>103</v>
      </c>
      <c r="H3390" s="2" t="s">
        <v>21</v>
      </c>
      <c r="I3390" s="2" t="s">
        <v>7825</v>
      </c>
      <c r="J3390" s="3" t="str">
        <f>HYPERLINK("https://www.boe.es/gazeta/dias/1816/02/22/pdfs/GMD-1816-24.pdf#page=4","Abrir facsímil")</f>
        <v>Abrir facsímil</v>
      </c>
      <c r="K3390" s="3" t="s">
        <v>23</v>
      </c>
    </row>
    <row r="3391" spans="1:11" ht="42" customHeight="1">
      <c r="A3391" s="2" t="s">
        <v>7826</v>
      </c>
      <c r="B3391" s="2" t="s">
        <v>7827</v>
      </c>
      <c r="C3391" s="2" t="s">
        <v>34</v>
      </c>
      <c r="D3391" s="2" t="s">
        <v>56</v>
      </c>
      <c r="E3391" s="5">
        <v>-30393</v>
      </c>
      <c r="F3391" s="3" t="s">
        <v>202</v>
      </c>
      <c r="G3391" s="3" t="s">
        <v>203</v>
      </c>
      <c r="H3391" s="2" t="s">
        <v>21</v>
      </c>
      <c r="I3391" s="2" t="s">
        <v>7828</v>
      </c>
      <c r="J3391" s="3" t="str">
        <f>HYPERLINK("https://www.boe.es/gazeta/dias/1816/10/13/pdfs/GMD-1816-128E.pdf#page=7","Abrir facsímil")</f>
        <v>Abrir facsímil</v>
      </c>
      <c r="K3391" s="3" t="s">
        <v>23</v>
      </c>
    </row>
    <row r="3392" spans="1:11" ht="42" customHeight="1">
      <c r="A3392" s="2" t="s">
        <v>7829</v>
      </c>
      <c r="B3392" s="2" t="s">
        <v>7830</v>
      </c>
      <c r="C3392" s="2" t="s">
        <v>34</v>
      </c>
      <c r="D3392" s="2" t="s">
        <v>35</v>
      </c>
      <c r="E3392" s="5">
        <v>-30492</v>
      </c>
      <c r="F3392" s="3" t="s">
        <v>248</v>
      </c>
      <c r="G3392" s="3" t="s">
        <v>92</v>
      </c>
      <c r="H3392" s="2" t="s">
        <v>21</v>
      </c>
      <c r="I3392" s="2" t="s">
        <v>7831</v>
      </c>
      <c r="J3392" s="3" t="str">
        <f>HYPERLINK("https://www.boe.es/gazeta/dias/1816/07/06/pdfs/GMD-1816-84.pdf#page=9","Abrir facsímil")</f>
        <v>Abrir facsímil</v>
      </c>
      <c r="K3392" s="3" t="s">
        <v>23</v>
      </c>
    </row>
    <row r="3393" spans="1:11" ht="42" customHeight="1">
      <c r="A3393" s="2" t="s">
        <v>7832</v>
      </c>
      <c r="B3393" s="2" t="s">
        <v>7833</v>
      </c>
      <c r="C3393" s="2" t="s">
        <v>111</v>
      </c>
      <c r="D3393" s="2" t="s">
        <v>112</v>
      </c>
      <c r="E3393" s="5">
        <v>-30382</v>
      </c>
      <c r="F3393" s="3" t="s">
        <v>326</v>
      </c>
      <c r="G3393" s="3" t="s">
        <v>28</v>
      </c>
      <c r="H3393" s="2" t="s">
        <v>21</v>
      </c>
      <c r="I3393" s="2" t="s">
        <v>7834</v>
      </c>
      <c r="J3393" s="3" t="str">
        <f>HYPERLINK("https://www.boe.es/gazeta/dias/1816/10/24/pdfs/GMD-1816-133.pdf#page=6","Abrir facsímil")</f>
        <v>Abrir facsímil</v>
      </c>
      <c r="K3393" s="3" t="s">
        <v>23</v>
      </c>
    </row>
    <row r="3394" spans="1:11" ht="42" customHeight="1">
      <c r="A3394" s="2" t="s">
        <v>7835</v>
      </c>
      <c r="B3394" s="2" t="s">
        <v>7836</v>
      </c>
      <c r="C3394" s="2" t="s">
        <v>41</v>
      </c>
      <c r="D3394" s="2" t="s">
        <v>18</v>
      </c>
      <c r="E3394" s="5">
        <v>-30613</v>
      </c>
      <c r="F3394" s="3" t="s">
        <v>392</v>
      </c>
      <c r="G3394" s="3" t="s">
        <v>1395</v>
      </c>
      <c r="H3394" s="2" t="s">
        <v>21</v>
      </c>
      <c r="I3394" s="2" t="s">
        <v>7837</v>
      </c>
      <c r="J3394" s="3" t="str">
        <f>HYPERLINK("https://www.boe.es/gazeta/dias/1816/03/07/pdfs/GMD-1816-31.pdf#page=8","Abrir facsímil")</f>
        <v>Abrir facsímil</v>
      </c>
      <c r="K3394" s="3" t="s">
        <v>23</v>
      </c>
    </row>
    <row r="3395" spans="1:11" ht="42" customHeight="1">
      <c r="A3395" s="2" t="s">
        <v>7838</v>
      </c>
      <c r="B3395" s="2" t="s">
        <v>7838</v>
      </c>
      <c r="C3395" s="2" t="s">
        <v>34</v>
      </c>
      <c r="D3395" s="2" t="s">
        <v>35</v>
      </c>
      <c r="E3395" s="5">
        <v>-30592</v>
      </c>
      <c r="F3395" s="3" t="s">
        <v>236</v>
      </c>
      <c r="G3395" s="3" t="s">
        <v>184</v>
      </c>
      <c r="H3395" s="2" t="s">
        <v>21</v>
      </c>
      <c r="I3395" s="2" t="s">
        <v>7839</v>
      </c>
      <c r="J3395" s="3" t="str">
        <f>HYPERLINK("https://www.boe.es/gazeta/dias/1816/03/28/pdfs/GMD-1816-41.pdf#page=3","Abrir facsímil")</f>
        <v>Abrir facsímil</v>
      </c>
      <c r="K3395" s="3" t="s">
        <v>23</v>
      </c>
    </row>
    <row r="3396" spans="1:11" ht="42" customHeight="1">
      <c r="A3396" s="2" t="s">
        <v>7838</v>
      </c>
      <c r="B3396" s="2" t="s">
        <v>7838</v>
      </c>
      <c r="C3396" s="2" t="s">
        <v>34</v>
      </c>
      <c r="D3396" s="2" t="s">
        <v>35</v>
      </c>
      <c r="E3396" s="5">
        <v>-30368</v>
      </c>
      <c r="F3396" s="3" t="s">
        <v>531</v>
      </c>
      <c r="G3396" s="3" t="s">
        <v>7840</v>
      </c>
      <c r="H3396" s="2" t="s">
        <v>21</v>
      </c>
      <c r="I3396" s="2" t="s">
        <v>7841</v>
      </c>
      <c r="J3396" s="3" t="str">
        <f>HYPERLINK("https://www.boe.es/gazeta/dias/1816/11/07/pdfs/GMD-1816-139.pdf#page=5","Abrir facsímil")</f>
        <v>Abrir facsímil</v>
      </c>
      <c r="K3396" s="3" t="s">
        <v>23</v>
      </c>
    </row>
    <row r="3397" spans="1:11" ht="42" customHeight="1">
      <c r="A3397" s="2" t="s">
        <v>7842</v>
      </c>
      <c r="B3397" s="2" t="s">
        <v>7843</v>
      </c>
      <c r="C3397" s="2" t="s">
        <v>81</v>
      </c>
      <c r="D3397" s="2" t="s">
        <v>18</v>
      </c>
      <c r="E3397" s="5">
        <v>-30646</v>
      </c>
      <c r="F3397" s="3" t="s">
        <v>615</v>
      </c>
      <c r="G3397" s="3" t="s">
        <v>42</v>
      </c>
      <c r="H3397" s="2" t="s">
        <v>21</v>
      </c>
      <c r="I3397" s="2" t="s">
        <v>7844</v>
      </c>
      <c r="J3397" s="3" t="str">
        <f>HYPERLINK("https://www.boe.es/gazeta/dias/1816/02/03/pdfs/GMD-1816-16.pdf#page=8","Abrir facsímil")</f>
        <v>Abrir facsímil</v>
      </c>
      <c r="K3397" s="3" t="s">
        <v>23</v>
      </c>
    </row>
    <row r="3398" spans="1:11" ht="42" customHeight="1">
      <c r="A3398" s="2" t="s">
        <v>7845</v>
      </c>
      <c r="B3398" s="2" t="s">
        <v>7846</v>
      </c>
      <c r="C3398" s="2" t="s">
        <v>34</v>
      </c>
      <c r="D3398" s="2" t="s">
        <v>35</v>
      </c>
      <c r="E3398" s="5">
        <v>-30594</v>
      </c>
      <c r="F3398" s="3" t="s">
        <v>234</v>
      </c>
      <c r="G3398" s="3" t="s">
        <v>72</v>
      </c>
      <c r="H3398" s="2" t="s">
        <v>29</v>
      </c>
      <c r="I3398" s="2" t="s">
        <v>7847</v>
      </c>
      <c r="J3398" s="3" t="str">
        <f>HYPERLINK("https://www.boe.es/gazeta/dias/1816/03/26/pdfs/GMD-1816-40.pdf#page=7","Abrir facsímil")</f>
        <v>Abrir facsímil</v>
      </c>
      <c r="K3398" s="3" t="s">
        <v>31</v>
      </c>
    </row>
    <row r="3399" spans="1:11" ht="42" customHeight="1">
      <c r="A3399" s="2" t="s">
        <v>7848</v>
      </c>
      <c r="B3399" s="2" t="s">
        <v>7849</v>
      </c>
      <c r="C3399" s="2" t="s">
        <v>111</v>
      </c>
      <c r="D3399" s="2" t="s">
        <v>112</v>
      </c>
      <c r="E3399" s="5">
        <v>-30382</v>
      </c>
      <c r="F3399" s="3" t="s">
        <v>326</v>
      </c>
      <c r="G3399" s="3" t="s">
        <v>47</v>
      </c>
      <c r="H3399" s="2" t="s">
        <v>21</v>
      </c>
      <c r="I3399" s="2" t="s">
        <v>7850</v>
      </c>
      <c r="J3399" s="3" t="str">
        <f>HYPERLINK("https://www.boe.es/gazeta/dias/1816/10/24/pdfs/GMD-1816-133.pdf#page=5","Abrir facsímil")</f>
        <v>Abrir facsímil</v>
      </c>
      <c r="K3399" s="3" t="s">
        <v>23</v>
      </c>
    </row>
    <row r="3400" spans="1:11" ht="42" customHeight="1">
      <c r="A3400" s="2" t="s">
        <v>7851</v>
      </c>
      <c r="B3400" s="2" t="s">
        <v>7852</v>
      </c>
      <c r="C3400" s="2" t="s">
        <v>34</v>
      </c>
      <c r="D3400" s="2" t="s">
        <v>56</v>
      </c>
      <c r="E3400" s="5">
        <v>-30393</v>
      </c>
      <c r="F3400" s="3" t="s">
        <v>202</v>
      </c>
      <c r="G3400" s="3" t="s">
        <v>42</v>
      </c>
      <c r="H3400" s="2" t="s">
        <v>29</v>
      </c>
      <c r="I3400" s="2" t="s">
        <v>7853</v>
      </c>
      <c r="J3400" s="3" t="str">
        <f>HYPERLINK("https://www.boe.es/gazeta/dias/1816/10/13/pdfs/GMD-1816-128E.pdf#page=8","Abrir facsímil")</f>
        <v>Abrir facsímil</v>
      </c>
      <c r="K3400" s="3" t="s">
        <v>31</v>
      </c>
    </row>
    <row r="3401" spans="1:11" ht="42" customHeight="1">
      <c r="A3401" s="2" t="s">
        <v>7854</v>
      </c>
      <c r="B3401" s="2" t="s">
        <v>7855</v>
      </c>
      <c r="C3401" s="2" t="s">
        <v>34</v>
      </c>
      <c r="D3401" s="2" t="s">
        <v>35</v>
      </c>
      <c r="E3401" s="5">
        <v>-30599</v>
      </c>
      <c r="F3401" s="3" t="s">
        <v>552</v>
      </c>
      <c r="G3401" s="3" t="s">
        <v>184</v>
      </c>
      <c r="H3401" s="2" t="s">
        <v>21</v>
      </c>
      <c r="I3401" s="2" t="s">
        <v>7856</v>
      </c>
      <c r="J3401" s="3" t="str">
        <f>HYPERLINK("https://www.boe.es/gazeta/dias/1816/03/21/pdfs/GMD-1816-38.pdf#page=3","Abrir facsímil")</f>
        <v>Abrir facsímil</v>
      </c>
      <c r="K3401" s="3" t="s">
        <v>23</v>
      </c>
    </row>
    <row r="3402" spans="1:11" ht="42" customHeight="1">
      <c r="A3402" s="2" t="s">
        <v>7854</v>
      </c>
      <c r="B3402" s="2" t="s">
        <v>7855</v>
      </c>
      <c r="C3402" s="2" t="s">
        <v>34</v>
      </c>
      <c r="D3402" s="2" t="s">
        <v>35</v>
      </c>
      <c r="E3402" s="5">
        <v>-30599</v>
      </c>
      <c r="F3402" s="3" t="s">
        <v>552</v>
      </c>
      <c r="G3402" s="3" t="s">
        <v>103</v>
      </c>
      <c r="H3402" s="2" t="s">
        <v>21</v>
      </c>
      <c r="I3402" s="2" t="s">
        <v>7857</v>
      </c>
      <c r="J3402" s="3" t="str">
        <f>HYPERLINK("https://www.boe.es/gazeta/dias/1816/03/21/pdfs/GMD-1816-38.pdf#page=4","Abrir facsímil")</f>
        <v>Abrir facsímil</v>
      </c>
      <c r="K3402" s="3" t="s">
        <v>23</v>
      </c>
    </row>
    <row r="3403" spans="1:11" ht="42" customHeight="1">
      <c r="A3403" s="2" t="s">
        <v>7854</v>
      </c>
      <c r="B3403" s="2" t="s">
        <v>7855</v>
      </c>
      <c r="C3403" s="2" t="s">
        <v>34</v>
      </c>
      <c r="D3403" s="2" t="s">
        <v>35</v>
      </c>
      <c r="E3403" s="5">
        <v>-30594</v>
      </c>
      <c r="F3403" s="3" t="s">
        <v>234</v>
      </c>
      <c r="G3403" s="3" t="s">
        <v>42</v>
      </c>
      <c r="H3403" s="2" t="s">
        <v>21</v>
      </c>
      <c r="I3403" s="2" t="s">
        <v>7858</v>
      </c>
      <c r="J3403" s="3" t="str">
        <f>HYPERLINK("https://www.boe.es/gazeta/dias/1816/03/26/pdfs/GMD-1816-40.pdf#page=8","Abrir facsímil")</f>
        <v>Abrir facsímil</v>
      </c>
      <c r="K3403" s="3" t="s">
        <v>23</v>
      </c>
    </row>
    <row r="3404" spans="1:11" ht="42" customHeight="1">
      <c r="A3404" s="2" t="s">
        <v>7854</v>
      </c>
      <c r="B3404" s="2" t="s">
        <v>7855</v>
      </c>
      <c r="C3404" s="2" t="s">
        <v>26</v>
      </c>
      <c r="D3404" s="2" t="s">
        <v>18</v>
      </c>
      <c r="E3404" s="5">
        <v>-30326</v>
      </c>
      <c r="F3404" s="3" t="s">
        <v>377</v>
      </c>
      <c r="G3404" s="3" t="s">
        <v>103</v>
      </c>
      <c r="H3404" s="2" t="s">
        <v>21</v>
      </c>
      <c r="I3404" s="2" t="s">
        <v>7859</v>
      </c>
      <c r="J3404" s="3" t="str">
        <f>HYPERLINK("https://www.boe.es/gazeta/dias/1816/12/19/pdfs/GMD-1816-157.pdf#page=4","Abrir facsímil")</f>
        <v>Abrir facsímil</v>
      </c>
      <c r="K3404" s="3" t="s">
        <v>23</v>
      </c>
    </row>
    <row r="3405" spans="1:11" ht="42" customHeight="1">
      <c r="A3405" s="2" t="s">
        <v>7854</v>
      </c>
      <c r="B3405" s="2" t="s">
        <v>7855</v>
      </c>
      <c r="C3405" s="2" t="s">
        <v>34</v>
      </c>
      <c r="D3405" s="2" t="s">
        <v>35</v>
      </c>
      <c r="E3405" s="5">
        <v>-30326</v>
      </c>
      <c r="F3405" s="3" t="s">
        <v>377</v>
      </c>
      <c r="G3405" s="3" t="s">
        <v>28</v>
      </c>
      <c r="H3405" s="2" t="s">
        <v>21</v>
      </c>
      <c r="I3405" s="2" t="s">
        <v>7860</v>
      </c>
      <c r="J3405" s="3" t="str">
        <f>HYPERLINK("https://www.boe.es/gazeta/dias/1816/12/19/pdfs/GMD-1816-157.pdf#page=6","Abrir facsímil")</f>
        <v>Abrir facsímil</v>
      </c>
      <c r="K3405" s="3" t="s">
        <v>23</v>
      </c>
    </row>
    <row r="3406" spans="1:11" ht="42" customHeight="1">
      <c r="A3406" s="2" t="s">
        <v>7861</v>
      </c>
      <c r="B3406" s="2" t="s">
        <v>7862</v>
      </c>
      <c r="C3406" s="2" t="s">
        <v>34</v>
      </c>
      <c r="D3406" s="2" t="s">
        <v>35</v>
      </c>
      <c r="E3406" s="5">
        <v>-30594</v>
      </c>
      <c r="F3406" s="3" t="s">
        <v>234</v>
      </c>
      <c r="G3406" s="3" t="s">
        <v>103</v>
      </c>
      <c r="H3406" s="2" t="s">
        <v>21</v>
      </c>
      <c r="I3406" s="2" t="s">
        <v>7863</v>
      </c>
      <c r="J3406" s="3" t="str">
        <f>HYPERLINK("https://www.boe.es/gazeta/dias/1816/03/26/pdfs/GMD-1816-40.pdf#page=4","Abrir facsímil")</f>
        <v>Abrir facsímil</v>
      </c>
      <c r="K3406" s="3" t="s">
        <v>23</v>
      </c>
    </row>
    <row r="3407" spans="1:11" ht="42" customHeight="1">
      <c r="A3407" s="2" t="s">
        <v>7864</v>
      </c>
      <c r="B3407" s="2" t="s">
        <v>7865</v>
      </c>
      <c r="C3407" s="2" t="s">
        <v>26</v>
      </c>
      <c r="D3407" s="2" t="s">
        <v>56</v>
      </c>
      <c r="E3407" s="5">
        <v>-30393</v>
      </c>
      <c r="F3407" s="3" t="s">
        <v>202</v>
      </c>
      <c r="G3407" s="3" t="s">
        <v>47</v>
      </c>
      <c r="H3407" s="2" t="s">
        <v>21</v>
      </c>
      <c r="I3407" s="2" t="s">
        <v>7866</v>
      </c>
      <c r="J3407" s="3" t="str">
        <f>HYPERLINK("https://www.boe.es/gazeta/dias/1816/10/13/pdfs/GMD-1816-128E.pdf#page=5","Abrir facsímil")</f>
        <v>Abrir facsímil</v>
      </c>
      <c r="K3407" s="3" t="s">
        <v>23</v>
      </c>
    </row>
    <row r="3408" spans="1:11" ht="42" customHeight="1">
      <c r="A3408" s="2" t="s">
        <v>7867</v>
      </c>
      <c r="B3408" s="2" t="s">
        <v>7868</v>
      </c>
      <c r="C3408" s="2" t="s">
        <v>81</v>
      </c>
      <c r="D3408" s="2" t="s">
        <v>18</v>
      </c>
      <c r="E3408" s="5">
        <v>-30676</v>
      </c>
      <c r="F3408" s="3" t="s">
        <v>1932</v>
      </c>
      <c r="G3408" s="3" t="s">
        <v>2724</v>
      </c>
      <c r="H3408" s="2" t="s">
        <v>29</v>
      </c>
      <c r="I3408" s="2" t="s">
        <v>7869</v>
      </c>
      <c r="J3408" s="3" t="str">
        <f>HYPERLINK("https://www.boe.es/gazeta/dias/1816/01/04/pdfs/GMD-1816-2.pdf#page=8","Abrir facsímil")</f>
        <v>Abrir facsímil</v>
      </c>
      <c r="K3408" s="3" t="s">
        <v>31</v>
      </c>
    </row>
    <row r="3409" spans="1:11" ht="42" customHeight="1">
      <c r="A3409" s="2" t="s">
        <v>7867</v>
      </c>
      <c r="B3409" s="2" t="s">
        <v>7868</v>
      </c>
      <c r="C3409" s="2" t="s">
        <v>34</v>
      </c>
      <c r="D3409" s="2" t="s">
        <v>35</v>
      </c>
      <c r="E3409" s="5">
        <v>-30671</v>
      </c>
      <c r="F3409" s="3" t="s">
        <v>2049</v>
      </c>
      <c r="G3409" s="3" t="s">
        <v>5367</v>
      </c>
      <c r="H3409" s="2" t="s">
        <v>29</v>
      </c>
      <c r="I3409" s="2" t="s">
        <v>7870</v>
      </c>
      <c r="J3409" s="3" t="str">
        <f>HYPERLINK("https://www.boe.es/gazeta/dias/1816/01/09/pdfs/GMD-1816-4.pdf#page=8","Abrir facsímil")</f>
        <v>Abrir facsímil</v>
      </c>
      <c r="K3409" s="3" t="s">
        <v>31</v>
      </c>
    </row>
    <row r="3410" spans="1:11" ht="42" customHeight="1">
      <c r="A3410" s="2" t="s">
        <v>7871</v>
      </c>
      <c r="B3410" s="2" t="s">
        <v>7872</v>
      </c>
      <c r="C3410" s="2" t="s">
        <v>81</v>
      </c>
      <c r="D3410" s="2" t="s">
        <v>18</v>
      </c>
      <c r="E3410" s="5">
        <v>-30485</v>
      </c>
      <c r="F3410" s="3" t="s">
        <v>156</v>
      </c>
      <c r="G3410" s="3" t="s">
        <v>42</v>
      </c>
      <c r="H3410" s="2" t="s">
        <v>29</v>
      </c>
      <c r="I3410" s="2" t="s">
        <v>7873</v>
      </c>
      <c r="J3410" s="3" t="str">
        <f>HYPERLINK("https://www.boe.es/gazeta/dias/1816/07/13/pdfs/GMD-1816-87.pdf#page=8","Abrir facsímil")</f>
        <v>Abrir facsímil</v>
      </c>
      <c r="K3410" s="3" t="s">
        <v>31</v>
      </c>
    </row>
    <row r="3411" spans="1:11" ht="42" customHeight="1">
      <c r="A3411" s="2" t="s">
        <v>7874</v>
      </c>
      <c r="B3411" s="2" t="s">
        <v>7875</v>
      </c>
      <c r="C3411" s="2" t="s">
        <v>17</v>
      </c>
      <c r="D3411" s="2" t="s">
        <v>18</v>
      </c>
      <c r="E3411" s="5">
        <v>-30657</v>
      </c>
      <c r="F3411" s="3" t="s">
        <v>899</v>
      </c>
      <c r="G3411" s="3" t="s">
        <v>42</v>
      </c>
      <c r="H3411" s="2" t="s">
        <v>21</v>
      </c>
      <c r="I3411" s="2" t="s">
        <v>7876</v>
      </c>
      <c r="J3411" s="3" t="str">
        <f>HYPERLINK("https://www.boe.es/gazeta/dias/1816/01/23/pdfs/GMD-1816-10.pdf#page=8","Abrir facsímil")</f>
        <v>Abrir facsímil</v>
      </c>
      <c r="K3411" s="3" t="s">
        <v>23</v>
      </c>
    </row>
    <row r="3412" spans="1:11" ht="42" customHeight="1">
      <c r="A3412" s="2" t="s">
        <v>7877</v>
      </c>
      <c r="B3412" s="2" t="s">
        <v>7877</v>
      </c>
      <c r="C3412" s="2" t="s">
        <v>34</v>
      </c>
      <c r="D3412" s="2" t="s">
        <v>35</v>
      </c>
      <c r="E3412" s="5">
        <v>-30412</v>
      </c>
      <c r="F3412" s="3" t="s">
        <v>388</v>
      </c>
      <c r="G3412" s="3" t="s">
        <v>184</v>
      </c>
      <c r="H3412" s="2" t="s">
        <v>21</v>
      </c>
      <c r="I3412" s="2" t="s">
        <v>7878</v>
      </c>
      <c r="J3412" s="3" t="str">
        <f>HYPERLINK("https://www.boe.es/gazeta/dias/1816/09/24/pdfs/GMD-1816-118.pdf#page=3","Abrir facsímil")</f>
        <v>Abrir facsímil</v>
      </c>
      <c r="K3412" s="3" t="s">
        <v>23</v>
      </c>
    </row>
    <row r="3413" spans="1:11" ht="42" customHeight="1">
      <c r="A3413" s="2" t="s">
        <v>7879</v>
      </c>
      <c r="B3413" s="2" t="s">
        <v>7880</v>
      </c>
      <c r="C3413" s="2" t="s">
        <v>387</v>
      </c>
      <c r="D3413" s="2" t="s">
        <v>18</v>
      </c>
      <c r="E3413" s="5">
        <v>-30510</v>
      </c>
      <c r="F3413" s="3" t="s">
        <v>450</v>
      </c>
      <c r="G3413" s="3" t="s">
        <v>103</v>
      </c>
      <c r="H3413" s="2" t="s">
        <v>21</v>
      </c>
      <c r="I3413" s="2" t="s">
        <v>7881</v>
      </c>
      <c r="J3413" s="3" t="str">
        <f>HYPERLINK("https://www.boe.es/gazeta/dias/1816/06/18/pdfs/GMD-1816-76.pdf#page=4","Abrir facsímil")</f>
        <v>Abrir facsímil</v>
      </c>
      <c r="K3413" s="3" t="s">
        <v>23</v>
      </c>
    </row>
    <row r="3414" spans="1:11" ht="42" customHeight="1">
      <c r="A3414" s="2" t="s">
        <v>7882</v>
      </c>
      <c r="B3414" s="2" t="s">
        <v>7883</v>
      </c>
      <c r="C3414" s="2" t="s">
        <v>26</v>
      </c>
      <c r="D3414" s="2" t="s">
        <v>18</v>
      </c>
      <c r="E3414" s="5">
        <v>-30576</v>
      </c>
      <c r="F3414" s="3" t="s">
        <v>353</v>
      </c>
      <c r="G3414" s="3" t="s">
        <v>72</v>
      </c>
      <c r="H3414" s="2" t="s">
        <v>21</v>
      </c>
      <c r="I3414" s="2" t="s">
        <v>7884</v>
      </c>
      <c r="J3414" s="3" t="str">
        <f>HYPERLINK("https://www.boe.es/gazeta/dias/1816/04/13/pdfs/GMD-1816-48.pdf#page=7","Abrir facsímil")</f>
        <v>Abrir facsímil</v>
      </c>
      <c r="K3414" s="3" t="s">
        <v>23</v>
      </c>
    </row>
    <row r="3415" spans="1:11" ht="42" customHeight="1">
      <c r="A3415" s="2" t="s">
        <v>7885</v>
      </c>
      <c r="B3415" s="2" t="s">
        <v>7886</v>
      </c>
      <c r="C3415" s="2" t="s">
        <v>67</v>
      </c>
      <c r="D3415" s="2" t="s">
        <v>18</v>
      </c>
      <c r="E3415" s="5">
        <v>-30412</v>
      </c>
      <c r="F3415" s="3" t="s">
        <v>388</v>
      </c>
      <c r="G3415" s="3" t="s">
        <v>389</v>
      </c>
      <c r="H3415" s="2" t="s">
        <v>21</v>
      </c>
      <c r="I3415" s="2" t="s">
        <v>7887</v>
      </c>
      <c r="J3415" s="3" t="str">
        <f>HYPERLINK("https://www.boe.es/gazeta/dias/1816/09/24/pdfs/GMD-1816-118.pdf#page=4","Abrir facsímil")</f>
        <v>Abrir facsímil</v>
      </c>
      <c r="K3415" s="3" t="s">
        <v>23</v>
      </c>
    </row>
    <row r="3416" spans="1:11" ht="42" customHeight="1">
      <c r="A3416" s="2" t="s">
        <v>7888</v>
      </c>
      <c r="B3416" s="2" t="s">
        <v>7889</v>
      </c>
      <c r="C3416" s="2" t="s">
        <v>41</v>
      </c>
      <c r="D3416" s="2" t="s">
        <v>18</v>
      </c>
      <c r="E3416" s="5">
        <v>-30412</v>
      </c>
      <c r="F3416" s="3" t="s">
        <v>388</v>
      </c>
      <c r="G3416" s="3" t="s">
        <v>389</v>
      </c>
      <c r="H3416" s="2" t="s">
        <v>21</v>
      </c>
      <c r="I3416" s="2" t="s">
        <v>7890</v>
      </c>
      <c r="J3416" s="3" t="str">
        <f>HYPERLINK("https://www.boe.es/gazeta/dias/1816/09/24/pdfs/GMD-1816-118.pdf#page=4","Abrir facsímil")</f>
        <v>Abrir facsímil</v>
      </c>
      <c r="K3416" s="3" t="s">
        <v>23</v>
      </c>
    </row>
    <row r="3417" spans="1:11" ht="42" customHeight="1">
      <c r="A3417" s="2" t="s">
        <v>7891</v>
      </c>
      <c r="B3417" s="2" t="s">
        <v>7892</v>
      </c>
      <c r="C3417" s="2" t="s">
        <v>34</v>
      </c>
      <c r="D3417" s="2" t="s">
        <v>35</v>
      </c>
      <c r="E3417" s="5">
        <v>-30375</v>
      </c>
      <c r="F3417" s="3" t="s">
        <v>404</v>
      </c>
      <c r="G3417" s="3" t="s">
        <v>1276</v>
      </c>
      <c r="H3417" s="2" t="s">
        <v>21</v>
      </c>
      <c r="I3417" s="2" t="s">
        <v>7893</v>
      </c>
      <c r="J3417" s="3" t="str">
        <f>HYPERLINK("https://www.boe.es/gazeta/dias/1816/10/31/pdfs/GMD-1816-136.pdf#page=5","Abrir facsímil")</f>
        <v>Abrir facsímil</v>
      </c>
      <c r="K3417" s="3" t="s">
        <v>23</v>
      </c>
    </row>
    <row r="3418" spans="1:11" ht="42" customHeight="1">
      <c r="A3418" s="2" t="s">
        <v>7894</v>
      </c>
      <c r="B3418" s="2" t="s">
        <v>7894</v>
      </c>
      <c r="C3418" s="2" t="s">
        <v>34</v>
      </c>
      <c r="D3418" s="2" t="s">
        <v>35</v>
      </c>
      <c r="E3418" s="5">
        <v>-30482</v>
      </c>
      <c r="F3418" s="3" t="s">
        <v>370</v>
      </c>
      <c r="G3418" s="3" t="s">
        <v>4903</v>
      </c>
      <c r="H3418" s="2" t="s">
        <v>21</v>
      </c>
      <c r="I3418" s="2" t="s">
        <v>7895</v>
      </c>
      <c r="J3418" s="3" t="str">
        <f>HYPERLINK("https://www.boe.es/gazeta/dias/1816/07/16/pdfs/GMD-1816-88.pdf#page=3","Abrir facsímil")</f>
        <v>Abrir facsímil</v>
      </c>
      <c r="K3418" s="3" t="s">
        <v>23</v>
      </c>
    </row>
    <row r="3419" spans="1:11" ht="42" customHeight="1">
      <c r="A3419" s="2" t="s">
        <v>7896</v>
      </c>
      <c r="B3419" s="2" t="s">
        <v>7897</v>
      </c>
      <c r="C3419" s="2" t="s">
        <v>111</v>
      </c>
      <c r="D3419" s="2" t="s">
        <v>112</v>
      </c>
      <c r="E3419" s="5">
        <v>-30578</v>
      </c>
      <c r="F3419" s="3" t="s">
        <v>91</v>
      </c>
      <c r="G3419" s="3" t="s">
        <v>72</v>
      </c>
      <c r="H3419" s="2" t="s">
        <v>21</v>
      </c>
      <c r="I3419" s="2" t="s">
        <v>7898</v>
      </c>
      <c r="J3419" s="3" t="str">
        <f>HYPERLINK("https://www.boe.es/gazeta/dias/1816/04/11/pdfs/GMD-1816-47.pdf#page=7","Abrir facsímil")</f>
        <v>Abrir facsímil</v>
      </c>
      <c r="K3419" s="3" t="s">
        <v>23</v>
      </c>
    </row>
    <row r="3420" spans="1:11" ht="42" customHeight="1">
      <c r="A3420" s="2" t="s">
        <v>7896</v>
      </c>
      <c r="B3420" s="2" t="s">
        <v>7897</v>
      </c>
      <c r="C3420" s="2" t="s">
        <v>41</v>
      </c>
      <c r="D3420" s="2" t="s">
        <v>18</v>
      </c>
      <c r="E3420" s="5">
        <v>-30578</v>
      </c>
      <c r="F3420" s="3" t="s">
        <v>91</v>
      </c>
      <c r="G3420" s="3" t="s">
        <v>42</v>
      </c>
      <c r="H3420" s="2" t="s">
        <v>21</v>
      </c>
      <c r="I3420" s="2" t="s">
        <v>7899</v>
      </c>
      <c r="J3420" s="3" t="str">
        <f>HYPERLINK("https://www.boe.es/gazeta/dias/1816/04/11/pdfs/GMD-1816-47.pdf#page=8","Abrir facsímil")</f>
        <v>Abrir facsímil</v>
      </c>
      <c r="K3420" s="3" t="s">
        <v>23</v>
      </c>
    </row>
    <row r="3421" spans="1:11" ht="42" customHeight="1">
      <c r="A3421" s="2" t="s">
        <v>7900</v>
      </c>
      <c r="B3421" s="2" t="s">
        <v>7901</v>
      </c>
      <c r="C3421" s="2" t="s">
        <v>67</v>
      </c>
      <c r="D3421" s="2" t="s">
        <v>18</v>
      </c>
      <c r="E3421" s="5">
        <v>-30426</v>
      </c>
      <c r="F3421" s="3" t="s">
        <v>779</v>
      </c>
      <c r="G3421" s="3" t="s">
        <v>28</v>
      </c>
      <c r="H3421" s="2" t="s">
        <v>21</v>
      </c>
      <c r="I3421" s="2" t="s">
        <v>7902</v>
      </c>
      <c r="J3421" s="3" t="str">
        <f>HYPERLINK("https://www.boe.es/gazeta/dias/1816/09/10/pdfs/GMD-1816-112.pdf#page=6","Abrir facsímil")</f>
        <v>Abrir facsímil</v>
      </c>
      <c r="K3421" s="3" t="s">
        <v>23</v>
      </c>
    </row>
    <row r="3422" spans="1:11" ht="42" customHeight="1">
      <c r="A3422" s="2" t="s">
        <v>7903</v>
      </c>
      <c r="B3422" s="2" t="s">
        <v>7903</v>
      </c>
      <c r="C3422" s="2" t="s">
        <v>34</v>
      </c>
      <c r="D3422" s="2" t="s">
        <v>35</v>
      </c>
      <c r="E3422" s="5">
        <v>-30473</v>
      </c>
      <c r="F3422" s="3" t="s">
        <v>336</v>
      </c>
      <c r="G3422" s="3" t="s">
        <v>52</v>
      </c>
      <c r="H3422" s="2" t="s">
        <v>21</v>
      </c>
      <c r="I3422" s="2" t="s">
        <v>7904</v>
      </c>
      <c r="J3422" s="3" t="str">
        <f>HYPERLINK("https://www.boe.es/gazeta/dias/1816/07/25/pdfs/GMD-1816-92.pdf#page=12","Abrir facsímil")</f>
        <v>Abrir facsímil</v>
      </c>
      <c r="K3422" s="3" t="s">
        <v>23</v>
      </c>
    </row>
    <row r="3423" spans="1:11" ht="42" customHeight="1">
      <c r="A3423" s="2" t="s">
        <v>7905</v>
      </c>
      <c r="B3423" s="2" t="s">
        <v>7906</v>
      </c>
      <c r="C3423" s="2" t="s">
        <v>34</v>
      </c>
      <c r="D3423" s="2" t="s">
        <v>35</v>
      </c>
      <c r="E3423" s="5">
        <v>-30473</v>
      </c>
      <c r="F3423" s="3" t="s">
        <v>336</v>
      </c>
      <c r="G3423" s="3" t="s">
        <v>7143</v>
      </c>
      <c r="H3423" s="2" t="s">
        <v>21</v>
      </c>
      <c r="I3423" s="2" t="s">
        <v>7907</v>
      </c>
      <c r="J3423" s="3" t="str">
        <f>HYPERLINK("https://www.boe.es/gazeta/dias/1816/07/25/pdfs/GMD-1816-92.pdf#page=9","Abrir facsímil")</f>
        <v>Abrir facsímil</v>
      </c>
      <c r="K3423" s="3" t="s">
        <v>23</v>
      </c>
    </row>
    <row r="3424" spans="1:11" ht="42" customHeight="1">
      <c r="A3424" s="2" t="s">
        <v>7908</v>
      </c>
      <c r="B3424" s="2" t="s">
        <v>7909</v>
      </c>
      <c r="C3424" s="2" t="s">
        <v>34</v>
      </c>
      <c r="D3424" s="2" t="s">
        <v>35</v>
      </c>
      <c r="E3424" s="5">
        <v>-30473</v>
      </c>
      <c r="F3424" s="3" t="s">
        <v>336</v>
      </c>
      <c r="G3424" s="3" t="s">
        <v>1615</v>
      </c>
      <c r="H3424" s="2" t="s">
        <v>21</v>
      </c>
      <c r="I3424" s="2" t="s">
        <v>7910</v>
      </c>
      <c r="J3424" s="3" t="str">
        <f>HYPERLINK("https://www.boe.es/gazeta/dias/1816/07/25/pdfs/GMD-1816-92.pdf#page=6","Abrir facsímil")</f>
        <v>Abrir facsímil</v>
      </c>
      <c r="K3424" s="3" t="s">
        <v>23</v>
      </c>
    </row>
    <row r="3425" spans="1:11" ht="42" customHeight="1">
      <c r="A3425" s="2" t="s">
        <v>7911</v>
      </c>
      <c r="B3425" s="2" t="s">
        <v>7912</v>
      </c>
      <c r="C3425" s="2" t="s">
        <v>26</v>
      </c>
      <c r="D3425" s="2" t="s">
        <v>18</v>
      </c>
      <c r="E3425" s="5">
        <v>-30324</v>
      </c>
      <c r="F3425" s="3" t="s">
        <v>46</v>
      </c>
      <c r="G3425" s="3" t="s">
        <v>72</v>
      </c>
      <c r="H3425" s="2" t="s">
        <v>21</v>
      </c>
      <c r="I3425" s="2" t="s">
        <v>7913</v>
      </c>
      <c r="J3425" s="3" t="str">
        <f>HYPERLINK("https://www.boe.es/gazeta/dias/1816/12/21/pdfs/GMD-1816-158.pdf#page=7","Abrir facsímil")</f>
        <v>Abrir facsímil</v>
      </c>
      <c r="K3425" s="3" t="s">
        <v>23</v>
      </c>
    </row>
    <row r="3426" spans="1:11" ht="42" customHeight="1">
      <c r="A3426" s="2" t="s">
        <v>7914</v>
      </c>
      <c r="B3426" s="2" t="s">
        <v>7915</v>
      </c>
      <c r="C3426" s="2" t="s">
        <v>111</v>
      </c>
      <c r="D3426" s="2" t="s">
        <v>112</v>
      </c>
      <c r="E3426" s="5">
        <v>-30489</v>
      </c>
      <c r="F3426" s="3" t="s">
        <v>1120</v>
      </c>
      <c r="G3426" s="3" t="s">
        <v>42</v>
      </c>
      <c r="H3426" s="2" t="s">
        <v>21</v>
      </c>
      <c r="I3426" s="2" t="s">
        <v>7916</v>
      </c>
      <c r="J3426" s="3" t="str">
        <f>HYPERLINK("https://www.boe.es/gazeta/dias/1816/07/09/pdfs/GMD-1816-85.pdf#page=8","Abrir facsímil")</f>
        <v>Abrir facsímil</v>
      </c>
      <c r="K3426" s="3" t="s">
        <v>23</v>
      </c>
    </row>
    <row r="3427" spans="1:11" ht="42" customHeight="1">
      <c r="A3427" s="2" t="s">
        <v>7917</v>
      </c>
      <c r="B3427" s="2" t="s">
        <v>7918</v>
      </c>
      <c r="C3427" s="2" t="s">
        <v>34</v>
      </c>
      <c r="D3427" s="2" t="s">
        <v>35</v>
      </c>
      <c r="E3427" s="5">
        <v>-30508</v>
      </c>
      <c r="F3427" s="3" t="s">
        <v>36</v>
      </c>
      <c r="G3427" s="3" t="s">
        <v>37</v>
      </c>
      <c r="H3427" s="2" t="s">
        <v>21</v>
      </c>
      <c r="I3427" s="2" t="s">
        <v>7919</v>
      </c>
      <c r="J3427" s="3" t="str">
        <f>HYPERLINK("https://www.boe.es/gazeta/dias/1816/06/20/pdfs/GMD-1816-77.pdf#page=7","Abrir facsímil")</f>
        <v>Abrir facsímil</v>
      </c>
      <c r="K3427" s="3" t="s">
        <v>23</v>
      </c>
    </row>
    <row r="3428" spans="1:11" ht="42" customHeight="1">
      <c r="A3428" s="2" t="s">
        <v>7920</v>
      </c>
      <c r="B3428" s="2" t="s">
        <v>7921</v>
      </c>
      <c r="C3428" s="2" t="s">
        <v>111</v>
      </c>
      <c r="D3428" s="2" t="s">
        <v>112</v>
      </c>
      <c r="E3428" s="5">
        <v>-30529</v>
      </c>
      <c r="F3428" s="3" t="s">
        <v>432</v>
      </c>
      <c r="G3428" s="3" t="s">
        <v>72</v>
      </c>
      <c r="H3428" s="2" t="s">
        <v>21</v>
      </c>
      <c r="I3428" s="2" t="s">
        <v>7922</v>
      </c>
      <c r="J3428" s="3" t="str">
        <f>HYPERLINK("https://www.boe.es/gazeta/dias/1816/05/30/pdfs/GMD-1816-68.pdf#page=7","Abrir facsímil")</f>
        <v>Abrir facsímil</v>
      </c>
      <c r="K3428" s="3" t="s">
        <v>23</v>
      </c>
    </row>
    <row r="3429" spans="1:11" ht="42" customHeight="1">
      <c r="A3429" s="2" t="s">
        <v>7923</v>
      </c>
      <c r="B3429" s="2" t="s">
        <v>7924</v>
      </c>
      <c r="C3429" s="2" t="s">
        <v>34</v>
      </c>
      <c r="D3429" s="2" t="s">
        <v>56</v>
      </c>
      <c r="E3429" s="5">
        <v>-30393</v>
      </c>
      <c r="F3429" s="3" t="s">
        <v>202</v>
      </c>
      <c r="G3429" s="3" t="s">
        <v>645</v>
      </c>
      <c r="H3429" s="2" t="s">
        <v>21</v>
      </c>
      <c r="I3429" s="2" t="s">
        <v>7925</v>
      </c>
      <c r="J3429" s="3" t="str">
        <f>HYPERLINK("https://www.boe.es/gazeta/dias/1816/10/13/pdfs/GMD-1816-128E.pdf#page=4","Abrir facsímil")</f>
        <v>Abrir facsímil</v>
      </c>
      <c r="K3429" s="3" t="s">
        <v>23</v>
      </c>
    </row>
    <row r="3430" spans="1:11" ht="42" customHeight="1">
      <c r="A3430" s="2" t="s">
        <v>7923</v>
      </c>
      <c r="B3430" s="2" t="s">
        <v>7924</v>
      </c>
      <c r="C3430" s="2" t="s">
        <v>26</v>
      </c>
      <c r="D3430" s="2" t="s">
        <v>56</v>
      </c>
      <c r="E3430" s="5">
        <v>-30393</v>
      </c>
      <c r="F3430" s="3" t="s">
        <v>202</v>
      </c>
      <c r="G3430" s="3" t="s">
        <v>834</v>
      </c>
      <c r="H3430" s="2" t="s">
        <v>21</v>
      </c>
      <c r="I3430" s="2" t="s">
        <v>7926</v>
      </c>
      <c r="J3430" s="3" t="str">
        <f>HYPERLINK("https://www.boe.es/gazeta/dias/1816/10/13/pdfs/GMD-1816-128E.pdf#page=6","Abrir facsímil")</f>
        <v>Abrir facsímil</v>
      </c>
      <c r="K3430" s="3" t="s">
        <v>23</v>
      </c>
    </row>
    <row r="3431" spans="1:11" ht="42" customHeight="1">
      <c r="A3431" s="2" t="s">
        <v>7927</v>
      </c>
      <c r="B3431" s="2" t="s">
        <v>7928</v>
      </c>
      <c r="C3431" s="2" t="s">
        <v>41</v>
      </c>
      <c r="D3431" s="2" t="s">
        <v>18</v>
      </c>
      <c r="E3431" s="5">
        <v>-30527</v>
      </c>
      <c r="F3431" s="3" t="s">
        <v>304</v>
      </c>
      <c r="G3431" s="3" t="s">
        <v>42</v>
      </c>
      <c r="H3431" s="2" t="s">
        <v>21</v>
      </c>
      <c r="I3431" s="2" t="s">
        <v>7929</v>
      </c>
      <c r="J3431" s="3" t="str">
        <f>HYPERLINK("https://www.boe.es/gazeta/dias/1816/06/01/pdfs/GMD-1816-69.pdf#page=8","Abrir facsímil")</f>
        <v>Abrir facsímil</v>
      </c>
      <c r="K3431" s="3" t="s">
        <v>23</v>
      </c>
    </row>
    <row r="3432" spans="1:11" ht="42" customHeight="1">
      <c r="A3432" s="2" t="s">
        <v>7930</v>
      </c>
      <c r="B3432" s="2" t="s">
        <v>7931</v>
      </c>
      <c r="C3432" s="2" t="s">
        <v>111</v>
      </c>
      <c r="D3432" s="2" t="s">
        <v>112</v>
      </c>
      <c r="E3432" s="5">
        <v>-30671</v>
      </c>
      <c r="F3432" s="3" t="s">
        <v>2049</v>
      </c>
      <c r="G3432" s="3" t="s">
        <v>47</v>
      </c>
      <c r="H3432" s="2" t="s">
        <v>21</v>
      </c>
      <c r="I3432" s="2" t="s">
        <v>7932</v>
      </c>
      <c r="J3432" s="3" t="str">
        <f>HYPERLINK("https://www.boe.es/gazeta/dias/1816/01/09/pdfs/GMD-1816-4.pdf#page=5","Abrir facsímil")</f>
        <v>Abrir facsímil</v>
      </c>
      <c r="K3432" s="3" t="s">
        <v>23</v>
      </c>
    </row>
    <row r="3433" spans="1:11" ht="42" customHeight="1">
      <c r="A3433" s="2" t="s">
        <v>7933</v>
      </c>
      <c r="B3433" s="2" t="s">
        <v>7934</v>
      </c>
      <c r="C3433" s="2" t="s">
        <v>26</v>
      </c>
      <c r="D3433" s="2" t="s">
        <v>18</v>
      </c>
      <c r="E3433" s="5">
        <v>-30592</v>
      </c>
      <c r="F3433" s="3" t="s">
        <v>236</v>
      </c>
      <c r="G3433" s="3" t="s">
        <v>92</v>
      </c>
      <c r="H3433" s="2" t="s">
        <v>21</v>
      </c>
      <c r="I3433" s="2" t="s">
        <v>7935</v>
      </c>
      <c r="J3433" s="3" t="str">
        <f>HYPERLINK("https://www.boe.es/gazeta/dias/1816/03/28/pdfs/GMD-1816-41.pdf#page=9","Abrir facsímil")</f>
        <v>Abrir facsímil</v>
      </c>
      <c r="K3433" s="3" t="s">
        <v>23</v>
      </c>
    </row>
    <row r="3434" spans="1:11" ht="42" customHeight="1">
      <c r="A3434" s="2" t="s">
        <v>7936</v>
      </c>
      <c r="B3434" s="2" t="s">
        <v>7937</v>
      </c>
      <c r="C3434" s="2" t="s">
        <v>26</v>
      </c>
      <c r="D3434" s="2" t="s">
        <v>18</v>
      </c>
      <c r="E3434" s="5">
        <v>-30655</v>
      </c>
      <c r="F3434" s="3" t="s">
        <v>170</v>
      </c>
      <c r="G3434" s="3" t="s">
        <v>72</v>
      </c>
      <c r="H3434" s="2" t="s">
        <v>21</v>
      </c>
      <c r="I3434" s="2" t="s">
        <v>7938</v>
      </c>
      <c r="J3434" s="3" t="str">
        <f>HYPERLINK("https://www.boe.es/gazeta/dias/1816/01/25/pdfs/GMD-1816-11.pdf#page=7","Abrir facsímil")</f>
        <v>Abrir facsímil</v>
      </c>
      <c r="K3434" s="3" t="s">
        <v>23</v>
      </c>
    </row>
    <row r="3435" spans="1:11" ht="42" customHeight="1">
      <c r="A3435" s="2" t="s">
        <v>7939</v>
      </c>
      <c r="B3435" s="2" t="s">
        <v>7939</v>
      </c>
      <c r="C3435" s="2" t="s">
        <v>34</v>
      </c>
      <c r="D3435" s="2" t="s">
        <v>35</v>
      </c>
      <c r="E3435" s="5">
        <v>-30643</v>
      </c>
      <c r="F3435" s="3" t="s">
        <v>620</v>
      </c>
      <c r="G3435" s="3" t="s">
        <v>7940</v>
      </c>
      <c r="H3435" s="2" t="s">
        <v>21</v>
      </c>
      <c r="I3435" s="2" t="s">
        <v>7941</v>
      </c>
      <c r="J3435" s="3" t="str">
        <f>HYPERLINK("https://www.boe.es/gazeta/dias/1816/02/06/pdfs/GMD-1816-17.pdf#page=5","Abrir facsímil")</f>
        <v>Abrir facsímil</v>
      </c>
      <c r="K3435" s="3" t="s">
        <v>23</v>
      </c>
    </row>
    <row r="3436" spans="1:11" ht="42" customHeight="1">
      <c r="A3436" s="2" t="s">
        <v>7939</v>
      </c>
      <c r="B3436" s="2" t="s">
        <v>7939</v>
      </c>
      <c r="C3436" s="2" t="s">
        <v>34</v>
      </c>
      <c r="D3436" s="2" t="s">
        <v>35</v>
      </c>
      <c r="E3436" s="5">
        <v>-30636</v>
      </c>
      <c r="F3436" s="3" t="s">
        <v>82</v>
      </c>
      <c r="G3436" s="3" t="s">
        <v>47</v>
      </c>
      <c r="H3436" s="2" t="s">
        <v>21</v>
      </c>
      <c r="I3436" s="2" t="s">
        <v>7942</v>
      </c>
      <c r="J3436" s="3" t="str">
        <f>HYPERLINK("https://www.boe.es/gazeta/dias/1816/02/13/pdfs/GMD-1816-20.pdf#page=5","Abrir facsímil")</f>
        <v>Abrir facsímil</v>
      </c>
      <c r="K3436" s="3" t="s">
        <v>23</v>
      </c>
    </row>
    <row r="3437" spans="1:11" ht="42" customHeight="1">
      <c r="A3437" s="2" t="s">
        <v>7939</v>
      </c>
      <c r="B3437" s="2" t="s">
        <v>7939</v>
      </c>
      <c r="C3437" s="2" t="s">
        <v>34</v>
      </c>
      <c r="D3437" s="2" t="s">
        <v>35</v>
      </c>
      <c r="E3437" s="5">
        <v>-30613</v>
      </c>
      <c r="F3437" s="3" t="s">
        <v>392</v>
      </c>
      <c r="G3437" s="3" t="s">
        <v>2396</v>
      </c>
      <c r="H3437" s="2" t="s">
        <v>21</v>
      </c>
      <c r="I3437" s="2" t="s">
        <v>7943</v>
      </c>
      <c r="J3437" s="3" t="str">
        <f>HYPERLINK("https://www.boe.es/gazeta/dias/1816/03/07/pdfs/GMD-1816-31.pdf#page=5","Abrir facsímil")</f>
        <v>Abrir facsímil</v>
      </c>
      <c r="K3437" s="3" t="s">
        <v>23</v>
      </c>
    </row>
    <row r="3438" spans="1:11" ht="42" customHeight="1">
      <c r="A3438" s="2" t="s">
        <v>7939</v>
      </c>
      <c r="B3438" s="2" t="s">
        <v>7939</v>
      </c>
      <c r="C3438" s="2" t="s">
        <v>34</v>
      </c>
      <c r="D3438" s="2" t="s">
        <v>35</v>
      </c>
      <c r="E3438" s="5">
        <v>-30613</v>
      </c>
      <c r="F3438" s="3" t="s">
        <v>392</v>
      </c>
      <c r="G3438" s="3" t="s">
        <v>103</v>
      </c>
      <c r="H3438" s="2" t="s">
        <v>21</v>
      </c>
      <c r="I3438" s="2" t="s">
        <v>7944</v>
      </c>
      <c r="J3438" s="3" t="str">
        <f>HYPERLINK("https://www.boe.es/gazeta/dias/1816/03/07/pdfs/GMD-1816-31.pdf#page=4","Abrir facsímil")</f>
        <v>Abrir facsímil</v>
      </c>
      <c r="K3438" s="3" t="s">
        <v>23</v>
      </c>
    </row>
    <row r="3439" spans="1:11" ht="42" customHeight="1">
      <c r="A3439" s="2" t="s">
        <v>7939</v>
      </c>
      <c r="B3439" s="2" t="s">
        <v>7939</v>
      </c>
      <c r="C3439" s="2" t="s">
        <v>34</v>
      </c>
      <c r="D3439" s="2" t="s">
        <v>35</v>
      </c>
      <c r="E3439" s="5">
        <v>-30599</v>
      </c>
      <c r="F3439" s="3" t="s">
        <v>552</v>
      </c>
      <c r="G3439" s="3" t="s">
        <v>47</v>
      </c>
      <c r="H3439" s="2" t="s">
        <v>21</v>
      </c>
      <c r="I3439" s="2" t="s">
        <v>7945</v>
      </c>
      <c r="J3439" s="3" t="str">
        <f>HYPERLINK("https://www.boe.es/gazeta/dias/1816/03/21/pdfs/GMD-1816-38.pdf#page=5","Abrir facsímil")</f>
        <v>Abrir facsímil</v>
      </c>
      <c r="K3439" s="3" t="s">
        <v>23</v>
      </c>
    </row>
    <row r="3440" spans="1:11" ht="42" customHeight="1">
      <c r="A3440" s="2" t="s">
        <v>7939</v>
      </c>
      <c r="B3440" s="2" t="s">
        <v>7939</v>
      </c>
      <c r="C3440" s="2" t="s">
        <v>34</v>
      </c>
      <c r="D3440" s="2" t="s">
        <v>35</v>
      </c>
      <c r="E3440" s="5">
        <v>-30592</v>
      </c>
      <c r="F3440" s="3" t="s">
        <v>236</v>
      </c>
      <c r="G3440" s="3" t="s">
        <v>103</v>
      </c>
      <c r="H3440" s="2" t="s">
        <v>21</v>
      </c>
      <c r="I3440" s="2" t="s">
        <v>7946</v>
      </c>
      <c r="J3440" s="3" t="str">
        <f>HYPERLINK("https://www.boe.es/gazeta/dias/1816/03/28/pdfs/GMD-1816-41.pdf#page=4","Abrir facsímil")</f>
        <v>Abrir facsímil</v>
      </c>
      <c r="K3440" s="3" t="s">
        <v>23</v>
      </c>
    </row>
    <row r="3441" spans="1:11" ht="42" customHeight="1">
      <c r="A3441" s="2" t="s">
        <v>7939</v>
      </c>
      <c r="B3441" s="2" t="s">
        <v>7939</v>
      </c>
      <c r="C3441" s="2" t="s">
        <v>34</v>
      </c>
      <c r="D3441" s="2" t="s">
        <v>35</v>
      </c>
      <c r="E3441" s="5">
        <v>-30592</v>
      </c>
      <c r="F3441" s="3" t="s">
        <v>236</v>
      </c>
      <c r="G3441" s="3" t="s">
        <v>28</v>
      </c>
      <c r="H3441" s="2" t="s">
        <v>21</v>
      </c>
      <c r="I3441" s="2" t="s">
        <v>7947</v>
      </c>
      <c r="J3441" s="3" t="str">
        <f>HYPERLINK("https://www.boe.es/gazeta/dias/1816/03/28/pdfs/GMD-1816-41.pdf#page=6","Abrir facsímil")</f>
        <v>Abrir facsímil</v>
      </c>
      <c r="K3441" s="3" t="s">
        <v>23</v>
      </c>
    </row>
    <row r="3442" spans="1:11" ht="42" customHeight="1">
      <c r="A3442" s="2" t="s">
        <v>7939</v>
      </c>
      <c r="B3442" s="2" t="s">
        <v>7939</v>
      </c>
      <c r="C3442" s="2" t="s">
        <v>34</v>
      </c>
      <c r="D3442" s="2" t="s">
        <v>35</v>
      </c>
      <c r="E3442" s="5">
        <v>-30468</v>
      </c>
      <c r="F3442" s="3" t="s">
        <v>383</v>
      </c>
      <c r="G3442" s="3" t="s">
        <v>270</v>
      </c>
      <c r="H3442" s="2" t="s">
        <v>21</v>
      </c>
      <c r="I3442" s="2" t="s">
        <v>7948</v>
      </c>
      <c r="J3442" s="3" t="str">
        <f>HYPERLINK("https://www.boe.es/gazeta/dias/1816/07/30/pdfs/GMD-1816-94.pdf#page=2","Abrir facsímil")</f>
        <v>Abrir facsímil</v>
      </c>
      <c r="K3442" s="3" t="s">
        <v>23</v>
      </c>
    </row>
    <row r="3443" spans="1:11" ht="42" customHeight="1">
      <c r="A3443" s="2" t="s">
        <v>7949</v>
      </c>
      <c r="B3443" s="2" t="s">
        <v>7950</v>
      </c>
      <c r="C3443" s="2" t="s">
        <v>34</v>
      </c>
      <c r="D3443" s="2" t="s">
        <v>35</v>
      </c>
      <c r="E3443" s="5">
        <v>-30674</v>
      </c>
      <c r="F3443" s="3" t="s">
        <v>19</v>
      </c>
      <c r="G3443" s="3" t="s">
        <v>28</v>
      </c>
      <c r="H3443" s="2" t="s">
        <v>21</v>
      </c>
      <c r="I3443" s="2" t="s">
        <v>7951</v>
      </c>
      <c r="J3443" s="3" t="str">
        <f>HYPERLINK("https://www.boe.es/gazeta/dias/1816/01/06/pdfs/GMD-1816-3.pdf#page=6","Abrir facsímil")</f>
        <v>Abrir facsímil</v>
      </c>
      <c r="K3443" s="3" t="s">
        <v>23</v>
      </c>
    </row>
    <row r="3444" spans="1:11" ht="42" customHeight="1">
      <c r="A3444" s="2" t="s">
        <v>7949</v>
      </c>
      <c r="B3444" s="2" t="s">
        <v>7950</v>
      </c>
      <c r="C3444" s="2" t="s">
        <v>34</v>
      </c>
      <c r="D3444" s="2" t="s">
        <v>35</v>
      </c>
      <c r="E3444" s="5">
        <v>-30639</v>
      </c>
      <c r="F3444" s="3" t="s">
        <v>87</v>
      </c>
      <c r="G3444" s="3" t="s">
        <v>42</v>
      </c>
      <c r="H3444" s="2" t="s">
        <v>21</v>
      </c>
      <c r="I3444" s="2" t="s">
        <v>7952</v>
      </c>
      <c r="J3444" s="3" t="str">
        <f>HYPERLINK("https://www.boe.es/gazeta/dias/1816/02/10/pdfs/GMD-1816-19.pdf#page=8","Abrir facsímil")</f>
        <v>Abrir facsímil</v>
      </c>
      <c r="K3444" s="3" t="s">
        <v>23</v>
      </c>
    </row>
    <row r="3445" spans="1:11" ht="42" customHeight="1">
      <c r="A3445" s="2" t="s">
        <v>7949</v>
      </c>
      <c r="B3445" s="2" t="s">
        <v>7950</v>
      </c>
      <c r="C3445" s="2" t="s">
        <v>34</v>
      </c>
      <c r="D3445" s="2" t="s">
        <v>56</v>
      </c>
      <c r="E3445" s="5">
        <v>-30603</v>
      </c>
      <c r="F3445" s="3" t="s">
        <v>503</v>
      </c>
      <c r="G3445" s="3" t="s">
        <v>58</v>
      </c>
      <c r="H3445" s="2" t="s">
        <v>21</v>
      </c>
      <c r="I3445" s="2" t="s">
        <v>7953</v>
      </c>
      <c r="J3445" s="3" t="str">
        <f>HYPERLINK("https://www.boe.es/gazeta/dias/1816/03/17/pdfs/GMD-1816-36E.pdf#page=1","Abrir facsímil")</f>
        <v>Abrir facsímil</v>
      </c>
      <c r="K3445" s="3" t="s">
        <v>23</v>
      </c>
    </row>
    <row r="3446" spans="1:11" ht="42" customHeight="1">
      <c r="A3446" s="2" t="s">
        <v>7949</v>
      </c>
      <c r="B3446" s="2" t="s">
        <v>7950</v>
      </c>
      <c r="C3446" s="2" t="s">
        <v>34</v>
      </c>
      <c r="D3446" s="2" t="s">
        <v>35</v>
      </c>
      <c r="E3446" s="5">
        <v>-30599</v>
      </c>
      <c r="F3446" s="3" t="s">
        <v>552</v>
      </c>
      <c r="G3446" s="3" t="s">
        <v>184</v>
      </c>
      <c r="H3446" s="2" t="s">
        <v>21</v>
      </c>
      <c r="I3446" s="2" t="s">
        <v>7954</v>
      </c>
      <c r="J3446" s="3" t="str">
        <f>HYPERLINK("https://www.boe.es/gazeta/dias/1816/03/21/pdfs/GMD-1816-38.pdf#page=3","Abrir facsímil")</f>
        <v>Abrir facsímil</v>
      </c>
      <c r="K3446" s="3" t="s">
        <v>23</v>
      </c>
    </row>
    <row r="3447" spans="1:11" ht="42" customHeight="1">
      <c r="A3447" s="2" t="s">
        <v>7949</v>
      </c>
      <c r="B3447" s="2" t="s">
        <v>7950</v>
      </c>
      <c r="C3447" s="2" t="s">
        <v>34</v>
      </c>
      <c r="D3447" s="2" t="s">
        <v>35</v>
      </c>
      <c r="E3447" s="5">
        <v>-30599</v>
      </c>
      <c r="F3447" s="3" t="s">
        <v>552</v>
      </c>
      <c r="G3447" s="3" t="s">
        <v>103</v>
      </c>
      <c r="H3447" s="2" t="s">
        <v>21</v>
      </c>
      <c r="I3447" s="2" t="s">
        <v>7955</v>
      </c>
      <c r="J3447" s="3" t="str">
        <f>HYPERLINK("https://www.boe.es/gazeta/dias/1816/03/21/pdfs/GMD-1816-38.pdf#page=4","Abrir facsímil")</f>
        <v>Abrir facsímil</v>
      </c>
      <c r="K3447" s="3" t="s">
        <v>23</v>
      </c>
    </row>
    <row r="3448" spans="1:11" ht="42" customHeight="1">
      <c r="A3448" s="2" t="s">
        <v>7949</v>
      </c>
      <c r="B3448" s="2" t="s">
        <v>7950</v>
      </c>
      <c r="C3448" s="2" t="s">
        <v>34</v>
      </c>
      <c r="D3448" s="2" t="s">
        <v>35</v>
      </c>
      <c r="E3448" s="5">
        <v>-30594</v>
      </c>
      <c r="F3448" s="3" t="s">
        <v>234</v>
      </c>
      <c r="G3448" s="3" t="s">
        <v>103</v>
      </c>
      <c r="H3448" s="2" t="s">
        <v>21</v>
      </c>
      <c r="I3448" s="2" t="s">
        <v>7956</v>
      </c>
      <c r="J3448" s="3" t="str">
        <f>HYPERLINK("https://www.boe.es/gazeta/dias/1816/03/26/pdfs/GMD-1816-40.pdf#page=4","Abrir facsímil")</f>
        <v>Abrir facsímil</v>
      </c>
      <c r="K3448" s="3" t="s">
        <v>23</v>
      </c>
    </row>
    <row r="3449" spans="1:11" ht="42" customHeight="1">
      <c r="A3449" s="2" t="s">
        <v>7949</v>
      </c>
      <c r="B3449" s="2" t="s">
        <v>7950</v>
      </c>
      <c r="C3449" s="2" t="s">
        <v>34</v>
      </c>
      <c r="D3449" s="2" t="s">
        <v>35</v>
      </c>
      <c r="E3449" s="5">
        <v>-30592</v>
      </c>
      <c r="F3449" s="3" t="s">
        <v>236</v>
      </c>
      <c r="G3449" s="3" t="s">
        <v>2199</v>
      </c>
      <c r="H3449" s="2" t="s">
        <v>21</v>
      </c>
      <c r="I3449" s="2" t="s">
        <v>7957</v>
      </c>
      <c r="J3449" s="3" t="str">
        <f>HYPERLINK("https://www.boe.es/gazeta/dias/1816/03/28/pdfs/GMD-1816-41.pdf#page=10","Abrir facsímil")</f>
        <v>Abrir facsímil</v>
      </c>
      <c r="K3449" s="3" t="s">
        <v>23</v>
      </c>
    </row>
    <row r="3450" spans="1:11" ht="42" customHeight="1">
      <c r="A3450" s="2" t="s">
        <v>7949</v>
      </c>
      <c r="B3450" s="2" t="s">
        <v>7950</v>
      </c>
      <c r="C3450" s="2" t="s">
        <v>34</v>
      </c>
      <c r="D3450" s="2" t="s">
        <v>35</v>
      </c>
      <c r="E3450" s="5">
        <v>-30580</v>
      </c>
      <c r="F3450" s="3" t="s">
        <v>107</v>
      </c>
      <c r="G3450" s="3" t="s">
        <v>47</v>
      </c>
      <c r="H3450" s="2" t="s">
        <v>21</v>
      </c>
      <c r="I3450" s="2" t="s">
        <v>7958</v>
      </c>
      <c r="J3450" s="3" t="str">
        <f>HYPERLINK("https://www.boe.es/gazeta/dias/1816/04/09/pdfs/GMD-1816-46.pdf#page=5","Abrir facsímil")</f>
        <v>Abrir facsímil</v>
      </c>
      <c r="K3450" s="3" t="s">
        <v>23</v>
      </c>
    </row>
    <row r="3451" spans="1:11" ht="42" customHeight="1">
      <c r="A3451" s="2" t="s">
        <v>7949</v>
      </c>
      <c r="B3451" s="2" t="s">
        <v>7950</v>
      </c>
      <c r="C3451" s="2" t="s">
        <v>34</v>
      </c>
      <c r="D3451" s="2" t="s">
        <v>35</v>
      </c>
      <c r="E3451" s="5">
        <v>-30580</v>
      </c>
      <c r="F3451" s="3" t="s">
        <v>107</v>
      </c>
      <c r="G3451" s="3" t="s">
        <v>28</v>
      </c>
      <c r="H3451" s="2" t="s">
        <v>21</v>
      </c>
      <c r="I3451" s="2" t="s">
        <v>7959</v>
      </c>
      <c r="J3451" s="3" t="str">
        <f>HYPERLINK("https://www.boe.es/gazeta/dias/1816/04/09/pdfs/GMD-1816-46.pdf#page=6","Abrir facsímil")</f>
        <v>Abrir facsímil</v>
      </c>
      <c r="K3451" s="3" t="s">
        <v>23</v>
      </c>
    </row>
    <row r="3452" spans="1:11" ht="42" customHeight="1">
      <c r="A3452" s="2" t="s">
        <v>7949</v>
      </c>
      <c r="B3452" s="2" t="s">
        <v>7950</v>
      </c>
      <c r="C3452" s="2" t="s">
        <v>34</v>
      </c>
      <c r="D3452" s="2" t="s">
        <v>35</v>
      </c>
      <c r="E3452" s="5">
        <v>-30545</v>
      </c>
      <c r="F3452" s="3" t="s">
        <v>127</v>
      </c>
      <c r="G3452" s="3" t="s">
        <v>28</v>
      </c>
      <c r="H3452" s="2" t="s">
        <v>21</v>
      </c>
      <c r="I3452" s="2" t="s">
        <v>7960</v>
      </c>
      <c r="J3452" s="3" t="str">
        <f>HYPERLINK("https://www.boe.es/gazeta/dias/1816/05/14/pdfs/GMD-1816-61.pdf#page=6","Abrir facsímil")</f>
        <v>Abrir facsímil</v>
      </c>
      <c r="K3452" s="3" t="s">
        <v>23</v>
      </c>
    </row>
    <row r="3453" spans="1:11" ht="42" customHeight="1">
      <c r="A3453" s="2" t="s">
        <v>7949</v>
      </c>
      <c r="B3453" s="2" t="s">
        <v>7950</v>
      </c>
      <c r="C3453" s="2" t="s">
        <v>34</v>
      </c>
      <c r="D3453" s="2" t="s">
        <v>35</v>
      </c>
      <c r="E3453" s="5">
        <v>-30499</v>
      </c>
      <c r="F3453" s="3" t="s">
        <v>971</v>
      </c>
      <c r="G3453" s="3" t="s">
        <v>3071</v>
      </c>
      <c r="H3453" s="2" t="s">
        <v>21</v>
      </c>
      <c r="I3453" s="2" t="s">
        <v>7961</v>
      </c>
      <c r="J3453" s="3" t="str">
        <f>HYPERLINK("https://www.boe.es/gazeta/dias/1816/06/29/pdfs/GMD-1816-81.pdf#page=6","Abrir facsímil")</f>
        <v>Abrir facsímil</v>
      </c>
      <c r="K3453" s="3" t="s">
        <v>23</v>
      </c>
    </row>
    <row r="3454" spans="1:11" ht="42" customHeight="1">
      <c r="A3454" s="2" t="s">
        <v>7949</v>
      </c>
      <c r="B3454" s="2" t="s">
        <v>7950</v>
      </c>
      <c r="C3454" s="2" t="s">
        <v>34</v>
      </c>
      <c r="D3454" s="2" t="s">
        <v>35</v>
      </c>
      <c r="E3454" s="5">
        <v>-30499</v>
      </c>
      <c r="F3454" s="3" t="s">
        <v>971</v>
      </c>
      <c r="G3454" s="3" t="s">
        <v>72</v>
      </c>
      <c r="H3454" s="2" t="s">
        <v>21</v>
      </c>
      <c r="I3454" s="2" t="s">
        <v>7962</v>
      </c>
      <c r="J3454" s="3" t="str">
        <f>HYPERLINK("https://www.boe.es/gazeta/dias/1816/06/29/pdfs/GMD-1816-81.pdf#page=7","Abrir facsímil")</f>
        <v>Abrir facsímil</v>
      </c>
      <c r="K3454" s="3" t="s">
        <v>23</v>
      </c>
    </row>
    <row r="3455" spans="1:11" ht="42" customHeight="1">
      <c r="A3455" s="2" t="s">
        <v>7949</v>
      </c>
      <c r="B3455" s="2" t="s">
        <v>7950</v>
      </c>
      <c r="C3455" s="2" t="s">
        <v>34</v>
      </c>
      <c r="D3455" s="2" t="s">
        <v>35</v>
      </c>
      <c r="E3455" s="5">
        <v>-30429</v>
      </c>
      <c r="F3455" s="3" t="s">
        <v>598</v>
      </c>
      <c r="G3455" s="3" t="s">
        <v>4352</v>
      </c>
      <c r="H3455" s="2" t="s">
        <v>21</v>
      </c>
      <c r="I3455" s="2" t="s">
        <v>7963</v>
      </c>
      <c r="J3455" s="3" t="str">
        <f>HYPERLINK("https://www.boe.es/gazeta/dias/1816/09/07/pdfs/GMD-1816-111.pdf#page=6","Abrir facsímil")</f>
        <v>Abrir facsímil</v>
      </c>
      <c r="K3455" s="3" t="s">
        <v>23</v>
      </c>
    </row>
    <row r="3456" spans="1:11" ht="42" customHeight="1">
      <c r="A3456" s="2" t="s">
        <v>7964</v>
      </c>
      <c r="B3456" s="2" t="s">
        <v>7965</v>
      </c>
      <c r="C3456" s="2" t="s">
        <v>34</v>
      </c>
      <c r="D3456" s="2" t="s">
        <v>35</v>
      </c>
      <c r="E3456" s="5">
        <v>-30499</v>
      </c>
      <c r="F3456" s="3" t="s">
        <v>971</v>
      </c>
      <c r="G3456" s="3" t="s">
        <v>3071</v>
      </c>
      <c r="H3456" s="2" t="s">
        <v>21</v>
      </c>
      <c r="I3456" s="2" t="s">
        <v>7966</v>
      </c>
      <c r="J3456" s="3" t="str">
        <f>HYPERLINK("https://www.boe.es/gazeta/dias/1816/06/29/pdfs/GMD-1816-81.pdf#page=6","Abrir facsímil")</f>
        <v>Abrir facsímil</v>
      </c>
      <c r="K3456" s="3" t="s">
        <v>23</v>
      </c>
    </row>
    <row r="3457" spans="1:11" ht="42" customHeight="1">
      <c r="A3457" s="2" t="s">
        <v>7967</v>
      </c>
      <c r="B3457" s="2" t="s">
        <v>7968</v>
      </c>
      <c r="C3457" s="2" t="s">
        <v>34</v>
      </c>
      <c r="D3457" s="2" t="s">
        <v>35</v>
      </c>
      <c r="E3457" s="5">
        <v>-30599</v>
      </c>
      <c r="F3457" s="3" t="s">
        <v>552</v>
      </c>
      <c r="G3457" s="3" t="s">
        <v>28</v>
      </c>
      <c r="H3457" s="2" t="s">
        <v>21</v>
      </c>
      <c r="I3457" s="2" t="s">
        <v>7969</v>
      </c>
      <c r="J3457" s="3" t="str">
        <f>HYPERLINK("https://www.boe.es/gazeta/dias/1816/03/21/pdfs/GMD-1816-38.pdf#page=6","Abrir facsímil")</f>
        <v>Abrir facsímil</v>
      </c>
      <c r="K3457" s="3" t="s">
        <v>23</v>
      </c>
    </row>
    <row r="3458" spans="1:11" ht="42" customHeight="1">
      <c r="A3458" s="2" t="s">
        <v>7970</v>
      </c>
      <c r="B3458" s="2" t="s">
        <v>7971</v>
      </c>
      <c r="C3458" s="2" t="s">
        <v>34</v>
      </c>
      <c r="D3458" s="2" t="s">
        <v>35</v>
      </c>
      <c r="E3458" s="5">
        <v>-30580</v>
      </c>
      <c r="F3458" s="3" t="s">
        <v>107</v>
      </c>
      <c r="G3458" s="3" t="s">
        <v>72</v>
      </c>
      <c r="H3458" s="2" t="s">
        <v>21</v>
      </c>
      <c r="I3458" s="2" t="s">
        <v>7972</v>
      </c>
      <c r="J3458" s="3" t="str">
        <f>HYPERLINK("https://www.boe.es/gazeta/dias/1816/04/09/pdfs/GMD-1816-46.pdf#page=7","Abrir facsímil")</f>
        <v>Abrir facsímil</v>
      </c>
      <c r="K3458" s="3" t="s">
        <v>23</v>
      </c>
    </row>
    <row r="3459" spans="1:11" ht="42" customHeight="1">
      <c r="A3459" s="2" t="s">
        <v>7973</v>
      </c>
      <c r="B3459" s="2" t="s">
        <v>7973</v>
      </c>
      <c r="C3459" s="2" t="s">
        <v>34</v>
      </c>
      <c r="D3459" s="2" t="s">
        <v>35</v>
      </c>
      <c r="E3459" s="5">
        <v>-30583</v>
      </c>
      <c r="F3459" s="3" t="s">
        <v>241</v>
      </c>
      <c r="G3459" s="3" t="s">
        <v>184</v>
      </c>
      <c r="H3459" s="2" t="s">
        <v>21</v>
      </c>
      <c r="I3459" s="2" t="s">
        <v>7974</v>
      </c>
      <c r="J3459" s="3" t="str">
        <f>HYPERLINK("https://www.boe.es/gazeta/dias/1816/04/06/pdfs/GMD-1816-45.pdf#page=3","Abrir facsímil")</f>
        <v>Abrir facsímil</v>
      </c>
      <c r="K3459" s="3" t="s">
        <v>23</v>
      </c>
    </row>
    <row r="3460" spans="1:11" ht="42" customHeight="1">
      <c r="A3460" s="2" t="s">
        <v>7975</v>
      </c>
      <c r="B3460" s="2" t="s">
        <v>7976</v>
      </c>
      <c r="C3460" s="2" t="s">
        <v>34</v>
      </c>
      <c r="D3460" s="2" t="s">
        <v>35</v>
      </c>
      <c r="E3460" s="5">
        <v>-30678</v>
      </c>
      <c r="F3460" s="3" t="s">
        <v>76</v>
      </c>
      <c r="G3460" s="3" t="s">
        <v>77</v>
      </c>
      <c r="H3460" s="2" t="s">
        <v>29</v>
      </c>
      <c r="I3460" s="2" t="s">
        <v>7977</v>
      </c>
      <c r="J3460" s="3" t="str">
        <f>HYPERLINK("https://www.boe.es/gazeta/dias/1816/01/02/pdfs/GMD-1816-1.pdf#page=8","Abrir facsímil")</f>
        <v>Abrir facsímil</v>
      </c>
      <c r="K3460" s="3" t="s">
        <v>31</v>
      </c>
    </row>
    <row r="3461" spans="1:11" ht="42" customHeight="1">
      <c r="A3461" s="2" t="s">
        <v>7978</v>
      </c>
      <c r="B3461" s="2" t="s">
        <v>7979</v>
      </c>
      <c r="C3461" s="2" t="s">
        <v>17</v>
      </c>
      <c r="D3461" s="2" t="s">
        <v>56</v>
      </c>
      <c r="E3461" s="5">
        <v>-30393</v>
      </c>
      <c r="F3461" s="3" t="s">
        <v>202</v>
      </c>
      <c r="G3461" s="3" t="s">
        <v>270</v>
      </c>
      <c r="H3461" s="2" t="s">
        <v>21</v>
      </c>
      <c r="I3461" s="2" t="s">
        <v>7980</v>
      </c>
      <c r="J3461" s="3" t="str">
        <f>HYPERLINK("https://www.boe.es/gazeta/dias/1816/10/13/pdfs/GMD-1816-128E.pdf#page=2","Abrir facsímil")</f>
        <v>Abrir facsímil</v>
      </c>
      <c r="K3461" s="3" t="s">
        <v>23</v>
      </c>
    </row>
    <row r="3462" spans="1:11" ht="42" customHeight="1">
      <c r="A3462" s="2" t="s">
        <v>7981</v>
      </c>
      <c r="B3462" s="2" t="s">
        <v>7982</v>
      </c>
      <c r="C3462" s="2" t="s">
        <v>34</v>
      </c>
      <c r="D3462" s="2" t="s">
        <v>35</v>
      </c>
      <c r="E3462" s="5">
        <v>-30613</v>
      </c>
      <c r="F3462" s="3" t="s">
        <v>392</v>
      </c>
      <c r="G3462" s="3" t="s">
        <v>2396</v>
      </c>
      <c r="H3462" s="2" t="s">
        <v>21</v>
      </c>
      <c r="I3462" s="2" t="s">
        <v>7983</v>
      </c>
      <c r="J3462" s="3" t="str">
        <f>HYPERLINK("https://www.boe.es/gazeta/dias/1816/03/07/pdfs/GMD-1816-31.pdf#page=5","Abrir facsímil")</f>
        <v>Abrir facsímil</v>
      </c>
      <c r="K3462" s="3" t="s">
        <v>23</v>
      </c>
    </row>
    <row r="3463" spans="1:11" ht="42" customHeight="1">
      <c r="A3463" s="2" t="s">
        <v>7984</v>
      </c>
      <c r="B3463" s="2" t="s">
        <v>7985</v>
      </c>
      <c r="C3463" s="2" t="s">
        <v>34</v>
      </c>
      <c r="D3463" s="2" t="s">
        <v>35</v>
      </c>
      <c r="E3463" s="5">
        <v>-30499</v>
      </c>
      <c r="F3463" s="3" t="s">
        <v>971</v>
      </c>
      <c r="G3463" s="3" t="s">
        <v>72</v>
      </c>
      <c r="H3463" s="2" t="s">
        <v>21</v>
      </c>
      <c r="I3463" s="2" t="s">
        <v>7986</v>
      </c>
      <c r="J3463" s="3" t="str">
        <f>HYPERLINK("https://www.boe.es/gazeta/dias/1816/06/29/pdfs/GMD-1816-81.pdf#page=7","Abrir facsímil")</f>
        <v>Abrir facsímil</v>
      </c>
      <c r="K3463" s="3" t="s">
        <v>23</v>
      </c>
    </row>
    <row r="3464" spans="1:11" ht="42" customHeight="1">
      <c r="A3464" s="2" t="s">
        <v>7987</v>
      </c>
      <c r="B3464" s="2" t="s">
        <v>7988</v>
      </c>
      <c r="C3464" s="2" t="s">
        <v>26</v>
      </c>
      <c r="D3464" s="2" t="s">
        <v>18</v>
      </c>
      <c r="E3464" s="5">
        <v>-30368</v>
      </c>
      <c r="F3464" s="3" t="s">
        <v>531</v>
      </c>
      <c r="G3464" s="3" t="s">
        <v>7840</v>
      </c>
      <c r="H3464" s="2" t="s">
        <v>21</v>
      </c>
      <c r="I3464" s="2" t="s">
        <v>7989</v>
      </c>
      <c r="J3464" s="3" t="str">
        <f>HYPERLINK("https://www.boe.es/gazeta/dias/1816/11/07/pdfs/GMD-1816-139.pdf#page=5","Abrir facsímil")</f>
        <v>Abrir facsímil</v>
      </c>
      <c r="K3464" s="3" t="s">
        <v>23</v>
      </c>
    </row>
    <row r="3465" spans="1:11" ht="42" customHeight="1">
      <c r="A3465" s="2" t="s">
        <v>7990</v>
      </c>
      <c r="B3465" s="2" t="s">
        <v>7991</v>
      </c>
      <c r="C3465" s="2" t="s">
        <v>111</v>
      </c>
      <c r="D3465" s="2" t="s">
        <v>112</v>
      </c>
      <c r="E3465" s="5">
        <v>-30524</v>
      </c>
      <c r="F3465" s="3" t="s">
        <v>98</v>
      </c>
      <c r="G3465" s="3" t="s">
        <v>1209</v>
      </c>
      <c r="H3465" s="2" t="s">
        <v>21</v>
      </c>
      <c r="I3465" s="2" t="s">
        <v>7992</v>
      </c>
      <c r="J3465" s="3" t="str">
        <f>HYPERLINK("https://www.boe.es/gazeta/dias/1816/06/04/pdfs/GMD-1816-70.pdf#page=8","Abrir facsímil")</f>
        <v>Abrir facsímil</v>
      </c>
      <c r="K3465" s="3" t="s">
        <v>23</v>
      </c>
    </row>
    <row r="3466" spans="1:11" ht="42" customHeight="1">
      <c r="A3466" s="2" t="s">
        <v>7993</v>
      </c>
      <c r="B3466" s="2" t="s">
        <v>7994</v>
      </c>
      <c r="C3466" s="2" t="s">
        <v>111</v>
      </c>
      <c r="D3466" s="2" t="s">
        <v>112</v>
      </c>
      <c r="E3466" s="5">
        <v>-30508</v>
      </c>
      <c r="F3466" s="3" t="s">
        <v>36</v>
      </c>
      <c r="G3466" s="3" t="s">
        <v>37</v>
      </c>
      <c r="H3466" s="2" t="s">
        <v>21</v>
      </c>
      <c r="I3466" s="2" t="s">
        <v>7995</v>
      </c>
      <c r="J3466" s="3" t="str">
        <f>HYPERLINK("https://www.boe.es/gazeta/dias/1816/06/20/pdfs/GMD-1816-77.pdf#page=7","Abrir facsímil")</f>
        <v>Abrir facsímil</v>
      </c>
      <c r="K3466" s="3" t="s">
        <v>23</v>
      </c>
    </row>
    <row r="3467" spans="1:11" ht="42" customHeight="1">
      <c r="A3467" s="2" t="s">
        <v>7993</v>
      </c>
      <c r="B3467" s="2" t="s">
        <v>7994</v>
      </c>
      <c r="C3467" s="2" t="s">
        <v>111</v>
      </c>
      <c r="D3467" s="2" t="s">
        <v>112</v>
      </c>
      <c r="E3467" s="5">
        <v>-30396</v>
      </c>
      <c r="F3467" s="3" t="s">
        <v>1623</v>
      </c>
      <c r="G3467" s="3" t="s">
        <v>52</v>
      </c>
      <c r="H3467" s="2" t="s">
        <v>21</v>
      </c>
      <c r="I3467" s="2" t="s">
        <v>7996</v>
      </c>
      <c r="J3467" s="3" t="str">
        <f>HYPERLINK("https://www.boe.es/gazeta/dias/1816/10/10/pdfs/GMD-1816-126.pdf#page=12","Abrir facsímil")</f>
        <v>Abrir facsímil</v>
      </c>
      <c r="K3467" s="3" t="s">
        <v>23</v>
      </c>
    </row>
    <row r="3468" spans="1:11" ht="42" customHeight="1">
      <c r="A3468" s="2" t="s">
        <v>7990</v>
      </c>
      <c r="B3468" s="2" t="s">
        <v>7991</v>
      </c>
      <c r="C3468" s="2" t="s">
        <v>41</v>
      </c>
      <c r="D3468" s="2" t="s">
        <v>18</v>
      </c>
      <c r="E3468" s="5">
        <v>-30394</v>
      </c>
      <c r="F3468" s="3" t="s">
        <v>589</v>
      </c>
      <c r="G3468" s="3" t="s">
        <v>42</v>
      </c>
      <c r="H3468" s="2" t="s">
        <v>21</v>
      </c>
      <c r="I3468" s="2" t="s">
        <v>7997</v>
      </c>
      <c r="J3468" s="3" t="str">
        <f>HYPERLINK("https://www.boe.es/gazeta/dias/1816/10/12/pdfs/GMD-1816-127.pdf#page=8","Abrir facsímil")</f>
        <v>Abrir facsímil</v>
      </c>
      <c r="K3468" s="3" t="s">
        <v>23</v>
      </c>
    </row>
    <row r="3469" spans="1:11" ht="42" customHeight="1">
      <c r="A3469" s="2" t="s">
        <v>7998</v>
      </c>
      <c r="B3469" s="2" t="s">
        <v>7999</v>
      </c>
      <c r="C3469" s="2" t="s">
        <v>34</v>
      </c>
      <c r="D3469" s="2" t="s">
        <v>35</v>
      </c>
      <c r="E3469" s="5">
        <v>-30592</v>
      </c>
      <c r="F3469" s="3" t="s">
        <v>236</v>
      </c>
      <c r="G3469" s="3" t="s">
        <v>606</v>
      </c>
      <c r="H3469" s="2" t="s">
        <v>21</v>
      </c>
      <c r="I3469" s="2" t="s">
        <v>8000</v>
      </c>
      <c r="J3469" s="3" t="str">
        <f>HYPERLINK("https://www.boe.es/gazeta/dias/1816/03/28/pdfs/GMD-1816-41.pdf#page=12","Abrir facsímil")</f>
        <v>Abrir facsímil</v>
      </c>
      <c r="K3469" s="3" t="s">
        <v>23</v>
      </c>
    </row>
    <row r="3470" spans="1:11" ht="42" customHeight="1">
      <c r="A3470" s="2" t="s">
        <v>7998</v>
      </c>
      <c r="B3470" s="2" t="s">
        <v>7999</v>
      </c>
      <c r="C3470" s="2" t="s">
        <v>34</v>
      </c>
      <c r="D3470" s="2" t="s">
        <v>35</v>
      </c>
      <c r="E3470" s="5">
        <v>-30592</v>
      </c>
      <c r="F3470" s="3" t="s">
        <v>236</v>
      </c>
      <c r="G3470" s="3" t="s">
        <v>175</v>
      </c>
      <c r="H3470" s="2" t="s">
        <v>21</v>
      </c>
      <c r="I3470" s="2" t="s">
        <v>8001</v>
      </c>
      <c r="J3470" s="3" t="str">
        <f>HYPERLINK("https://www.boe.es/gazeta/dias/1816/03/28/pdfs/GMD-1816-41.pdf#page=11","Abrir facsímil")</f>
        <v>Abrir facsímil</v>
      </c>
      <c r="K3470" s="3" t="s">
        <v>23</v>
      </c>
    </row>
    <row r="3471" spans="1:11" ht="42" customHeight="1">
      <c r="A3471" s="2" t="s">
        <v>8002</v>
      </c>
      <c r="B3471" s="2" t="s">
        <v>8003</v>
      </c>
      <c r="C3471" s="2" t="s">
        <v>111</v>
      </c>
      <c r="D3471" s="2" t="s">
        <v>112</v>
      </c>
      <c r="E3471" s="5">
        <v>-30550</v>
      </c>
      <c r="F3471" s="3" t="s">
        <v>435</v>
      </c>
      <c r="G3471" s="3" t="s">
        <v>103</v>
      </c>
      <c r="H3471" s="2" t="s">
        <v>21</v>
      </c>
      <c r="I3471" s="2" t="s">
        <v>8004</v>
      </c>
      <c r="J3471" s="3" t="str">
        <f>HYPERLINK("https://www.boe.es/gazeta/dias/1816/05/09/pdfs/GMD-1816-59.pdf#page=4","Abrir facsímil")</f>
        <v>Abrir facsímil</v>
      </c>
      <c r="K3471" s="3" t="s">
        <v>23</v>
      </c>
    </row>
    <row r="3472" spans="1:11" ht="42" customHeight="1">
      <c r="A3472" s="2" t="s">
        <v>8005</v>
      </c>
      <c r="B3472" s="2" t="s">
        <v>8006</v>
      </c>
      <c r="C3472" s="2" t="s">
        <v>26</v>
      </c>
      <c r="D3472" s="2" t="s">
        <v>56</v>
      </c>
      <c r="E3472" s="5">
        <v>-30653</v>
      </c>
      <c r="F3472" s="3" t="s">
        <v>1023</v>
      </c>
      <c r="G3472" s="3" t="s">
        <v>270</v>
      </c>
      <c r="H3472" s="2" t="s">
        <v>21</v>
      </c>
      <c r="I3472" s="2" t="s">
        <v>8007</v>
      </c>
      <c r="J3472" s="3" t="str">
        <f>HYPERLINK("https://www.boe.es/gazeta/dias/1816/01/27/pdfs/GMD-1816-13E.pdf#page=2","Abrir facsímil")</f>
        <v>Abrir facsímil</v>
      </c>
      <c r="K3472" s="3" t="s">
        <v>23</v>
      </c>
    </row>
    <row r="3473" spans="1:11" ht="42" customHeight="1">
      <c r="A3473" s="2" t="s">
        <v>8008</v>
      </c>
      <c r="B3473" s="2" t="s">
        <v>8009</v>
      </c>
      <c r="C3473" s="2" t="s">
        <v>111</v>
      </c>
      <c r="D3473" s="2" t="s">
        <v>112</v>
      </c>
      <c r="E3473" s="5">
        <v>-30667</v>
      </c>
      <c r="F3473" s="3" t="s">
        <v>659</v>
      </c>
      <c r="G3473" s="3" t="s">
        <v>3788</v>
      </c>
      <c r="H3473" s="2" t="s">
        <v>21</v>
      </c>
      <c r="I3473" s="2" t="s">
        <v>8010</v>
      </c>
      <c r="J3473" s="3" t="str">
        <f>HYPERLINK("https://www.boe.es/gazeta/dias/1816/01/13/pdfs/GMD-1816-6.pdf#page=5","Abrir facsímil")</f>
        <v>Abrir facsímil</v>
      </c>
      <c r="K3473" s="3" t="s">
        <v>23</v>
      </c>
    </row>
    <row r="3474" spans="1:11" ht="42" customHeight="1">
      <c r="A3474" s="2" t="s">
        <v>8011</v>
      </c>
      <c r="B3474" s="2" t="s">
        <v>8012</v>
      </c>
      <c r="C3474" s="2" t="s">
        <v>26</v>
      </c>
      <c r="D3474" s="2" t="s">
        <v>18</v>
      </c>
      <c r="E3474" s="5">
        <v>-30592</v>
      </c>
      <c r="F3474" s="3" t="s">
        <v>236</v>
      </c>
      <c r="G3474" s="3" t="s">
        <v>42</v>
      </c>
      <c r="H3474" s="2" t="s">
        <v>21</v>
      </c>
      <c r="I3474" s="2" t="s">
        <v>8013</v>
      </c>
      <c r="J3474" s="3" t="str">
        <f>HYPERLINK("https://www.boe.es/gazeta/dias/1816/03/28/pdfs/GMD-1816-41.pdf#page=8","Abrir facsímil")</f>
        <v>Abrir facsímil</v>
      </c>
      <c r="K3474" s="3" t="s">
        <v>23</v>
      </c>
    </row>
    <row r="3475" spans="1:11" ht="42" customHeight="1">
      <c r="A3475" s="2" t="s">
        <v>8011</v>
      </c>
      <c r="B3475" s="2" t="s">
        <v>8012</v>
      </c>
      <c r="C3475" s="2" t="s">
        <v>26</v>
      </c>
      <c r="D3475" s="2" t="s">
        <v>18</v>
      </c>
      <c r="E3475" s="5">
        <v>-30580</v>
      </c>
      <c r="F3475" s="3" t="s">
        <v>107</v>
      </c>
      <c r="G3475" s="3" t="s">
        <v>72</v>
      </c>
      <c r="H3475" s="2" t="s">
        <v>21</v>
      </c>
      <c r="I3475" s="2" t="s">
        <v>8014</v>
      </c>
      <c r="J3475" s="3" t="str">
        <f>HYPERLINK("https://www.boe.es/gazeta/dias/1816/04/09/pdfs/GMD-1816-46.pdf#page=7","Abrir facsímil")</f>
        <v>Abrir facsímil</v>
      </c>
      <c r="K3475" s="3" t="s">
        <v>23</v>
      </c>
    </row>
    <row r="3476" spans="1:11" ht="42" customHeight="1">
      <c r="A3476" s="2" t="s">
        <v>8015</v>
      </c>
      <c r="B3476" s="2" t="s">
        <v>8016</v>
      </c>
      <c r="C3476" s="2" t="s">
        <v>26</v>
      </c>
      <c r="D3476" s="2" t="s">
        <v>18</v>
      </c>
      <c r="E3476" s="5">
        <v>-30580</v>
      </c>
      <c r="F3476" s="3" t="s">
        <v>107</v>
      </c>
      <c r="G3476" s="3" t="s">
        <v>72</v>
      </c>
      <c r="H3476" s="2" t="s">
        <v>21</v>
      </c>
      <c r="I3476" s="2" t="s">
        <v>8017</v>
      </c>
      <c r="J3476" s="3" t="str">
        <f>HYPERLINK("https://www.boe.es/gazeta/dias/1816/04/09/pdfs/GMD-1816-46.pdf#page=7","Abrir facsímil")</f>
        <v>Abrir facsímil</v>
      </c>
      <c r="K3476" s="3" t="s">
        <v>23</v>
      </c>
    </row>
    <row r="3477" spans="1:11" ht="42" customHeight="1">
      <c r="A3477" s="2" t="s">
        <v>8018</v>
      </c>
      <c r="B3477" s="2" t="s">
        <v>8018</v>
      </c>
      <c r="C3477" s="2" t="s">
        <v>34</v>
      </c>
      <c r="D3477" s="2" t="s">
        <v>35</v>
      </c>
      <c r="E3477" s="5">
        <v>-30655</v>
      </c>
      <c r="F3477" s="3" t="s">
        <v>170</v>
      </c>
      <c r="G3477" s="3" t="s">
        <v>58</v>
      </c>
      <c r="H3477" s="2" t="s">
        <v>21</v>
      </c>
      <c r="I3477" s="2" t="s">
        <v>8019</v>
      </c>
      <c r="J3477" s="3" t="str">
        <f>HYPERLINK("https://www.boe.es/gazeta/dias/1816/01/25/pdfs/GMD-1816-11.pdf#page=1","Abrir facsímil")</f>
        <v>Abrir facsímil</v>
      </c>
      <c r="K3477" s="3" t="s">
        <v>23</v>
      </c>
    </row>
    <row r="3478" spans="1:11" ht="42" customHeight="1">
      <c r="A3478" s="2" t="s">
        <v>8018</v>
      </c>
      <c r="B3478" s="2" t="s">
        <v>8018</v>
      </c>
      <c r="C3478" s="2" t="s">
        <v>26</v>
      </c>
      <c r="D3478" s="2" t="s">
        <v>18</v>
      </c>
      <c r="E3478" s="5">
        <v>-30389</v>
      </c>
      <c r="F3478" s="3" t="s">
        <v>522</v>
      </c>
      <c r="G3478" s="3" t="s">
        <v>184</v>
      </c>
      <c r="H3478" s="2" t="s">
        <v>21</v>
      </c>
      <c r="I3478" s="2" t="s">
        <v>8020</v>
      </c>
      <c r="J3478" s="3" t="str">
        <f>HYPERLINK("https://www.boe.es/gazeta/dias/1816/10/17/pdfs/GMD-1816-130.pdf#page=3","Abrir facsímil")</f>
        <v>Abrir facsímil</v>
      </c>
      <c r="K3478" s="3" t="s">
        <v>23</v>
      </c>
    </row>
    <row r="3479" spans="1:11" ht="42" customHeight="1">
      <c r="A3479" s="2" t="s">
        <v>8021</v>
      </c>
      <c r="B3479" s="2" t="s">
        <v>8022</v>
      </c>
      <c r="C3479" s="2" t="s">
        <v>111</v>
      </c>
      <c r="D3479" s="2" t="s">
        <v>112</v>
      </c>
      <c r="E3479" s="5">
        <v>-30625</v>
      </c>
      <c r="F3479" s="3" t="s">
        <v>631</v>
      </c>
      <c r="G3479" s="3" t="s">
        <v>8023</v>
      </c>
      <c r="H3479" s="2" t="s">
        <v>29</v>
      </c>
      <c r="I3479" s="2" t="s">
        <v>8024</v>
      </c>
      <c r="J3479" s="3" t="str">
        <f>HYPERLINK("https://www.boe.es/gazeta/dias/1816/02/24/pdfs/GMD-1816-25.pdf#page=4","Abrir facsímil")</f>
        <v>Abrir facsímil</v>
      </c>
      <c r="K3479" s="3" t="s">
        <v>31</v>
      </c>
    </row>
    <row r="3480" spans="1:11" ht="42" customHeight="1">
      <c r="A3480" s="2" t="s">
        <v>8025</v>
      </c>
      <c r="B3480" s="2" t="s">
        <v>8026</v>
      </c>
      <c r="C3480" s="2" t="s">
        <v>34</v>
      </c>
      <c r="D3480" s="2" t="s">
        <v>35</v>
      </c>
      <c r="E3480" s="5">
        <v>-30643</v>
      </c>
      <c r="F3480" s="3" t="s">
        <v>620</v>
      </c>
      <c r="G3480" s="3" t="s">
        <v>103</v>
      </c>
      <c r="H3480" s="2" t="s">
        <v>29</v>
      </c>
      <c r="I3480" s="2" t="s">
        <v>8027</v>
      </c>
      <c r="J3480" s="3" t="str">
        <f>HYPERLINK("https://www.boe.es/gazeta/dias/1816/02/06/pdfs/GMD-1816-17.pdf#page=4","Abrir facsímil")</f>
        <v>Abrir facsímil</v>
      </c>
      <c r="K3480" s="3" t="s">
        <v>31</v>
      </c>
    </row>
    <row r="3481" spans="1:11" ht="42" customHeight="1">
      <c r="A3481" s="2" t="s">
        <v>8028</v>
      </c>
      <c r="B3481" s="2" t="s">
        <v>8029</v>
      </c>
      <c r="C3481" s="2" t="s">
        <v>67</v>
      </c>
      <c r="D3481" s="2" t="s">
        <v>18</v>
      </c>
      <c r="E3481" s="5">
        <v>-30326</v>
      </c>
      <c r="F3481" s="3" t="s">
        <v>377</v>
      </c>
      <c r="G3481" s="3" t="s">
        <v>42</v>
      </c>
      <c r="H3481" s="2" t="s">
        <v>29</v>
      </c>
      <c r="I3481" s="2" t="s">
        <v>8030</v>
      </c>
      <c r="J3481" s="3" t="str">
        <f>HYPERLINK("https://www.boe.es/gazeta/dias/1816/12/19/pdfs/GMD-1816-157.pdf#page=8","Abrir facsímil")</f>
        <v>Abrir facsímil</v>
      </c>
      <c r="K3481" s="3" t="s">
        <v>31</v>
      </c>
    </row>
    <row r="3482" spans="1:11" ht="42" customHeight="1">
      <c r="A3482" s="2" t="s">
        <v>8031</v>
      </c>
      <c r="B3482" s="2" t="s">
        <v>8032</v>
      </c>
      <c r="C3482" s="2" t="s">
        <v>81</v>
      </c>
      <c r="D3482" s="2" t="s">
        <v>18</v>
      </c>
      <c r="E3482" s="5">
        <v>-30629</v>
      </c>
      <c r="F3482" s="3" t="s">
        <v>904</v>
      </c>
      <c r="G3482" s="3" t="s">
        <v>58</v>
      </c>
      <c r="H3482" s="2" t="s">
        <v>29</v>
      </c>
      <c r="I3482" s="2" t="s">
        <v>8033</v>
      </c>
      <c r="J3482" s="3" t="str">
        <f>HYPERLINK("https://www.boe.es/gazeta/dias/1816/02/20/pdfs/GMD-1816-23.pdf#page=1","Abrir facsímil")</f>
        <v>Abrir facsímil</v>
      </c>
      <c r="K3482" s="3" t="s">
        <v>31</v>
      </c>
    </row>
    <row r="3483" spans="1:11" ht="42" customHeight="1">
      <c r="A3483" s="2" t="s">
        <v>8034</v>
      </c>
      <c r="B3483" s="2" t="s">
        <v>8035</v>
      </c>
      <c r="C3483" s="2" t="s">
        <v>26</v>
      </c>
      <c r="D3483" s="2" t="s">
        <v>18</v>
      </c>
      <c r="E3483" s="5">
        <v>-30352</v>
      </c>
      <c r="F3483" s="3" t="s">
        <v>407</v>
      </c>
      <c r="G3483" s="3" t="s">
        <v>72</v>
      </c>
      <c r="H3483" s="2" t="s">
        <v>21</v>
      </c>
      <c r="I3483" s="2" t="s">
        <v>8036</v>
      </c>
      <c r="J3483" s="3" t="str">
        <f>HYPERLINK("https://www.boe.es/gazeta/dias/1816/11/23/pdfs/GMD-1816-146.pdf#page=7","Abrir facsímil")</f>
        <v>Abrir facsímil</v>
      </c>
      <c r="K3483" s="3" t="s">
        <v>23</v>
      </c>
    </row>
    <row r="3484" spans="1:11" ht="42" customHeight="1">
      <c r="A3484" s="2" t="s">
        <v>8037</v>
      </c>
      <c r="B3484" s="2" t="s">
        <v>8038</v>
      </c>
      <c r="C3484" s="2" t="s">
        <v>34</v>
      </c>
      <c r="D3484" s="2" t="s">
        <v>35</v>
      </c>
      <c r="E3484" s="5">
        <v>-30473</v>
      </c>
      <c r="F3484" s="3" t="s">
        <v>336</v>
      </c>
      <c r="G3484" s="3" t="s">
        <v>42</v>
      </c>
      <c r="H3484" s="2" t="s">
        <v>21</v>
      </c>
      <c r="I3484" s="2" t="s">
        <v>8039</v>
      </c>
      <c r="J3484" s="3" t="str">
        <f>HYPERLINK("https://www.boe.es/gazeta/dias/1816/07/25/pdfs/GMD-1816-92.pdf#page=8","Abrir facsímil")</f>
        <v>Abrir facsímil</v>
      </c>
      <c r="K3484" s="3" t="s">
        <v>23</v>
      </c>
    </row>
    <row r="3485" spans="1:11" ht="42" customHeight="1">
      <c r="A3485" s="2" t="s">
        <v>8040</v>
      </c>
      <c r="B3485" s="2" t="s">
        <v>8041</v>
      </c>
      <c r="C3485" s="2" t="s">
        <v>41</v>
      </c>
      <c r="D3485" s="2" t="s">
        <v>18</v>
      </c>
      <c r="E3485" s="5">
        <v>-30387</v>
      </c>
      <c r="F3485" s="3" t="s">
        <v>224</v>
      </c>
      <c r="G3485" s="3" t="s">
        <v>28</v>
      </c>
      <c r="H3485" s="2" t="s">
        <v>21</v>
      </c>
      <c r="I3485" s="2" t="s">
        <v>8042</v>
      </c>
      <c r="J3485" s="3" t="str">
        <f>HYPERLINK("https://www.boe.es/gazeta/dias/1816/10/19/pdfs/GMD-1816-131.pdf#page=6","Abrir facsímil")</f>
        <v>Abrir facsímil</v>
      </c>
      <c r="K3485" s="3" t="s">
        <v>23</v>
      </c>
    </row>
    <row r="3486" spans="1:11" ht="42" customHeight="1">
      <c r="A3486" s="2" t="s">
        <v>8043</v>
      </c>
      <c r="B3486" s="2" t="s">
        <v>8044</v>
      </c>
      <c r="C3486" s="2" t="s">
        <v>41</v>
      </c>
      <c r="D3486" s="2" t="s">
        <v>18</v>
      </c>
      <c r="E3486" s="5">
        <v>-30391</v>
      </c>
      <c r="F3486" s="3" t="s">
        <v>482</v>
      </c>
      <c r="G3486" s="3" t="s">
        <v>28</v>
      </c>
      <c r="H3486" s="2" t="s">
        <v>21</v>
      </c>
      <c r="I3486" s="2" t="s">
        <v>8045</v>
      </c>
      <c r="J3486" s="3" t="str">
        <f>HYPERLINK("https://www.boe.es/gazeta/dias/1816/10/15/pdfs/GMD-1816-129.pdf#page=6","Abrir facsímil")</f>
        <v>Abrir facsímil</v>
      </c>
      <c r="K3486" s="3" t="s">
        <v>23</v>
      </c>
    </row>
    <row r="3487" spans="1:11" ht="42" customHeight="1">
      <c r="A3487" s="2" t="s">
        <v>8046</v>
      </c>
      <c r="B3487" s="2" t="s">
        <v>8047</v>
      </c>
      <c r="C3487" s="2" t="s">
        <v>34</v>
      </c>
      <c r="D3487" s="2" t="s">
        <v>35</v>
      </c>
      <c r="E3487" s="5">
        <v>-30405</v>
      </c>
      <c r="F3487" s="3" t="s">
        <v>587</v>
      </c>
      <c r="G3487" s="3" t="s">
        <v>47</v>
      </c>
      <c r="H3487" s="2" t="s">
        <v>21</v>
      </c>
      <c r="I3487" s="2" t="s">
        <v>8048</v>
      </c>
      <c r="J3487" s="3" t="str">
        <f>HYPERLINK("https://www.boe.es/gazeta/dias/1816/10/01/pdfs/GMD-1816-121.pdf#page=5","Abrir facsímil")</f>
        <v>Abrir facsímil</v>
      </c>
      <c r="K3487" s="3" t="s">
        <v>23</v>
      </c>
    </row>
    <row r="3488" spans="1:11" ht="42" customHeight="1">
      <c r="A3488" s="2" t="s">
        <v>8049</v>
      </c>
      <c r="B3488" s="2" t="s">
        <v>8050</v>
      </c>
      <c r="C3488" s="2" t="s">
        <v>34</v>
      </c>
      <c r="D3488" s="2" t="s">
        <v>35</v>
      </c>
      <c r="E3488" s="5">
        <v>-30594</v>
      </c>
      <c r="F3488" s="3" t="s">
        <v>234</v>
      </c>
      <c r="G3488" s="3" t="s">
        <v>175</v>
      </c>
      <c r="H3488" s="2" t="s">
        <v>21</v>
      </c>
      <c r="I3488" s="2" t="s">
        <v>8051</v>
      </c>
      <c r="J3488" s="3" t="str">
        <f>HYPERLINK("https://www.boe.es/gazeta/dias/1816/03/26/pdfs/GMD-1816-40.pdf#page=11","Abrir facsímil")</f>
        <v>Abrir facsímil</v>
      </c>
      <c r="K3488" s="3" t="s">
        <v>23</v>
      </c>
    </row>
    <row r="3489" spans="1:11" ht="42" customHeight="1">
      <c r="A3489" s="2" t="s">
        <v>8052</v>
      </c>
      <c r="B3489" s="2" t="s">
        <v>8053</v>
      </c>
      <c r="C3489" s="2" t="s">
        <v>111</v>
      </c>
      <c r="D3489" s="2" t="s">
        <v>112</v>
      </c>
      <c r="E3489" s="5">
        <v>-30667</v>
      </c>
      <c r="F3489" s="3" t="s">
        <v>659</v>
      </c>
      <c r="G3489" s="3" t="s">
        <v>3788</v>
      </c>
      <c r="H3489" s="2" t="s">
        <v>21</v>
      </c>
      <c r="I3489" s="2" t="s">
        <v>8054</v>
      </c>
      <c r="J3489" s="3" t="str">
        <f>HYPERLINK("https://www.boe.es/gazeta/dias/1816/01/13/pdfs/GMD-1816-6.pdf#page=5","Abrir facsímil")</f>
        <v>Abrir facsímil</v>
      </c>
      <c r="K3489" s="3" t="s">
        <v>23</v>
      </c>
    </row>
    <row r="3490" spans="1:11" ht="42" customHeight="1">
      <c r="A3490" s="2" t="s">
        <v>8055</v>
      </c>
      <c r="B3490" s="2" t="s">
        <v>8056</v>
      </c>
      <c r="C3490" s="2" t="s">
        <v>67</v>
      </c>
      <c r="D3490" s="2" t="s">
        <v>18</v>
      </c>
      <c r="E3490" s="5">
        <v>-30538</v>
      </c>
      <c r="F3490" s="3" t="s">
        <v>496</v>
      </c>
      <c r="G3490" s="3" t="s">
        <v>42</v>
      </c>
      <c r="H3490" s="2" t="s">
        <v>21</v>
      </c>
      <c r="I3490" s="2" t="s">
        <v>8057</v>
      </c>
      <c r="J3490" s="3" t="str">
        <f>HYPERLINK("https://www.boe.es/gazeta/dias/1816/05/21/pdfs/GMD-1816-64.pdf#page=8","Abrir facsímil")</f>
        <v>Abrir facsímil</v>
      </c>
      <c r="K3490" s="3" t="s">
        <v>23</v>
      </c>
    </row>
    <row r="3491" spans="1:11" ht="42" customHeight="1">
      <c r="A3491" s="2" t="s">
        <v>8058</v>
      </c>
      <c r="B3491" s="2" t="s">
        <v>8059</v>
      </c>
      <c r="C3491" s="2" t="s">
        <v>34</v>
      </c>
      <c r="D3491" s="2" t="s">
        <v>35</v>
      </c>
      <c r="E3491" s="5">
        <v>-30394</v>
      </c>
      <c r="F3491" s="3" t="s">
        <v>589</v>
      </c>
      <c r="G3491" s="3" t="s">
        <v>47</v>
      </c>
      <c r="H3491" s="2" t="s">
        <v>29</v>
      </c>
      <c r="I3491" s="2" t="s">
        <v>8060</v>
      </c>
      <c r="J3491" s="3" t="str">
        <f>HYPERLINK("https://www.boe.es/gazeta/dias/1816/10/12/pdfs/GMD-1816-127.pdf#page=5","Abrir facsímil")</f>
        <v>Abrir facsímil</v>
      </c>
      <c r="K3491" s="3" t="s">
        <v>31</v>
      </c>
    </row>
    <row r="3492" spans="1:11" ht="42" customHeight="1">
      <c r="A3492" s="2" t="s">
        <v>8061</v>
      </c>
      <c r="B3492" s="2" t="s">
        <v>8062</v>
      </c>
      <c r="C3492" s="2" t="s">
        <v>17</v>
      </c>
      <c r="D3492" s="2" t="s">
        <v>18</v>
      </c>
      <c r="E3492" s="5">
        <v>-30667</v>
      </c>
      <c r="F3492" s="3" t="s">
        <v>659</v>
      </c>
      <c r="G3492" s="3" t="s">
        <v>1516</v>
      </c>
      <c r="H3492" s="2" t="s">
        <v>21</v>
      </c>
      <c r="I3492" s="2" t="s">
        <v>8063</v>
      </c>
      <c r="J3492" s="3" t="str">
        <f>HYPERLINK("https://www.boe.es/gazeta/dias/1816/01/13/pdfs/GMD-1816-6.pdf#page=6","Abrir facsímil")</f>
        <v>Abrir facsímil</v>
      </c>
      <c r="K3492" s="3" t="s">
        <v>23</v>
      </c>
    </row>
    <row r="3493" spans="1:11" ht="42" customHeight="1">
      <c r="A3493" s="2" t="s">
        <v>8061</v>
      </c>
      <c r="B3493" s="2" t="s">
        <v>8062</v>
      </c>
      <c r="C3493" s="2" t="s">
        <v>111</v>
      </c>
      <c r="D3493" s="2" t="s">
        <v>112</v>
      </c>
      <c r="E3493" s="5">
        <v>-30352</v>
      </c>
      <c r="F3493" s="3" t="s">
        <v>407</v>
      </c>
      <c r="G3493" s="3" t="s">
        <v>47</v>
      </c>
      <c r="H3493" s="2" t="s">
        <v>21</v>
      </c>
      <c r="I3493" s="2" t="s">
        <v>8064</v>
      </c>
      <c r="J3493" s="3" t="str">
        <f>HYPERLINK("https://www.boe.es/gazeta/dias/1816/11/23/pdfs/GMD-1816-146.pdf#page=5","Abrir facsímil")</f>
        <v>Abrir facsímil</v>
      </c>
      <c r="K3493" s="3" t="s">
        <v>23</v>
      </c>
    </row>
    <row r="3494" spans="1:11" ht="42" customHeight="1">
      <c r="A3494" s="2" t="s">
        <v>8061</v>
      </c>
      <c r="B3494" s="2" t="s">
        <v>8062</v>
      </c>
      <c r="C3494" s="2" t="s">
        <v>81</v>
      </c>
      <c r="D3494" s="2" t="s">
        <v>18</v>
      </c>
      <c r="E3494" s="5">
        <v>-30352</v>
      </c>
      <c r="F3494" s="3" t="s">
        <v>407</v>
      </c>
      <c r="G3494" s="3" t="s">
        <v>72</v>
      </c>
      <c r="H3494" s="2" t="s">
        <v>21</v>
      </c>
      <c r="I3494" s="2" t="s">
        <v>8065</v>
      </c>
      <c r="J3494" s="3" t="str">
        <f>HYPERLINK("https://www.boe.es/gazeta/dias/1816/11/23/pdfs/GMD-1816-146.pdf#page=7","Abrir facsímil")</f>
        <v>Abrir facsímil</v>
      </c>
      <c r="K3494" s="3" t="s">
        <v>23</v>
      </c>
    </row>
    <row r="3495" spans="1:11" ht="42" customHeight="1">
      <c r="A3495" s="2" t="s">
        <v>8066</v>
      </c>
      <c r="B3495" s="2" t="s">
        <v>8067</v>
      </c>
      <c r="C3495" s="2" t="s">
        <v>111</v>
      </c>
      <c r="D3495" s="2" t="s">
        <v>112</v>
      </c>
      <c r="E3495" s="5">
        <v>-30380</v>
      </c>
      <c r="F3495" s="3" t="s">
        <v>819</v>
      </c>
      <c r="G3495" s="3" t="s">
        <v>47</v>
      </c>
      <c r="H3495" s="2" t="s">
        <v>21</v>
      </c>
      <c r="I3495" s="2" t="s">
        <v>8068</v>
      </c>
      <c r="J3495" s="3" t="str">
        <f>HYPERLINK("https://www.boe.es/gazeta/dias/1816/10/26/pdfs/GMD-1816-134.pdf#page=5","Abrir facsímil")</f>
        <v>Abrir facsímil</v>
      </c>
      <c r="K3495" s="3" t="s">
        <v>23</v>
      </c>
    </row>
    <row r="3496" spans="1:11" ht="42" customHeight="1">
      <c r="A3496" s="2" t="s">
        <v>8069</v>
      </c>
      <c r="B3496" s="2" t="s">
        <v>8070</v>
      </c>
      <c r="C3496" s="2" t="s">
        <v>34</v>
      </c>
      <c r="D3496" s="2" t="s">
        <v>35</v>
      </c>
      <c r="E3496" s="5">
        <v>-30340</v>
      </c>
      <c r="F3496" s="3" t="s">
        <v>1618</v>
      </c>
      <c r="G3496" s="3" t="s">
        <v>47</v>
      </c>
      <c r="H3496" s="2" t="s">
        <v>21</v>
      </c>
      <c r="I3496" s="2" t="s">
        <v>8071</v>
      </c>
      <c r="J3496" s="3" t="str">
        <f>HYPERLINK("https://www.boe.es/gazeta/dias/1816/12/05/pdfs/GMD-1816-151.pdf#page=5","Abrir facsímil")</f>
        <v>Abrir facsímil</v>
      </c>
      <c r="K3496" s="3" t="s">
        <v>23</v>
      </c>
    </row>
    <row r="3497" spans="1:11" ht="42" customHeight="1">
      <c r="A3497" s="2" t="s">
        <v>8072</v>
      </c>
      <c r="B3497" s="2" t="s">
        <v>8073</v>
      </c>
      <c r="C3497" s="2" t="s">
        <v>111</v>
      </c>
      <c r="D3497" s="2" t="s">
        <v>112</v>
      </c>
      <c r="E3497" s="5">
        <v>-30646</v>
      </c>
      <c r="F3497" s="3" t="s">
        <v>615</v>
      </c>
      <c r="G3497" s="3" t="s">
        <v>42</v>
      </c>
      <c r="H3497" s="2" t="s">
        <v>29</v>
      </c>
      <c r="I3497" s="2" t="s">
        <v>8074</v>
      </c>
      <c r="J3497" s="3" t="str">
        <f>HYPERLINK("https://www.boe.es/gazeta/dias/1816/02/03/pdfs/GMD-1816-16.pdf#page=8","Abrir facsímil")</f>
        <v>Abrir facsímil</v>
      </c>
      <c r="K3497" s="3" t="s">
        <v>31</v>
      </c>
    </row>
    <row r="3498" spans="1:11" ht="42" customHeight="1">
      <c r="A3498" s="2" t="s">
        <v>8075</v>
      </c>
      <c r="B3498" s="2" t="s">
        <v>8076</v>
      </c>
      <c r="C3498" s="2" t="s">
        <v>34</v>
      </c>
      <c r="D3498" s="2" t="s">
        <v>35</v>
      </c>
      <c r="E3498" s="5">
        <v>-30599</v>
      </c>
      <c r="F3498" s="3" t="s">
        <v>552</v>
      </c>
      <c r="G3498" s="3" t="s">
        <v>47</v>
      </c>
      <c r="H3498" s="2" t="s">
        <v>21</v>
      </c>
      <c r="I3498" s="2" t="s">
        <v>8077</v>
      </c>
      <c r="J3498" s="3" t="str">
        <f>HYPERLINK("https://www.boe.es/gazeta/dias/1816/03/21/pdfs/GMD-1816-38.pdf#page=5","Abrir facsímil")</f>
        <v>Abrir facsímil</v>
      </c>
      <c r="K3498" s="3" t="s">
        <v>23</v>
      </c>
    </row>
    <row r="3499" spans="1:11" ht="42" customHeight="1">
      <c r="A3499" s="2" t="s">
        <v>8078</v>
      </c>
      <c r="B3499" s="2" t="s">
        <v>8079</v>
      </c>
      <c r="C3499" s="2" t="s">
        <v>67</v>
      </c>
      <c r="D3499" s="2" t="s">
        <v>18</v>
      </c>
      <c r="E3499" s="5">
        <v>-30503</v>
      </c>
      <c r="F3499" s="3" t="s">
        <v>1600</v>
      </c>
      <c r="G3499" s="3" t="s">
        <v>42</v>
      </c>
      <c r="H3499" s="2" t="s">
        <v>21</v>
      </c>
      <c r="I3499" s="2" t="s">
        <v>8080</v>
      </c>
      <c r="J3499" s="3" t="str">
        <f>HYPERLINK("https://www.boe.es/gazeta/dias/1816/06/25/pdfs/GMD-1816-79.pdf#page=8","Abrir facsímil")</f>
        <v>Abrir facsímil</v>
      </c>
      <c r="K3499" s="3" t="s">
        <v>23</v>
      </c>
    </row>
    <row r="3500" spans="1:11" ht="42" customHeight="1">
      <c r="A3500" s="2" t="s">
        <v>8081</v>
      </c>
      <c r="B3500" s="2" t="s">
        <v>8082</v>
      </c>
      <c r="C3500" s="2" t="s">
        <v>41</v>
      </c>
      <c r="D3500" s="2" t="s">
        <v>18</v>
      </c>
      <c r="E3500" s="5">
        <v>-30494</v>
      </c>
      <c r="F3500" s="3" t="s">
        <v>174</v>
      </c>
      <c r="G3500" s="3" t="s">
        <v>175</v>
      </c>
      <c r="H3500" s="2" t="s">
        <v>21</v>
      </c>
      <c r="I3500" s="2" t="s">
        <v>8083</v>
      </c>
      <c r="J3500" s="3" t="str">
        <f>HYPERLINK("https://www.boe.es/gazeta/dias/1816/07/04/pdfs/GMD-1816-83.pdf#page=11","Abrir facsímil")</f>
        <v>Abrir facsímil</v>
      </c>
      <c r="K3500" s="3" t="s">
        <v>23</v>
      </c>
    </row>
    <row r="3501" spans="1:11" ht="42" customHeight="1">
      <c r="A3501" s="2" t="s">
        <v>8084</v>
      </c>
      <c r="B3501" s="2" t="s">
        <v>8085</v>
      </c>
      <c r="C3501" s="2" t="s">
        <v>34</v>
      </c>
      <c r="D3501" s="2" t="s">
        <v>35</v>
      </c>
      <c r="E3501" s="5">
        <v>-30356</v>
      </c>
      <c r="F3501" s="3" t="s">
        <v>824</v>
      </c>
      <c r="G3501" s="3" t="s">
        <v>28</v>
      </c>
      <c r="H3501" s="2" t="s">
        <v>21</v>
      </c>
      <c r="I3501" s="2" t="s">
        <v>8086</v>
      </c>
      <c r="J3501" s="3" t="str">
        <f>HYPERLINK("https://www.boe.es/gazeta/dias/1816/11/19/pdfs/GMD-1816-144.pdf#page=6","Abrir facsímil")</f>
        <v>Abrir facsímil</v>
      </c>
      <c r="K3501" s="3" t="s">
        <v>23</v>
      </c>
    </row>
    <row r="3502" spans="1:11" ht="42" customHeight="1">
      <c r="A3502" s="2" t="s">
        <v>8087</v>
      </c>
      <c r="B3502" s="2" t="s">
        <v>8088</v>
      </c>
      <c r="C3502" s="2" t="s">
        <v>34</v>
      </c>
      <c r="D3502" s="2" t="s">
        <v>35</v>
      </c>
      <c r="E3502" s="5">
        <v>-30415</v>
      </c>
      <c r="F3502" s="3" t="s">
        <v>585</v>
      </c>
      <c r="G3502" s="3" t="s">
        <v>1156</v>
      </c>
      <c r="H3502" s="2" t="s">
        <v>21</v>
      </c>
      <c r="I3502" s="2" t="s">
        <v>8089</v>
      </c>
      <c r="J3502" s="3" t="str">
        <f>HYPERLINK("https://www.boe.es/gazeta/dias/1816/09/21/pdfs/GMD-1816-117.pdf#page=7","Abrir facsímil")</f>
        <v>Abrir facsímil</v>
      </c>
      <c r="K3502" s="3" t="s">
        <v>23</v>
      </c>
    </row>
    <row r="3503" spans="1:11" ht="42" customHeight="1">
      <c r="A3503" s="2" t="s">
        <v>8090</v>
      </c>
      <c r="B3503" s="2" t="s">
        <v>8091</v>
      </c>
      <c r="C3503" s="2" t="s">
        <v>26</v>
      </c>
      <c r="D3503" s="2" t="s">
        <v>18</v>
      </c>
      <c r="E3503" s="5">
        <v>-30342</v>
      </c>
      <c r="F3503" s="3" t="s">
        <v>116</v>
      </c>
      <c r="G3503" s="3" t="s">
        <v>47</v>
      </c>
      <c r="H3503" s="2" t="s">
        <v>21</v>
      </c>
      <c r="I3503" s="2" t="s">
        <v>8092</v>
      </c>
      <c r="J3503" s="3" t="str">
        <f>HYPERLINK("https://www.boe.es/gazeta/dias/1816/12/03/pdfs/GMD-1816-150.pdf#page=5","Abrir facsímil")</f>
        <v>Abrir facsímil</v>
      </c>
      <c r="K3503" s="3" t="s">
        <v>23</v>
      </c>
    </row>
    <row r="3504" spans="1:11" ht="42" customHeight="1">
      <c r="A3504" s="2" t="s">
        <v>8093</v>
      </c>
      <c r="B3504" s="2" t="s">
        <v>8094</v>
      </c>
      <c r="C3504" s="2" t="s">
        <v>111</v>
      </c>
      <c r="D3504" s="2" t="s">
        <v>112</v>
      </c>
      <c r="E3504" s="5">
        <v>-30559</v>
      </c>
      <c r="F3504" s="3" t="s">
        <v>165</v>
      </c>
      <c r="G3504" s="3" t="s">
        <v>166</v>
      </c>
      <c r="H3504" s="2" t="s">
        <v>21</v>
      </c>
      <c r="I3504" s="2" t="s">
        <v>8095</v>
      </c>
      <c r="J3504" s="3" t="str">
        <f>HYPERLINK("https://www.boe.es/gazeta/dias/1816/04/30/pdfs/GMD-1816-55.pdf#page=7","Abrir facsímil")</f>
        <v>Abrir facsímil</v>
      </c>
      <c r="K3504" s="3" t="s">
        <v>23</v>
      </c>
    </row>
    <row r="3505" spans="1:11" ht="42" customHeight="1">
      <c r="A3505" s="2" t="s">
        <v>8096</v>
      </c>
      <c r="B3505" s="2" t="s">
        <v>8097</v>
      </c>
      <c r="C3505" s="2" t="s">
        <v>26</v>
      </c>
      <c r="D3505" s="2" t="s">
        <v>56</v>
      </c>
      <c r="E3505" s="5">
        <v>-30393</v>
      </c>
      <c r="F3505" s="3" t="s">
        <v>202</v>
      </c>
      <c r="G3505" s="3" t="s">
        <v>47</v>
      </c>
      <c r="H3505" s="2" t="s">
        <v>21</v>
      </c>
      <c r="I3505" s="2" t="s">
        <v>8098</v>
      </c>
      <c r="J3505" s="3" t="str">
        <f>HYPERLINK("https://www.boe.es/gazeta/dias/1816/10/13/pdfs/GMD-1816-128E.pdf#page=5","Abrir facsímil")</f>
        <v>Abrir facsímil</v>
      </c>
      <c r="K3505" s="3" t="s">
        <v>23</v>
      </c>
    </row>
    <row r="3506" spans="1:11" ht="42" customHeight="1">
      <c r="A3506" s="2" t="s">
        <v>8099</v>
      </c>
      <c r="B3506" s="2" t="s">
        <v>8100</v>
      </c>
      <c r="C3506" s="2" t="s">
        <v>41</v>
      </c>
      <c r="D3506" s="2" t="s">
        <v>18</v>
      </c>
      <c r="E3506" s="5">
        <v>-30643</v>
      </c>
      <c r="F3506" s="3" t="s">
        <v>620</v>
      </c>
      <c r="G3506" s="3" t="s">
        <v>42</v>
      </c>
      <c r="H3506" s="2" t="s">
        <v>21</v>
      </c>
      <c r="I3506" s="2" t="s">
        <v>8101</v>
      </c>
      <c r="J3506" s="3" t="str">
        <f>HYPERLINK("https://www.boe.es/gazeta/dias/1816/02/06/pdfs/GMD-1816-17.pdf#page=8","Abrir facsímil")</f>
        <v>Abrir facsímil</v>
      </c>
      <c r="K3506" s="3" t="s">
        <v>23</v>
      </c>
    </row>
    <row r="3507" spans="1:11" ht="42" customHeight="1">
      <c r="A3507" s="2" t="s">
        <v>8102</v>
      </c>
      <c r="B3507" s="2" t="s">
        <v>8103</v>
      </c>
      <c r="C3507" s="2" t="s">
        <v>26</v>
      </c>
      <c r="D3507" s="2" t="s">
        <v>18</v>
      </c>
      <c r="E3507" s="5">
        <v>-30410</v>
      </c>
      <c r="F3507" s="3" t="s">
        <v>1259</v>
      </c>
      <c r="G3507" s="3" t="s">
        <v>28</v>
      </c>
      <c r="H3507" s="2" t="s">
        <v>21</v>
      </c>
      <c r="I3507" s="2" t="s">
        <v>8104</v>
      </c>
      <c r="J3507" s="3" t="str">
        <f>HYPERLINK("https://www.boe.es/gazeta/dias/1816/09/26/pdfs/GMD-1816-119.pdf#page=6","Abrir facsímil")</f>
        <v>Abrir facsímil</v>
      </c>
      <c r="K3507" s="3" t="s">
        <v>23</v>
      </c>
    </row>
    <row r="3508" spans="1:11" ht="42" customHeight="1">
      <c r="A3508" s="2" t="s">
        <v>8105</v>
      </c>
      <c r="B3508" s="2" t="s">
        <v>8105</v>
      </c>
      <c r="C3508" s="2" t="s">
        <v>111</v>
      </c>
      <c r="D3508" s="2" t="s">
        <v>112</v>
      </c>
      <c r="E3508" s="5">
        <v>-30536</v>
      </c>
      <c r="F3508" s="3" t="s">
        <v>580</v>
      </c>
      <c r="G3508" s="3" t="s">
        <v>8106</v>
      </c>
      <c r="H3508" s="2" t="s">
        <v>21</v>
      </c>
      <c r="I3508" s="2" t="s">
        <v>8107</v>
      </c>
      <c r="J3508" s="3" t="str">
        <f>HYPERLINK("https://www.boe.es/gazeta/dias/1816/05/23/pdfs/GMD-1816-65.pdf#page=2","Abrir facsímil")</f>
        <v>Abrir facsímil</v>
      </c>
      <c r="K3508" s="3" t="s">
        <v>23</v>
      </c>
    </row>
    <row r="3509" spans="1:11" ht="42" customHeight="1">
      <c r="A3509" s="2" t="s">
        <v>8108</v>
      </c>
      <c r="B3509" s="2" t="s">
        <v>8109</v>
      </c>
      <c r="C3509" s="2" t="s">
        <v>41</v>
      </c>
      <c r="D3509" s="2" t="s">
        <v>18</v>
      </c>
      <c r="E3509" s="5">
        <v>-30536</v>
      </c>
      <c r="F3509" s="3" t="s">
        <v>580</v>
      </c>
      <c r="G3509" s="3" t="s">
        <v>8106</v>
      </c>
      <c r="H3509" s="2" t="s">
        <v>21</v>
      </c>
      <c r="I3509" s="2" t="s">
        <v>8110</v>
      </c>
      <c r="J3509" s="3" t="str">
        <f>HYPERLINK("https://www.boe.es/gazeta/dias/1816/05/23/pdfs/GMD-1816-65.pdf#page=2","Abrir facsímil")</f>
        <v>Abrir facsímil</v>
      </c>
      <c r="K3509" s="3" t="s">
        <v>23</v>
      </c>
    </row>
    <row r="3510" spans="1:11" ht="42" customHeight="1">
      <c r="A3510" s="2" t="s">
        <v>8111</v>
      </c>
      <c r="B3510" s="2" t="s">
        <v>8112</v>
      </c>
      <c r="C3510" s="2" t="s">
        <v>34</v>
      </c>
      <c r="D3510" s="2" t="s">
        <v>35</v>
      </c>
      <c r="E3510" s="5">
        <v>-30473</v>
      </c>
      <c r="F3510" s="3" t="s">
        <v>336</v>
      </c>
      <c r="G3510" s="3" t="s">
        <v>47</v>
      </c>
      <c r="H3510" s="2" t="s">
        <v>21</v>
      </c>
      <c r="I3510" s="2" t="s">
        <v>8113</v>
      </c>
      <c r="J3510" s="3" t="str">
        <f>HYPERLINK("https://www.boe.es/gazeta/dias/1816/07/25/pdfs/GMD-1816-92.pdf#page=5","Abrir facsímil")</f>
        <v>Abrir facsímil</v>
      </c>
      <c r="K3510" s="3" t="s">
        <v>23</v>
      </c>
    </row>
    <row r="3511" spans="1:11" ht="42" customHeight="1">
      <c r="A3511" s="2" t="s">
        <v>8114</v>
      </c>
      <c r="B3511" s="2" t="s">
        <v>8115</v>
      </c>
      <c r="C3511" s="2" t="s">
        <v>41</v>
      </c>
      <c r="D3511" s="2" t="s">
        <v>18</v>
      </c>
      <c r="E3511" s="5">
        <v>-30391</v>
      </c>
      <c r="F3511" s="3" t="s">
        <v>482</v>
      </c>
      <c r="G3511" s="3" t="s">
        <v>28</v>
      </c>
      <c r="H3511" s="2" t="s">
        <v>29</v>
      </c>
      <c r="I3511" s="2" t="s">
        <v>8116</v>
      </c>
      <c r="J3511" s="3" t="str">
        <f>HYPERLINK("https://www.boe.es/gazeta/dias/1816/10/15/pdfs/GMD-1816-129.pdf#page=6","Abrir facsímil")</f>
        <v>Abrir facsímil</v>
      </c>
      <c r="K3511" s="3" t="s">
        <v>31</v>
      </c>
    </row>
    <row r="3512" spans="1:11" ht="42" customHeight="1">
      <c r="A3512" s="2" t="s">
        <v>8117</v>
      </c>
      <c r="B3512" s="2" t="s">
        <v>8118</v>
      </c>
      <c r="C3512" s="2" t="s">
        <v>67</v>
      </c>
      <c r="D3512" s="2" t="s">
        <v>18</v>
      </c>
      <c r="E3512" s="5">
        <v>-30471</v>
      </c>
      <c r="F3512" s="3" t="s">
        <v>639</v>
      </c>
      <c r="G3512" s="3" t="s">
        <v>28</v>
      </c>
      <c r="H3512" s="2" t="s">
        <v>29</v>
      </c>
      <c r="I3512" s="2" t="s">
        <v>8119</v>
      </c>
      <c r="J3512" s="3" t="str">
        <f>HYPERLINK("https://www.boe.es/gazeta/dias/1816/07/27/pdfs/GMD-1816-93.pdf#page=6","Abrir facsímil")</f>
        <v>Abrir facsímil</v>
      </c>
      <c r="K3512" s="3" t="s">
        <v>31</v>
      </c>
    </row>
    <row r="3513" spans="1:11" ht="42" customHeight="1">
      <c r="A3513" s="2" t="s">
        <v>8120</v>
      </c>
      <c r="B3513" s="2" t="s">
        <v>8121</v>
      </c>
      <c r="C3513" s="2" t="s">
        <v>26</v>
      </c>
      <c r="D3513" s="2" t="s">
        <v>18</v>
      </c>
      <c r="E3513" s="5">
        <v>-30606</v>
      </c>
      <c r="F3513" s="3" t="s">
        <v>761</v>
      </c>
      <c r="G3513" s="3" t="s">
        <v>72</v>
      </c>
      <c r="H3513" s="2" t="s">
        <v>21</v>
      </c>
      <c r="I3513" s="2" t="s">
        <v>8122</v>
      </c>
      <c r="J3513" s="3" t="str">
        <f>HYPERLINK("https://www.boe.es/gazeta/dias/1816/03/14/pdfs/GMD-1816-34.pdf#page=7","Abrir facsímil")</f>
        <v>Abrir facsímil</v>
      </c>
      <c r="K3513" s="3" t="s">
        <v>23</v>
      </c>
    </row>
    <row r="3514" spans="1:11" ht="42" customHeight="1">
      <c r="A3514" s="2" t="s">
        <v>8120</v>
      </c>
      <c r="B3514" s="2" t="s">
        <v>8121</v>
      </c>
      <c r="C3514" s="2" t="s">
        <v>34</v>
      </c>
      <c r="D3514" s="2" t="s">
        <v>35</v>
      </c>
      <c r="E3514" s="5">
        <v>-30384</v>
      </c>
      <c r="F3514" s="3" t="s">
        <v>460</v>
      </c>
      <c r="G3514" s="3" t="s">
        <v>47</v>
      </c>
      <c r="H3514" s="2" t="s">
        <v>21</v>
      </c>
      <c r="I3514" s="2" t="s">
        <v>8123</v>
      </c>
      <c r="J3514" s="3" t="str">
        <f>HYPERLINK("https://www.boe.es/gazeta/dias/1816/10/22/pdfs/GMD-1816-132.pdf#page=5","Abrir facsímil")</f>
        <v>Abrir facsímil</v>
      </c>
      <c r="K3514" s="3" t="s">
        <v>23</v>
      </c>
    </row>
    <row r="3515" spans="1:11" ht="42" customHeight="1">
      <c r="A3515" s="2" t="s">
        <v>8124</v>
      </c>
      <c r="B3515" s="2" t="s">
        <v>8125</v>
      </c>
      <c r="C3515" s="2" t="s">
        <v>34</v>
      </c>
      <c r="D3515" s="2" t="s">
        <v>35</v>
      </c>
      <c r="E3515" s="5">
        <v>-30594</v>
      </c>
      <c r="F3515" s="3" t="s">
        <v>234</v>
      </c>
      <c r="G3515" s="3" t="s">
        <v>184</v>
      </c>
      <c r="H3515" s="2" t="s">
        <v>21</v>
      </c>
      <c r="I3515" s="2" t="s">
        <v>8126</v>
      </c>
      <c r="J3515" s="3" t="str">
        <f>HYPERLINK("https://www.boe.es/gazeta/dias/1816/03/26/pdfs/GMD-1816-40.pdf#page=3","Abrir facsímil")</f>
        <v>Abrir facsímil</v>
      </c>
      <c r="K3515" s="3" t="s">
        <v>23</v>
      </c>
    </row>
    <row r="3516" spans="1:11" ht="42" customHeight="1">
      <c r="A3516" s="2" t="s">
        <v>8127</v>
      </c>
      <c r="B3516" s="2" t="s">
        <v>8128</v>
      </c>
      <c r="C3516" s="2" t="s">
        <v>26</v>
      </c>
      <c r="D3516" s="2" t="s">
        <v>18</v>
      </c>
      <c r="E3516" s="5">
        <v>-30606</v>
      </c>
      <c r="F3516" s="3" t="s">
        <v>761</v>
      </c>
      <c r="G3516" s="3" t="s">
        <v>72</v>
      </c>
      <c r="H3516" s="2" t="s">
        <v>21</v>
      </c>
      <c r="I3516" s="2" t="s">
        <v>8129</v>
      </c>
      <c r="J3516" s="3" t="str">
        <f>HYPERLINK("https://www.boe.es/gazeta/dias/1816/03/14/pdfs/GMD-1816-34.pdf#page=7","Abrir facsímil")</f>
        <v>Abrir facsímil</v>
      </c>
      <c r="K3516" s="3" t="s">
        <v>23</v>
      </c>
    </row>
    <row r="3517" spans="1:11" ht="42" customHeight="1">
      <c r="A3517" s="2" t="s">
        <v>8130</v>
      </c>
      <c r="B3517" s="2" t="s">
        <v>8131</v>
      </c>
      <c r="C3517" s="2" t="s">
        <v>26</v>
      </c>
      <c r="D3517" s="2" t="s">
        <v>18</v>
      </c>
      <c r="E3517" s="5">
        <v>-30606</v>
      </c>
      <c r="F3517" s="3" t="s">
        <v>761</v>
      </c>
      <c r="G3517" s="3" t="s">
        <v>72</v>
      </c>
      <c r="H3517" s="2" t="s">
        <v>21</v>
      </c>
      <c r="I3517" s="2" t="s">
        <v>8132</v>
      </c>
      <c r="J3517" s="3" t="str">
        <f>HYPERLINK("https://www.boe.es/gazeta/dias/1816/03/14/pdfs/GMD-1816-34.pdf#page=7","Abrir facsímil")</f>
        <v>Abrir facsímil</v>
      </c>
      <c r="K3517" s="3" t="s">
        <v>23</v>
      </c>
    </row>
    <row r="3518" spans="1:11" ht="42" customHeight="1">
      <c r="A3518" s="2" t="s">
        <v>8133</v>
      </c>
      <c r="B3518" s="2" t="s">
        <v>8134</v>
      </c>
      <c r="C3518" s="2" t="s">
        <v>26</v>
      </c>
      <c r="D3518" s="2" t="s">
        <v>18</v>
      </c>
      <c r="E3518" s="5">
        <v>-30583</v>
      </c>
      <c r="F3518" s="3" t="s">
        <v>241</v>
      </c>
      <c r="G3518" s="3" t="s">
        <v>42</v>
      </c>
      <c r="H3518" s="2" t="s">
        <v>21</v>
      </c>
      <c r="I3518" s="2" t="s">
        <v>8135</v>
      </c>
      <c r="J3518" s="3" t="str">
        <f>HYPERLINK("https://www.boe.es/gazeta/dias/1816/04/06/pdfs/GMD-1816-45.pdf#page=8","Abrir facsímil")</f>
        <v>Abrir facsímil</v>
      </c>
      <c r="K3518" s="3" t="s">
        <v>23</v>
      </c>
    </row>
    <row r="3519" spans="1:11" ht="42" customHeight="1">
      <c r="A3519" s="2" t="s">
        <v>8136</v>
      </c>
      <c r="B3519" s="2" t="s">
        <v>8136</v>
      </c>
      <c r="C3519" s="2" t="s">
        <v>34</v>
      </c>
      <c r="D3519" s="2" t="s">
        <v>35</v>
      </c>
      <c r="E3519" s="5">
        <v>-30622</v>
      </c>
      <c r="F3519" s="3" t="s">
        <v>27</v>
      </c>
      <c r="G3519" s="3" t="s">
        <v>184</v>
      </c>
      <c r="H3519" s="2" t="s">
        <v>21</v>
      </c>
      <c r="I3519" s="2" t="s">
        <v>8137</v>
      </c>
      <c r="J3519" s="3" t="str">
        <f>HYPERLINK("https://www.boe.es/gazeta/dias/1816/02/27/pdfs/GMD-1816-26.pdf#page=3","Abrir facsímil")</f>
        <v>Abrir facsímil</v>
      </c>
      <c r="K3519" s="3" t="s">
        <v>23</v>
      </c>
    </row>
    <row r="3520" spans="1:11" ht="42" customHeight="1">
      <c r="A3520" s="2" t="s">
        <v>8138</v>
      </c>
      <c r="B3520" s="2" t="s">
        <v>8139</v>
      </c>
      <c r="C3520" s="2" t="s">
        <v>26</v>
      </c>
      <c r="D3520" s="2" t="s">
        <v>18</v>
      </c>
      <c r="E3520" s="5">
        <v>-30655</v>
      </c>
      <c r="F3520" s="3" t="s">
        <v>170</v>
      </c>
      <c r="G3520" s="3" t="s">
        <v>72</v>
      </c>
      <c r="H3520" s="2" t="s">
        <v>21</v>
      </c>
      <c r="I3520" s="2" t="s">
        <v>8140</v>
      </c>
      <c r="J3520" s="3" t="str">
        <f>HYPERLINK("https://www.boe.es/gazeta/dias/1816/01/25/pdfs/GMD-1816-11.pdf#page=7","Abrir facsímil")</f>
        <v>Abrir facsímil</v>
      </c>
      <c r="K3520" s="3" t="s">
        <v>23</v>
      </c>
    </row>
    <row r="3521" spans="1:11" ht="42" customHeight="1">
      <c r="A3521" s="2" t="s">
        <v>8141</v>
      </c>
      <c r="B3521" s="2" t="s">
        <v>8142</v>
      </c>
      <c r="C3521" s="2" t="s">
        <v>34</v>
      </c>
      <c r="D3521" s="2" t="s">
        <v>35</v>
      </c>
      <c r="E3521" s="5">
        <v>-30326</v>
      </c>
      <c r="F3521" s="3" t="s">
        <v>377</v>
      </c>
      <c r="G3521" s="3" t="s">
        <v>28</v>
      </c>
      <c r="H3521" s="2" t="s">
        <v>21</v>
      </c>
      <c r="I3521" s="2" t="s">
        <v>8143</v>
      </c>
      <c r="J3521" s="3" t="str">
        <f>HYPERLINK("https://www.boe.es/gazeta/dias/1816/12/19/pdfs/GMD-1816-157.pdf#page=6","Abrir facsímil")</f>
        <v>Abrir facsímil</v>
      </c>
      <c r="K3521" s="3" t="s">
        <v>23</v>
      </c>
    </row>
    <row r="3522" spans="1:11" ht="42" customHeight="1">
      <c r="A3522" s="2" t="s">
        <v>8144</v>
      </c>
      <c r="B3522" s="2" t="s">
        <v>8145</v>
      </c>
      <c r="C3522" s="2" t="s">
        <v>34</v>
      </c>
      <c r="D3522" s="2" t="s">
        <v>35</v>
      </c>
      <c r="E3522" s="5">
        <v>-30678</v>
      </c>
      <c r="F3522" s="3" t="s">
        <v>76</v>
      </c>
      <c r="G3522" s="3" t="s">
        <v>2221</v>
      </c>
      <c r="H3522" s="2" t="s">
        <v>21</v>
      </c>
      <c r="I3522" s="2" t="s">
        <v>8146</v>
      </c>
      <c r="J3522" s="3" t="str">
        <f>HYPERLINK("https://www.boe.es/gazeta/dias/1816/01/02/pdfs/GMD-1816-1.pdf#page=7","Abrir facsímil")</f>
        <v>Abrir facsímil</v>
      </c>
      <c r="K3522" s="3" t="s">
        <v>23</v>
      </c>
    </row>
    <row r="3523" spans="1:11" ht="42" customHeight="1">
      <c r="A3523" s="2" t="s">
        <v>8147</v>
      </c>
      <c r="B3523" s="2" t="s">
        <v>8148</v>
      </c>
      <c r="C3523" s="2" t="s">
        <v>387</v>
      </c>
      <c r="D3523" s="2" t="s">
        <v>18</v>
      </c>
      <c r="E3523" s="5">
        <v>-30415</v>
      </c>
      <c r="F3523" s="3" t="s">
        <v>585</v>
      </c>
      <c r="G3523" s="3" t="s">
        <v>52</v>
      </c>
      <c r="H3523" s="2" t="s">
        <v>21</v>
      </c>
      <c r="I3523" s="2" t="s">
        <v>8149</v>
      </c>
      <c r="J3523" s="3" t="str">
        <f>HYPERLINK("https://www.boe.es/gazeta/dias/1816/09/21/pdfs/GMD-1816-117.pdf#page=12","Abrir facsímil")</f>
        <v>Abrir facsímil</v>
      </c>
      <c r="K3523" s="3" t="s">
        <v>23</v>
      </c>
    </row>
    <row r="3524" spans="1:11" ht="42" customHeight="1">
      <c r="A3524" s="2" t="s">
        <v>8150</v>
      </c>
      <c r="B3524" s="2" t="s">
        <v>8151</v>
      </c>
      <c r="C3524" s="2" t="s">
        <v>41</v>
      </c>
      <c r="D3524" s="2" t="s">
        <v>18</v>
      </c>
      <c r="E3524" s="5">
        <v>-30671</v>
      </c>
      <c r="F3524" s="3" t="s">
        <v>2049</v>
      </c>
      <c r="G3524" s="3" t="s">
        <v>47</v>
      </c>
      <c r="H3524" s="2" t="s">
        <v>21</v>
      </c>
      <c r="I3524" s="2" t="s">
        <v>8152</v>
      </c>
      <c r="J3524" s="3" t="str">
        <f>HYPERLINK("https://www.boe.es/gazeta/dias/1816/01/09/pdfs/GMD-1816-4.pdf#page=5","Abrir facsímil")</f>
        <v>Abrir facsímil</v>
      </c>
      <c r="K3524" s="3" t="s">
        <v>23</v>
      </c>
    </row>
    <row r="3525" spans="1:11" ht="42" customHeight="1">
      <c r="A3525" s="2" t="s">
        <v>8153</v>
      </c>
      <c r="B3525" s="2" t="s">
        <v>8154</v>
      </c>
      <c r="C3525" s="2" t="s">
        <v>67</v>
      </c>
      <c r="D3525" s="2" t="s">
        <v>18</v>
      </c>
      <c r="E3525" s="5">
        <v>-30373</v>
      </c>
      <c r="F3525" s="3" t="s">
        <v>1280</v>
      </c>
      <c r="G3525" s="3" t="s">
        <v>47</v>
      </c>
      <c r="H3525" s="2" t="s">
        <v>29</v>
      </c>
      <c r="I3525" s="2" t="s">
        <v>8155</v>
      </c>
      <c r="J3525" s="3" t="str">
        <f>HYPERLINK("https://www.boe.es/gazeta/dias/1816/11/02/pdfs/GMD-1816-137.pdf#page=5","Abrir facsímil")</f>
        <v>Abrir facsímil</v>
      </c>
      <c r="K3525" s="3" t="s">
        <v>31</v>
      </c>
    </row>
    <row r="3526" spans="1:11" ht="42" customHeight="1">
      <c r="A3526" s="2" t="s">
        <v>8156</v>
      </c>
      <c r="B3526" s="2" t="s">
        <v>8157</v>
      </c>
      <c r="C3526" s="2" t="s">
        <v>67</v>
      </c>
      <c r="D3526" s="2" t="s">
        <v>56</v>
      </c>
      <c r="E3526" s="5">
        <v>-30393</v>
      </c>
      <c r="F3526" s="3" t="s">
        <v>202</v>
      </c>
      <c r="G3526" s="3" t="s">
        <v>58</v>
      </c>
      <c r="H3526" s="2" t="s">
        <v>29</v>
      </c>
      <c r="I3526" s="2" t="s">
        <v>8158</v>
      </c>
      <c r="J3526" s="3" t="str">
        <f>HYPERLINK("https://www.boe.es/gazeta/dias/1816/10/13/pdfs/GMD-1816-128E.pdf#page=1","Abrir facsímil")</f>
        <v>Abrir facsímil</v>
      </c>
      <c r="K3526" s="3" t="s">
        <v>31</v>
      </c>
    </row>
    <row r="3527" spans="1:11" ht="42" customHeight="1">
      <c r="A3527" s="2" t="s">
        <v>8159</v>
      </c>
      <c r="B3527" s="2" t="s">
        <v>8160</v>
      </c>
      <c r="C3527" s="2" t="s">
        <v>26</v>
      </c>
      <c r="D3527" s="2" t="s">
        <v>18</v>
      </c>
      <c r="E3527" s="5">
        <v>-30340</v>
      </c>
      <c r="F3527" s="3" t="s">
        <v>1618</v>
      </c>
      <c r="G3527" s="3" t="s">
        <v>47</v>
      </c>
      <c r="H3527" s="2" t="s">
        <v>29</v>
      </c>
      <c r="I3527" s="2" t="s">
        <v>8161</v>
      </c>
      <c r="J3527" s="3" t="str">
        <f>HYPERLINK("https://www.boe.es/gazeta/dias/1816/12/05/pdfs/GMD-1816-151.pdf#page=5","Abrir facsímil")</f>
        <v>Abrir facsímil</v>
      </c>
      <c r="K3527" s="3" t="s">
        <v>31</v>
      </c>
    </row>
    <row r="3528" spans="1:11" ht="42" customHeight="1">
      <c r="A3528" s="2" t="s">
        <v>8162</v>
      </c>
      <c r="B3528" s="2" t="s">
        <v>8163</v>
      </c>
      <c r="C3528" s="2" t="s">
        <v>34</v>
      </c>
      <c r="D3528" s="2" t="s">
        <v>35</v>
      </c>
      <c r="E3528" s="5">
        <v>-30342</v>
      </c>
      <c r="F3528" s="3" t="s">
        <v>116</v>
      </c>
      <c r="G3528" s="3" t="s">
        <v>47</v>
      </c>
      <c r="H3528" s="2" t="s">
        <v>21</v>
      </c>
      <c r="I3528" s="2" t="s">
        <v>8164</v>
      </c>
      <c r="J3528" s="3" t="str">
        <f>HYPERLINK("https://www.boe.es/gazeta/dias/1816/12/03/pdfs/GMD-1816-150.pdf#page=5","Abrir facsímil")</f>
        <v>Abrir facsímil</v>
      </c>
      <c r="K3528" s="3" t="s">
        <v>23</v>
      </c>
    </row>
    <row r="3529" spans="1:11" ht="42" customHeight="1">
      <c r="A3529" s="2" t="s">
        <v>8165</v>
      </c>
      <c r="B3529" s="2" t="s">
        <v>8166</v>
      </c>
      <c r="C3529" s="2" t="s">
        <v>111</v>
      </c>
      <c r="D3529" s="2" t="s">
        <v>112</v>
      </c>
      <c r="E3529" s="5">
        <v>-30576</v>
      </c>
      <c r="F3529" s="3" t="s">
        <v>353</v>
      </c>
      <c r="G3529" s="3" t="s">
        <v>42</v>
      </c>
      <c r="H3529" s="2" t="s">
        <v>21</v>
      </c>
      <c r="I3529" s="2" t="s">
        <v>8167</v>
      </c>
      <c r="J3529" s="3" t="str">
        <f>HYPERLINK("https://www.boe.es/gazeta/dias/1816/04/13/pdfs/GMD-1816-48.pdf#page=8","Abrir facsímil")</f>
        <v>Abrir facsímil</v>
      </c>
      <c r="K3529" s="3" t="s">
        <v>23</v>
      </c>
    </row>
    <row r="3530" spans="1:11" ht="42" customHeight="1">
      <c r="A3530" s="2" t="s">
        <v>8168</v>
      </c>
      <c r="B3530" s="2" t="s">
        <v>8169</v>
      </c>
      <c r="C3530" s="2" t="s">
        <v>81</v>
      </c>
      <c r="D3530" s="2" t="s">
        <v>18</v>
      </c>
      <c r="E3530" s="5">
        <v>-30620</v>
      </c>
      <c r="F3530" s="3" t="s">
        <v>622</v>
      </c>
      <c r="G3530" s="3" t="s">
        <v>72</v>
      </c>
      <c r="H3530" s="2" t="s">
        <v>21</v>
      </c>
      <c r="I3530" s="2" t="s">
        <v>8170</v>
      </c>
      <c r="J3530" s="3" t="str">
        <f>HYPERLINK("https://www.boe.es/gazeta/dias/1816/02/29/pdfs/GMD-1816-28.pdf#page=7","Abrir facsímil")</f>
        <v>Abrir facsímil</v>
      </c>
      <c r="K3530" s="3" t="s">
        <v>23</v>
      </c>
    </row>
    <row r="3531" spans="1:11" ht="42" customHeight="1">
      <c r="A3531" s="2" t="s">
        <v>8171</v>
      </c>
      <c r="B3531" s="2" t="s">
        <v>8172</v>
      </c>
      <c r="C3531" s="2" t="s">
        <v>111</v>
      </c>
      <c r="D3531" s="2" t="s">
        <v>112</v>
      </c>
      <c r="E3531" s="5">
        <v>-30382</v>
      </c>
      <c r="F3531" s="3" t="s">
        <v>326</v>
      </c>
      <c r="G3531" s="3" t="s">
        <v>28</v>
      </c>
      <c r="H3531" s="2" t="s">
        <v>29</v>
      </c>
      <c r="I3531" s="2" t="s">
        <v>8173</v>
      </c>
      <c r="J3531" s="3" t="str">
        <f>HYPERLINK("https://www.boe.es/gazeta/dias/1816/10/24/pdfs/GMD-1816-133.pdf#page=6","Abrir facsímil")</f>
        <v>Abrir facsímil</v>
      </c>
      <c r="K3531" s="3" t="s">
        <v>31</v>
      </c>
    </row>
    <row r="3532" spans="1:11" ht="42" customHeight="1">
      <c r="A3532" s="2" t="s">
        <v>8174</v>
      </c>
      <c r="B3532" s="2" t="s">
        <v>8175</v>
      </c>
      <c r="C3532" s="2" t="s">
        <v>111</v>
      </c>
      <c r="D3532" s="2" t="s">
        <v>112</v>
      </c>
      <c r="E3532" s="5">
        <v>-30375</v>
      </c>
      <c r="F3532" s="3" t="s">
        <v>404</v>
      </c>
      <c r="G3532" s="3" t="s">
        <v>1278</v>
      </c>
      <c r="H3532" s="2" t="s">
        <v>21</v>
      </c>
      <c r="I3532" s="2" t="s">
        <v>8176</v>
      </c>
      <c r="J3532" s="3" t="str">
        <f>HYPERLINK("https://www.boe.es/gazeta/dias/1816/10/31/pdfs/GMD-1816-136.pdf#page=7","Abrir facsímil")</f>
        <v>Abrir facsímil</v>
      </c>
      <c r="K3532" s="3" t="s">
        <v>23</v>
      </c>
    </row>
    <row r="3533" spans="1:11" ht="42" customHeight="1">
      <c r="A3533" s="2" t="s">
        <v>8177</v>
      </c>
      <c r="B3533" s="2" t="s">
        <v>8178</v>
      </c>
      <c r="C3533" s="2" t="s">
        <v>26</v>
      </c>
      <c r="D3533" s="2" t="s">
        <v>56</v>
      </c>
      <c r="E3533" s="5">
        <v>-30393</v>
      </c>
      <c r="F3533" s="3" t="s">
        <v>202</v>
      </c>
      <c r="G3533" s="3" t="s">
        <v>834</v>
      </c>
      <c r="H3533" s="2" t="s">
        <v>21</v>
      </c>
      <c r="I3533" s="2" t="s">
        <v>8179</v>
      </c>
      <c r="J3533" s="3" t="str">
        <f>HYPERLINK("https://www.boe.es/gazeta/dias/1816/10/13/pdfs/GMD-1816-128E.pdf#page=6","Abrir facsímil")</f>
        <v>Abrir facsímil</v>
      </c>
      <c r="K3533" s="3" t="s">
        <v>23</v>
      </c>
    </row>
    <row r="3534" spans="1:11" ht="42" customHeight="1">
      <c r="A3534" s="2" t="s">
        <v>8180</v>
      </c>
      <c r="B3534" s="2" t="s">
        <v>8181</v>
      </c>
      <c r="C3534" s="2" t="s">
        <v>34</v>
      </c>
      <c r="D3534" s="2" t="s">
        <v>35</v>
      </c>
      <c r="E3534" s="5">
        <v>-30662</v>
      </c>
      <c r="F3534" s="3" t="s">
        <v>485</v>
      </c>
      <c r="G3534" s="3" t="s">
        <v>47</v>
      </c>
      <c r="H3534" s="2" t="s">
        <v>21</v>
      </c>
      <c r="I3534" s="2" t="s">
        <v>8182</v>
      </c>
      <c r="J3534" s="3" t="str">
        <f>HYPERLINK("https://www.boe.es/gazeta/dias/1816/01/18/pdfs/GMD-1816-8.pdf#page=5","Abrir facsímil")</f>
        <v>Abrir facsímil</v>
      </c>
      <c r="K3534" s="3" t="s">
        <v>23</v>
      </c>
    </row>
    <row r="3535" spans="1:11" ht="42" customHeight="1">
      <c r="A3535" s="2" t="s">
        <v>8183</v>
      </c>
      <c r="B3535" s="2" t="s">
        <v>8184</v>
      </c>
      <c r="C3535" s="2" t="s">
        <v>26</v>
      </c>
      <c r="D3535" s="2" t="s">
        <v>18</v>
      </c>
      <c r="E3535" s="5">
        <v>-30576</v>
      </c>
      <c r="F3535" s="3" t="s">
        <v>353</v>
      </c>
      <c r="G3535" s="3" t="s">
        <v>72</v>
      </c>
      <c r="H3535" s="2" t="s">
        <v>21</v>
      </c>
      <c r="I3535" s="2" t="s">
        <v>8185</v>
      </c>
      <c r="J3535" s="3" t="str">
        <f>HYPERLINK("https://www.boe.es/gazeta/dias/1816/04/13/pdfs/GMD-1816-48.pdf#page=7","Abrir facsímil")</f>
        <v>Abrir facsímil</v>
      </c>
      <c r="K3535" s="3" t="s">
        <v>23</v>
      </c>
    </row>
    <row r="3536" spans="1:11" ht="42" customHeight="1">
      <c r="A3536" s="2" t="s">
        <v>8186</v>
      </c>
      <c r="B3536" s="2" t="s">
        <v>8187</v>
      </c>
      <c r="C3536" s="2" t="s">
        <v>26</v>
      </c>
      <c r="D3536" s="2" t="s">
        <v>56</v>
      </c>
      <c r="E3536" s="5">
        <v>-30393</v>
      </c>
      <c r="F3536" s="3" t="s">
        <v>202</v>
      </c>
      <c r="G3536" s="3" t="s">
        <v>203</v>
      </c>
      <c r="H3536" s="2" t="s">
        <v>21</v>
      </c>
      <c r="I3536" s="2" t="s">
        <v>8188</v>
      </c>
      <c r="J3536" s="3" t="str">
        <f>HYPERLINK("https://www.boe.es/gazeta/dias/1816/10/13/pdfs/GMD-1816-128E.pdf#page=7","Abrir facsímil")</f>
        <v>Abrir facsímil</v>
      </c>
      <c r="K3536" s="3" t="s">
        <v>23</v>
      </c>
    </row>
    <row r="3537" spans="1:11" ht="42" customHeight="1">
      <c r="A3537" s="2" t="s">
        <v>8189</v>
      </c>
      <c r="B3537" s="2" t="s">
        <v>8190</v>
      </c>
      <c r="C3537" s="2" t="s">
        <v>34</v>
      </c>
      <c r="D3537" s="2" t="s">
        <v>56</v>
      </c>
      <c r="E3537" s="5">
        <v>-30393</v>
      </c>
      <c r="F3537" s="3" t="s">
        <v>202</v>
      </c>
      <c r="G3537" s="3" t="s">
        <v>184</v>
      </c>
      <c r="H3537" s="2" t="s">
        <v>21</v>
      </c>
      <c r="I3537" s="2" t="s">
        <v>8191</v>
      </c>
      <c r="J3537" s="3" t="str">
        <f>HYPERLINK("https://www.boe.es/gazeta/dias/1816/10/13/pdfs/GMD-1816-128E.pdf#page=3","Abrir facsímil")</f>
        <v>Abrir facsímil</v>
      </c>
      <c r="K3537" s="3" t="s">
        <v>23</v>
      </c>
    </row>
    <row r="3538" spans="1:11" ht="42" customHeight="1">
      <c r="A3538" s="2" t="s">
        <v>8192</v>
      </c>
      <c r="B3538" s="2" t="s">
        <v>8193</v>
      </c>
      <c r="C3538" s="2" t="s">
        <v>111</v>
      </c>
      <c r="D3538" s="2" t="s">
        <v>112</v>
      </c>
      <c r="E3538" s="5">
        <v>-30506</v>
      </c>
      <c r="F3538" s="3" t="s">
        <v>220</v>
      </c>
      <c r="G3538" s="3" t="s">
        <v>42</v>
      </c>
      <c r="H3538" s="2" t="s">
        <v>21</v>
      </c>
      <c r="I3538" s="2" t="s">
        <v>8194</v>
      </c>
      <c r="J3538" s="3" t="str">
        <f>HYPERLINK("https://www.boe.es/gazeta/dias/1816/06/22/pdfs/GMD-1816-78.pdf#page=8","Abrir facsímil")</f>
        <v>Abrir facsímil</v>
      </c>
      <c r="K3538" s="3" t="s">
        <v>23</v>
      </c>
    </row>
    <row r="3539" spans="1:11" ht="42" customHeight="1">
      <c r="A3539" s="2" t="s">
        <v>8195</v>
      </c>
      <c r="B3539" s="2" t="s">
        <v>8196</v>
      </c>
      <c r="C3539" s="2" t="s">
        <v>41</v>
      </c>
      <c r="D3539" s="2" t="s">
        <v>18</v>
      </c>
      <c r="E3539" s="5">
        <v>-30396</v>
      </c>
      <c r="F3539" s="3" t="s">
        <v>1623</v>
      </c>
      <c r="G3539" s="3" t="s">
        <v>52</v>
      </c>
      <c r="H3539" s="2" t="s">
        <v>21</v>
      </c>
      <c r="I3539" s="2" t="s">
        <v>8197</v>
      </c>
      <c r="J3539" s="3" t="str">
        <f>HYPERLINK("https://www.boe.es/gazeta/dias/1816/10/10/pdfs/GMD-1816-126.pdf#page=12","Abrir facsímil")</f>
        <v>Abrir facsímil</v>
      </c>
      <c r="K3539" s="3" t="s">
        <v>23</v>
      </c>
    </row>
    <row r="3540" spans="1:11" ht="42" customHeight="1">
      <c r="A3540" s="2" t="s">
        <v>8198</v>
      </c>
      <c r="B3540" s="2" t="s">
        <v>8199</v>
      </c>
      <c r="C3540" s="2" t="s">
        <v>26</v>
      </c>
      <c r="D3540" s="2" t="s">
        <v>18</v>
      </c>
      <c r="E3540" s="5">
        <v>-30478</v>
      </c>
      <c r="F3540" s="3" t="s">
        <v>123</v>
      </c>
      <c r="G3540" s="3" t="s">
        <v>28</v>
      </c>
      <c r="H3540" s="2" t="s">
        <v>21</v>
      </c>
      <c r="I3540" s="2" t="s">
        <v>8200</v>
      </c>
      <c r="J3540" s="3" t="str">
        <f>HYPERLINK("https://www.boe.es/gazeta/dias/1816/07/20/pdfs/GMD-1816-90.pdf#page=6","Abrir facsímil")</f>
        <v>Abrir facsímil</v>
      </c>
      <c r="K3540" s="3" t="s">
        <v>23</v>
      </c>
    </row>
    <row r="3541" spans="1:11" ht="42" customHeight="1">
      <c r="A3541" s="2" t="s">
        <v>8201</v>
      </c>
      <c r="B3541" s="2" t="s">
        <v>8202</v>
      </c>
      <c r="C3541" s="2" t="s">
        <v>34</v>
      </c>
      <c r="D3541" s="2" t="s">
        <v>35</v>
      </c>
      <c r="E3541" s="5">
        <v>-30552</v>
      </c>
      <c r="F3541" s="3" t="s">
        <v>1842</v>
      </c>
      <c r="G3541" s="3" t="s">
        <v>72</v>
      </c>
      <c r="H3541" s="2" t="s">
        <v>29</v>
      </c>
      <c r="I3541" s="2" t="s">
        <v>8203</v>
      </c>
      <c r="J3541" s="3" t="str">
        <f>HYPERLINK("https://www.boe.es/gazeta/dias/1816/05/07/pdfs/GMD-1816-58.pdf#page=7","Abrir facsímil")</f>
        <v>Abrir facsímil</v>
      </c>
      <c r="K3541" s="3" t="s">
        <v>31</v>
      </c>
    </row>
    <row r="3542" spans="1:11" ht="42" customHeight="1">
      <c r="A3542" s="2" t="s">
        <v>8204</v>
      </c>
      <c r="B3542" s="2" t="s">
        <v>8205</v>
      </c>
      <c r="C3542" s="2" t="s">
        <v>67</v>
      </c>
      <c r="D3542" s="2" t="s">
        <v>18</v>
      </c>
      <c r="E3542" s="5">
        <v>-30443</v>
      </c>
      <c r="F3542" s="3" t="s">
        <v>259</v>
      </c>
      <c r="G3542" s="3" t="s">
        <v>260</v>
      </c>
      <c r="H3542" s="2" t="s">
        <v>21</v>
      </c>
      <c r="I3542" s="2" t="s">
        <v>8206</v>
      </c>
      <c r="J3542" s="3" t="str">
        <f>HYPERLINK("https://www.boe.es/gazeta/dias/1816/08/24/pdfs/GMD-1816-105.pdf#page=8","Abrir facsímil")</f>
        <v>Abrir facsímil</v>
      </c>
      <c r="K3542" s="3" t="s">
        <v>23</v>
      </c>
    </row>
    <row r="3543" spans="1:11" ht="42" customHeight="1">
      <c r="A3543" s="2" t="s">
        <v>8204</v>
      </c>
      <c r="B3543" s="2" t="s">
        <v>8205</v>
      </c>
      <c r="C3543" s="2" t="s">
        <v>41</v>
      </c>
      <c r="D3543" s="2" t="s">
        <v>18</v>
      </c>
      <c r="E3543" s="5">
        <v>-30419</v>
      </c>
      <c r="F3543" s="3" t="s">
        <v>1256</v>
      </c>
      <c r="G3543" s="3" t="s">
        <v>2162</v>
      </c>
      <c r="H3543" s="2" t="s">
        <v>21</v>
      </c>
      <c r="I3543" s="2" t="s">
        <v>8207</v>
      </c>
      <c r="J3543" s="3" t="str">
        <f>HYPERLINK("https://www.boe.es/gazeta/dias/1816/09/17/pdfs/GMD-1816-115.pdf#page=8","Abrir facsímil")</f>
        <v>Abrir facsímil</v>
      </c>
      <c r="K3543" s="3" t="s">
        <v>23</v>
      </c>
    </row>
    <row r="3544" spans="1:11" ht="42" customHeight="1">
      <c r="A3544" s="2" t="s">
        <v>8208</v>
      </c>
      <c r="B3544" s="2" t="s">
        <v>8209</v>
      </c>
      <c r="C3544" s="2" t="s">
        <v>111</v>
      </c>
      <c r="D3544" s="2" t="s">
        <v>112</v>
      </c>
      <c r="E3544" s="5">
        <v>-30387</v>
      </c>
      <c r="F3544" s="3" t="s">
        <v>224</v>
      </c>
      <c r="G3544" s="3" t="s">
        <v>28</v>
      </c>
      <c r="H3544" s="2" t="s">
        <v>21</v>
      </c>
      <c r="I3544" s="2" t="s">
        <v>8210</v>
      </c>
      <c r="J3544" s="3" t="str">
        <f>HYPERLINK("https://www.boe.es/gazeta/dias/1816/10/19/pdfs/GMD-1816-131.pdf#page=6","Abrir facsímil")</f>
        <v>Abrir facsímil</v>
      </c>
      <c r="K3544" s="3" t="s">
        <v>23</v>
      </c>
    </row>
    <row r="3545" spans="1:11" ht="42" customHeight="1">
      <c r="A3545" s="2" t="s">
        <v>8211</v>
      </c>
      <c r="B3545" s="2" t="s">
        <v>8212</v>
      </c>
      <c r="C3545" s="2" t="s">
        <v>26</v>
      </c>
      <c r="D3545" s="2" t="s">
        <v>18</v>
      </c>
      <c r="E3545" s="5">
        <v>-30317</v>
      </c>
      <c r="F3545" s="3" t="s">
        <v>1030</v>
      </c>
      <c r="G3545" s="3" t="s">
        <v>184</v>
      </c>
      <c r="H3545" s="2" t="s">
        <v>21</v>
      </c>
      <c r="I3545" s="2" t="s">
        <v>8213</v>
      </c>
      <c r="J3545" s="3" t="str">
        <f>HYPERLINK("https://www.boe.es/gazeta/dias/1816/12/28/pdfs/GMD-1816-161.pdf#page=3","Abrir facsímil")</f>
        <v>Abrir facsímil</v>
      </c>
      <c r="K3545" s="3" t="s">
        <v>23</v>
      </c>
    </row>
    <row r="3546" spans="1:11" ht="42" customHeight="1">
      <c r="A3546" s="2" t="s">
        <v>8214</v>
      </c>
      <c r="B3546" s="2" t="s">
        <v>8214</v>
      </c>
      <c r="C3546" s="2" t="s">
        <v>34</v>
      </c>
      <c r="D3546" s="2" t="s">
        <v>35</v>
      </c>
      <c r="E3546" s="5">
        <v>-30398</v>
      </c>
      <c r="F3546" s="3" t="s">
        <v>447</v>
      </c>
      <c r="G3546" s="3" t="s">
        <v>2057</v>
      </c>
      <c r="H3546" s="2" t="s">
        <v>21</v>
      </c>
      <c r="I3546" s="2" t="s">
        <v>8215</v>
      </c>
      <c r="J3546" s="3" t="str">
        <f>HYPERLINK("https://www.boe.es/gazeta/dias/1816/10/08/pdfs/GMD-1816-125.pdf#page=3","Abrir facsímil")</f>
        <v>Abrir facsímil</v>
      </c>
      <c r="K3546" s="3" t="s">
        <v>23</v>
      </c>
    </row>
    <row r="3547" spans="1:11" ht="42" customHeight="1">
      <c r="A3547" s="2" t="s">
        <v>8214</v>
      </c>
      <c r="B3547" s="2" t="s">
        <v>8214</v>
      </c>
      <c r="C3547" s="2" t="s">
        <v>34</v>
      </c>
      <c r="D3547" s="2" t="s">
        <v>35</v>
      </c>
      <c r="E3547" s="5">
        <v>-30396</v>
      </c>
      <c r="F3547" s="3" t="s">
        <v>1623</v>
      </c>
      <c r="G3547" s="3" t="s">
        <v>184</v>
      </c>
      <c r="H3547" s="2" t="s">
        <v>21</v>
      </c>
      <c r="I3547" s="2" t="s">
        <v>8216</v>
      </c>
      <c r="J3547" s="3" t="str">
        <f>HYPERLINK("https://www.boe.es/gazeta/dias/1816/10/10/pdfs/GMD-1816-126.pdf#page=3","Abrir facsímil")</f>
        <v>Abrir facsímil</v>
      </c>
      <c r="K3547" s="3" t="s">
        <v>23</v>
      </c>
    </row>
    <row r="3548" spans="1:11" ht="42" customHeight="1">
      <c r="A3548" s="2" t="s">
        <v>8217</v>
      </c>
      <c r="B3548" s="2" t="s">
        <v>8218</v>
      </c>
      <c r="C3548" s="2" t="s">
        <v>81</v>
      </c>
      <c r="D3548" s="2" t="s">
        <v>18</v>
      </c>
      <c r="E3548" s="5">
        <v>-30438</v>
      </c>
      <c r="F3548" s="3" t="s">
        <v>299</v>
      </c>
      <c r="G3548" s="3" t="s">
        <v>300</v>
      </c>
      <c r="H3548" s="2" t="s">
        <v>21</v>
      </c>
      <c r="I3548" s="2" t="s">
        <v>8219</v>
      </c>
      <c r="J3548" s="3" t="str">
        <f>HYPERLINK("https://www.boe.es/gazeta/dias/1816/08/29/pdfs/GMD-1816-107.pdf#page=12","Abrir facsímil")</f>
        <v>Abrir facsímil</v>
      </c>
      <c r="K3548" s="3" t="s">
        <v>23</v>
      </c>
    </row>
    <row r="3549" spans="1:11" ht="42" customHeight="1">
      <c r="A3549" s="2" t="s">
        <v>8220</v>
      </c>
      <c r="B3549" s="2" t="s">
        <v>8221</v>
      </c>
      <c r="C3549" s="2" t="s">
        <v>26</v>
      </c>
      <c r="D3549" s="2" t="s">
        <v>18</v>
      </c>
      <c r="E3549" s="5">
        <v>-30573</v>
      </c>
      <c r="F3549" s="3" t="s">
        <v>840</v>
      </c>
      <c r="G3549" s="3" t="s">
        <v>270</v>
      </c>
      <c r="H3549" s="2" t="s">
        <v>21</v>
      </c>
      <c r="I3549" s="2" t="s">
        <v>8222</v>
      </c>
      <c r="J3549" s="3" t="str">
        <f>HYPERLINK("https://www.boe.es/gazeta/dias/1816/04/16/pdfs/GMD-1816-49.pdf#page=2","Abrir facsímil")</f>
        <v>Abrir facsímil</v>
      </c>
      <c r="K3549" s="3" t="s">
        <v>23</v>
      </c>
    </row>
    <row r="3550" spans="1:11" ht="42" customHeight="1">
      <c r="A3550" s="2" t="s">
        <v>8223</v>
      </c>
      <c r="B3550" s="2" t="s">
        <v>8223</v>
      </c>
      <c r="C3550" s="2" t="s">
        <v>34</v>
      </c>
      <c r="D3550" s="2" t="s">
        <v>35</v>
      </c>
      <c r="E3550" s="5">
        <v>-30657</v>
      </c>
      <c r="F3550" s="3" t="s">
        <v>899</v>
      </c>
      <c r="G3550" s="3" t="s">
        <v>184</v>
      </c>
      <c r="H3550" s="2" t="s">
        <v>21</v>
      </c>
      <c r="I3550" s="2" t="s">
        <v>8224</v>
      </c>
      <c r="J3550" s="3" t="str">
        <f>HYPERLINK("https://www.boe.es/gazeta/dias/1816/01/23/pdfs/GMD-1816-10.pdf#page=3","Abrir facsímil")</f>
        <v>Abrir facsímil</v>
      </c>
      <c r="K3550" s="3" t="s">
        <v>23</v>
      </c>
    </row>
    <row r="3551" spans="1:11" ht="42" customHeight="1">
      <c r="A3551" s="2" t="s">
        <v>8223</v>
      </c>
      <c r="B3551" s="2" t="s">
        <v>8223</v>
      </c>
      <c r="C3551" s="2" t="s">
        <v>34</v>
      </c>
      <c r="D3551" s="2" t="s">
        <v>35</v>
      </c>
      <c r="E3551" s="5">
        <v>-30513</v>
      </c>
      <c r="F3551" s="3" t="s">
        <v>582</v>
      </c>
      <c r="G3551" s="3" t="s">
        <v>1129</v>
      </c>
      <c r="H3551" s="2" t="s">
        <v>21</v>
      </c>
      <c r="I3551" s="2" t="s">
        <v>8225</v>
      </c>
      <c r="J3551" s="3" t="str">
        <f>HYPERLINK("https://www.boe.es/gazeta/dias/1816/06/15/pdfs/GMD-1816-75.pdf#page=4","Abrir facsímil")</f>
        <v>Abrir facsímil</v>
      </c>
      <c r="K3551" s="3" t="s">
        <v>23</v>
      </c>
    </row>
    <row r="3552" spans="1:11" ht="42" customHeight="1">
      <c r="A3552" s="2" t="s">
        <v>8223</v>
      </c>
      <c r="B3552" s="2" t="s">
        <v>8223</v>
      </c>
      <c r="C3552" s="2" t="s">
        <v>34</v>
      </c>
      <c r="D3552" s="2" t="s">
        <v>35</v>
      </c>
      <c r="E3552" s="5">
        <v>-30370</v>
      </c>
      <c r="F3552" s="3" t="s">
        <v>669</v>
      </c>
      <c r="G3552" s="3" t="s">
        <v>184</v>
      </c>
      <c r="H3552" s="2" t="s">
        <v>21</v>
      </c>
      <c r="I3552" s="2" t="s">
        <v>8226</v>
      </c>
      <c r="J3552" s="3" t="str">
        <f>HYPERLINK("https://www.boe.es/gazeta/dias/1816/11/05/pdfs/GMD-1816-138.pdf#page=3","Abrir facsímil")</f>
        <v>Abrir facsímil</v>
      </c>
      <c r="K3552" s="3" t="s">
        <v>23</v>
      </c>
    </row>
    <row r="3553" spans="1:11" ht="42" customHeight="1">
      <c r="A3553" s="2" t="s">
        <v>8227</v>
      </c>
      <c r="B3553" s="2" t="s">
        <v>8227</v>
      </c>
      <c r="C3553" s="2" t="s">
        <v>34</v>
      </c>
      <c r="D3553" s="2" t="s">
        <v>35</v>
      </c>
      <c r="E3553" s="5">
        <v>-30389</v>
      </c>
      <c r="F3553" s="3" t="s">
        <v>522</v>
      </c>
      <c r="G3553" s="3" t="s">
        <v>58</v>
      </c>
      <c r="H3553" s="2" t="s">
        <v>21</v>
      </c>
      <c r="I3553" s="2" t="s">
        <v>8228</v>
      </c>
      <c r="J3553" s="3" t="str">
        <f>HYPERLINK("https://www.boe.es/gazeta/dias/1816/10/17/pdfs/GMD-1816-130.pdf#page=1","Abrir facsímil")</f>
        <v>Abrir facsímil</v>
      </c>
      <c r="K3553" s="3" t="s">
        <v>23</v>
      </c>
    </row>
    <row r="3554" spans="1:11" ht="42" customHeight="1">
      <c r="A3554" s="2" t="s">
        <v>8227</v>
      </c>
      <c r="B3554" s="2" t="s">
        <v>8227</v>
      </c>
      <c r="C3554" s="2" t="s">
        <v>111</v>
      </c>
      <c r="D3554" s="2" t="s">
        <v>112</v>
      </c>
      <c r="E3554" s="5">
        <v>-30347</v>
      </c>
      <c r="F3554" s="3" t="s">
        <v>2994</v>
      </c>
      <c r="G3554" s="3" t="s">
        <v>72</v>
      </c>
      <c r="H3554" s="2" t="s">
        <v>21</v>
      </c>
      <c r="I3554" s="2" t="s">
        <v>8229</v>
      </c>
      <c r="J3554" s="3" t="str">
        <f>HYPERLINK("https://www.boe.es/gazeta/dias/1816/11/28/pdfs/GMD-1816-148.pdf#page=7","Abrir facsímil")</f>
        <v>Abrir facsímil</v>
      </c>
      <c r="K3554" s="3" t="s">
        <v>23</v>
      </c>
    </row>
    <row r="3555" spans="1:11" ht="42" customHeight="1">
      <c r="A3555" s="2" t="s">
        <v>8230</v>
      </c>
      <c r="B3555" s="2" t="s">
        <v>8230</v>
      </c>
      <c r="C3555" s="2" t="s">
        <v>26</v>
      </c>
      <c r="D3555" s="2" t="s">
        <v>18</v>
      </c>
      <c r="E3555" s="5">
        <v>-30454</v>
      </c>
      <c r="F3555" s="3" t="s">
        <v>188</v>
      </c>
      <c r="G3555" s="3" t="s">
        <v>52</v>
      </c>
      <c r="H3555" s="2" t="s">
        <v>21</v>
      </c>
      <c r="I3555" s="2" t="s">
        <v>8231</v>
      </c>
      <c r="J3555" s="3" t="str">
        <f>HYPERLINK("https://www.boe.es/gazeta/dias/1816/08/13/pdfs/GMD-1816-100.pdf#page=12","Abrir facsímil")</f>
        <v>Abrir facsímil</v>
      </c>
      <c r="K3555" s="3" t="s">
        <v>23</v>
      </c>
    </row>
    <row r="3556" spans="1:11" ht="42" customHeight="1">
      <c r="A3556" s="2" t="s">
        <v>8232</v>
      </c>
      <c r="B3556" s="2" t="s">
        <v>8233</v>
      </c>
      <c r="C3556" s="2" t="s">
        <v>67</v>
      </c>
      <c r="D3556" s="2" t="s">
        <v>18</v>
      </c>
      <c r="E3556" s="5">
        <v>-30559</v>
      </c>
      <c r="F3556" s="3" t="s">
        <v>165</v>
      </c>
      <c r="G3556" s="3" t="s">
        <v>42</v>
      </c>
      <c r="H3556" s="2" t="s">
        <v>21</v>
      </c>
      <c r="I3556" s="2" t="s">
        <v>8234</v>
      </c>
      <c r="J3556" s="3" t="str">
        <f>HYPERLINK("https://www.boe.es/gazeta/dias/1816/04/30/pdfs/GMD-1816-55.pdf#page=8","Abrir facsímil")</f>
        <v>Abrir facsímil</v>
      </c>
      <c r="K3556" s="3" t="s">
        <v>23</v>
      </c>
    </row>
    <row r="3557" spans="1:11" ht="42" customHeight="1">
      <c r="A3557" s="2" t="s">
        <v>8235</v>
      </c>
      <c r="B3557" s="2" t="s">
        <v>8235</v>
      </c>
      <c r="C3557" s="2" t="s">
        <v>81</v>
      </c>
      <c r="D3557" s="2" t="s">
        <v>18</v>
      </c>
      <c r="E3557" s="5">
        <v>-30545</v>
      </c>
      <c r="F3557" s="3" t="s">
        <v>127</v>
      </c>
      <c r="G3557" s="3" t="s">
        <v>42</v>
      </c>
      <c r="H3557" s="2" t="s">
        <v>21</v>
      </c>
      <c r="I3557" s="2" t="s">
        <v>8236</v>
      </c>
      <c r="J3557" s="3" t="str">
        <f>HYPERLINK("https://www.boe.es/gazeta/dias/1816/05/14/pdfs/GMD-1816-61.pdf#page=8","Abrir facsímil")</f>
        <v>Abrir facsímil</v>
      </c>
      <c r="K3557" s="3" t="s">
        <v>23</v>
      </c>
    </row>
    <row r="3558" spans="1:11" ht="42" customHeight="1">
      <c r="A3558" s="2" t="s">
        <v>8235</v>
      </c>
      <c r="B3558" s="2" t="s">
        <v>8235</v>
      </c>
      <c r="C3558" s="2" t="s">
        <v>111</v>
      </c>
      <c r="D3558" s="2" t="s">
        <v>112</v>
      </c>
      <c r="E3558" s="5">
        <v>-30489</v>
      </c>
      <c r="F3558" s="3" t="s">
        <v>1120</v>
      </c>
      <c r="G3558" s="3" t="s">
        <v>42</v>
      </c>
      <c r="H3558" s="2" t="s">
        <v>21</v>
      </c>
      <c r="I3558" s="2" t="s">
        <v>8237</v>
      </c>
      <c r="J3558" s="3" t="str">
        <f>HYPERLINK("https://www.boe.es/gazeta/dias/1816/07/09/pdfs/GMD-1816-85.pdf#page=8","Abrir facsímil")</f>
        <v>Abrir facsímil</v>
      </c>
      <c r="K3558" s="3" t="s">
        <v>23</v>
      </c>
    </row>
    <row r="3559" spans="1:11" ht="42" customHeight="1">
      <c r="A3559" s="2" t="s">
        <v>8235</v>
      </c>
      <c r="B3559" s="2" t="s">
        <v>8235</v>
      </c>
      <c r="C3559" s="2" t="s">
        <v>26</v>
      </c>
      <c r="D3559" s="2" t="s">
        <v>18</v>
      </c>
      <c r="E3559" s="5">
        <v>-30480</v>
      </c>
      <c r="F3559" s="3" t="s">
        <v>147</v>
      </c>
      <c r="G3559" s="3" t="s">
        <v>58</v>
      </c>
      <c r="H3559" s="2" t="s">
        <v>21</v>
      </c>
      <c r="I3559" s="2" t="s">
        <v>8238</v>
      </c>
      <c r="J3559" s="3" t="str">
        <f>HYPERLINK("https://www.boe.es/gazeta/dias/1816/07/18/pdfs/GMD-1816-89.pdf#page=1","Abrir facsímil")</f>
        <v>Abrir facsímil</v>
      </c>
      <c r="K3559" s="3" t="s">
        <v>23</v>
      </c>
    </row>
    <row r="3560" spans="1:11" ht="42" customHeight="1">
      <c r="A3560" s="2" t="s">
        <v>8235</v>
      </c>
      <c r="B3560" s="2" t="s">
        <v>8235</v>
      </c>
      <c r="C3560" s="2" t="s">
        <v>34</v>
      </c>
      <c r="D3560" s="2" t="s">
        <v>35</v>
      </c>
      <c r="E3560" s="5">
        <v>-30478</v>
      </c>
      <c r="F3560" s="3" t="s">
        <v>123</v>
      </c>
      <c r="G3560" s="3" t="s">
        <v>58</v>
      </c>
      <c r="H3560" s="2" t="s">
        <v>21</v>
      </c>
      <c r="I3560" s="2" t="s">
        <v>8239</v>
      </c>
      <c r="J3560" s="3" t="str">
        <f>HYPERLINK("https://www.boe.es/gazeta/dias/1816/07/20/pdfs/GMD-1816-90.pdf#page=1","Abrir facsímil")</f>
        <v>Abrir facsímil</v>
      </c>
      <c r="K3560" s="3" t="s">
        <v>23</v>
      </c>
    </row>
    <row r="3561" spans="1:11" ht="42" customHeight="1">
      <c r="A3561" s="2" t="s">
        <v>8235</v>
      </c>
      <c r="B3561" s="2" t="s">
        <v>8235</v>
      </c>
      <c r="C3561" s="2" t="s">
        <v>26</v>
      </c>
      <c r="D3561" s="2" t="s">
        <v>18</v>
      </c>
      <c r="E3561" s="5">
        <v>-30382</v>
      </c>
      <c r="F3561" s="3" t="s">
        <v>326</v>
      </c>
      <c r="G3561" s="3" t="s">
        <v>270</v>
      </c>
      <c r="H3561" s="2" t="s">
        <v>21</v>
      </c>
      <c r="I3561" s="2" t="s">
        <v>8240</v>
      </c>
      <c r="J3561" s="3" t="str">
        <f>HYPERLINK("https://www.boe.es/gazeta/dias/1816/10/24/pdfs/GMD-1816-133.pdf#page=2","Abrir facsímil")</f>
        <v>Abrir facsímil</v>
      </c>
      <c r="K3561" s="3" t="s">
        <v>23</v>
      </c>
    </row>
    <row r="3562" spans="1:11" ht="42" customHeight="1">
      <c r="A3562" s="2" t="s">
        <v>8235</v>
      </c>
      <c r="B3562" s="2" t="s">
        <v>8235</v>
      </c>
      <c r="C3562" s="2" t="s">
        <v>26</v>
      </c>
      <c r="D3562" s="2" t="s">
        <v>18</v>
      </c>
      <c r="E3562" s="5">
        <v>-30380</v>
      </c>
      <c r="F3562" s="3" t="s">
        <v>819</v>
      </c>
      <c r="G3562" s="3" t="s">
        <v>270</v>
      </c>
      <c r="H3562" s="2" t="s">
        <v>21</v>
      </c>
      <c r="I3562" s="2" t="s">
        <v>8241</v>
      </c>
      <c r="J3562" s="3" t="str">
        <f>HYPERLINK("https://www.boe.es/gazeta/dias/1816/10/26/pdfs/GMD-1816-134.pdf#page=2","Abrir facsímil")</f>
        <v>Abrir facsímil</v>
      </c>
      <c r="K3562" s="3" t="s">
        <v>23</v>
      </c>
    </row>
    <row r="3563" spans="1:11" ht="42" customHeight="1">
      <c r="A3563" s="2" t="s">
        <v>8235</v>
      </c>
      <c r="B3563" s="2" t="s">
        <v>8235</v>
      </c>
      <c r="C3563" s="2" t="s">
        <v>111</v>
      </c>
      <c r="D3563" s="2" t="s">
        <v>112</v>
      </c>
      <c r="E3563" s="5">
        <v>-30380</v>
      </c>
      <c r="F3563" s="3" t="s">
        <v>819</v>
      </c>
      <c r="G3563" s="3" t="s">
        <v>184</v>
      </c>
      <c r="H3563" s="2" t="s">
        <v>21</v>
      </c>
      <c r="I3563" s="2" t="s">
        <v>8242</v>
      </c>
      <c r="J3563" s="3" t="str">
        <f>HYPERLINK("https://www.boe.es/gazeta/dias/1816/10/26/pdfs/GMD-1816-134.pdf#page=3","Abrir facsímil")</f>
        <v>Abrir facsímil</v>
      </c>
      <c r="K3563" s="3" t="s">
        <v>23</v>
      </c>
    </row>
    <row r="3564" spans="1:11" ht="42" customHeight="1">
      <c r="A3564" s="2" t="s">
        <v>8235</v>
      </c>
      <c r="B3564" s="2" t="s">
        <v>8235</v>
      </c>
      <c r="C3564" s="2" t="s">
        <v>26</v>
      </c>
      <c r="D3564" s="2" t="s">
        <v>18</v>
      </c>
      <c r="E3564" s="5">
        <v>-30370</v>
      </c>
      <c r="F3564" s="3" t="s">
        <v>669</v>
      </c>
      <c r="G3564" s="3" t="s">
        <v>184</v>
      </c>
      <c r="H3564" s="2" t="s">
        <v>21</v>
      </c>
      <c r="I3564" s="2" t="s">
        <v>8243</v>
      </c>
      <c r="J3564" s="3" t="str">
        <f>HYPERLINK("https://www.boe.es/gazeta/dias/1816/11/05/pdfs/GMD-1816-138.pdf#page=3","Abrir facsímil")</f>
        <v>Abrir facsímil</v>
      </c>
      <c r="K3564" s="3" t="s">
        <v>23</v>
      </c>
    </row>
    <row r="3565" spans="1:11" ht="42" customHeight="1">
      <c r="A3565" s="2" t="s">
        <v>8235</v>
      </c>
      <c r="B3565" s="2" t="s">
        <v>8235</v>
      </c>
      <c r="C3565" s="2" t="s">
        <v>26</v>
      </c>
      <c r="D3565" s="2" t="s">
        <v>18</v>
      </c>
      <c r="E3565" s="5">
        <v>-30361</v>
      </c>
      <c r="F3565" s="3" t="s">
        <v>1741</v>
      </c>
      <c r="G3565" s="3" t="s">
        <v>58</v>
      </c>
      <c r="H3565" s="2" t="s">
        <v>21</v>
      </c>
      <c r="I3565" s="2" t="s">
        <v>8244</v>
      </c>
      <c r="J3565" s="3" t="str">
        <f>HYPERLINK("https://www.boe.es/gazeta/dias/1816/11/14/pdfs/GMD-1816-142.pdf#page=1","Abrir facsímil")</f>
        <v>Abrir facsímil</v>
      </c>
      <c r="K3565" s="3" t="s">
        <v>23</v>
      </c>
    </row>
    <row r="3566" spans="1:11" ht="42" customHeight="1">
      <c r="A3566" s="2" t="s">
        <v>8235</v>
      </c>
      <c r="B3566" s="2" t="s">
        <v>8235</v>
      </c>
      <c r="C3566" s="2" t="s">
        <v>34</v>
      </c>
      <c r="D3566" s="2" t="s">
        <v>35</v>
      </c>
      <c r="E3566" s="5">
        <v>-30349</v>
      </c>
      <c r="F3566" s="3" t="s">
        <v>360</v>
      </c>
      <c r="G3566" s="3" t="s">
        <v>184</v>
      </c>
      <c r="H3566" s="2" t="s">
        <v>21</v>
      </c>
      <c r="I3566" s="2" t="s">
        <v>8245</v>
      </c>
      <c r="J3566" s="3" t="str">
        <f>HYPERLINK("https://www.boe.es/gazeta/dias/1816/11/26/pdfs/GMD-1816-147.pdf#page=3","Abrir facsímil")</f>
        <v>Abrir facsímil</v>
      </c>
      <c r="K3566" s="3" t="s">
        <v>23</v>
      </c>
    </row>
    <row r="3567" spans="1:11" ht="42" customHeight="1">
      <c r="A3567" s="2" t="s">
        <v>8235</v>
      </c>
      <c r="B3567" s="2" t="s">
        <v>8235</v>
      </c>
      <c r="C3567" s="2" t="s">
        <v>387</v>
      </c>
      <c r="D3567" s="2" t="s">
        <v>18</v>
      </c>
      <c r="E3567" s="5">
        <v>-30340</v>
      </c>
      <c r="F3567" s="3" t="s">
        <v>1618</v>
      </c>
      <c r="G3567" s="3" t="s">
        <v>270</v>
      </c>
      <c r="H3567" s="2" t="s">
        <v>21</v>
      </c>
      <c r="I3567" s="2" t="s">
        <v>8246</v>
      </c>
      <c r="J3567" s="3" t="str">
        <f>HYPERLINK("https://www.boe.es/gazeta/dias/1816/12/05/pdfs/GMD-1816-151.pdf#page=2","Abrir facsímil")</f>
        <v>Abrir facsímil</v>
      </c>
      <c r="K3567" s="3" t="s">
        <v>23</v>
      </c>
    </row>
    <row r="3568" spans="1:11" ht="42" customHeight="1">
      <c r="A3568" s="2" t="s">
        <v>8235</v>
      </c>
      <c r="B3568" s="2" t="s">
        <v>8235</v>
      </c>
      <c r="C3568" s="2" t="s">
        <v>34</v>
      </c>
      <c r="D3568" s="2" t="s">
        <v>35</v>
      </c>
      <c r="E3568" s="5">
        <v>-30335</v>
      </c>
      <c r="F3568" s="3" t="s">
        <v>468</v>
      </c>
      <c r="G3568" s="3" t="s">
        <v>184</v>
      </c>
      <c r="H3568" s="2" t="s">
        <v>21</v>
      </c>
      <c r="I3568" s="2" t="s">
        <v>8247</v>
      </c>
      <c r="J3568" s="3" t="str">
        <f>HYPERLINK("https://www.boe.es/gazeta/dias/1816/12/10/pdfs/GMD-1816-153.pdf#page=3","Abrir facsímil")</f>
        <v>Abrir facsímil</v>
      </c>
      <c r="K3568" s="3" t="s">
        <v>23</v>
      </c>
    </row>
    <row r="3569" spans="1:11" ht="42" customHeight="1">
      <c r="A3569" s="2" t="s">
        <v>8235</v>
      </c>
      <c r="B3569" s="2" t="s">
        <v>8235</v>
      </c>
      <c r="C3569" s="2" t="s">
        <v>387</v>
      </c>
      <c r="D3569" s="2" t="s">
        <v>18</v>
      </c>
      <c r="E3569" s="5">
        <v>-30326</v>
      </c>
      <c r="F3569" s="3" t="s">
        <v>377</v>
      </c>
      <c r="G3569" s="3" t="s">
        <v>184</v>
      </c>
      <c r="H3569" s="2" t="s">
        <v>21</v>
      </c>
      <c r="I3569" s="2" t="s">
        <v>8248</v>
      </c>
      <c r="J3569" s="3" t="str">
        <f>HYPERLINK("https://www.boe.es/gazeta/dias/1816/12/19/pdfs/GMD-1816-157.pdf#page=3","Abrir facsímil")</f>
        <v>Abrir facsímil</v>
      </c>
      <c r="K3569" s="3" t="s">
        <v>23</v>
      </c>
    </row>
    <row r="3570" spans="1:11" ht="42" customHeight="1">
      <c r="A3570" s="2" t="s">
        <v>8235</v>
      </c>
      <c r="B3570" s="2" t="s">
        <v>8235</v>
      </c>
      <c r="C3570" s="2" t="s">
        <v>26</v>
      </c>
      <c r="D3570" s="2" t="s">
        <v>18</v>
      </c>
      <c r="E3570" s="5">
        <v>-30324</v>
      </c>
      <c r="F3570" s="3" t="s">
        <v>46</v>
      </c>
      <c r="G3570" s="3" t="s">
        <v>4166</v>
      </c>
      <c r="H3570" s="2" t="s">
        <v>21</v>
      </c>
      <c r="I3570" s="2" t="s">
        <v>8249</v>
      </c>
      <c r="J3570" s="3" t="str">
        <f>HYPERLINK("https://www.boe.es/gazeta/dias/1816/12/21/pdfs/GMD-1816-158.pdf#page=3","Abrir facsímil")</f>
        <v>Abrir facsímil</v>
      </c>
      <c r="K3570" s="3" t="s">
        <v>23</v>
      </c>
    </row>
    <row r="3571" spans="1:11" ht="42" customHeight="1">
      <c r="A3571" s="2" t="s">
        <v>8250</v>
      </c>
      <c r="B3571" s="2" t="s">
        <v>8251</v>
      </c>
      <c r="C3571" s="2" t="s">
        <v>34</v>
      </c>
      <c r="D3571" s="2" t="s">
        <v>35</v>
      </c>
      <c r="E3571" s="5">
        <v>-30338</v>
      </c>
      <c r="F3571" s="3" t="s">
        <v>464</v>
      </c>
      <c r="G3571" s="3" t="s">
        <v>28</v>
      </c>
      <c r="H3571" s="2" t="s">
        <v>21</v>
      </c>
      <c r="I3571" s="2" t="s">
        <v>8252</v>
      </c>
      <c r="J3571" s="3" t="str">
        <f>HYPERLINK("https://www.boe.es/gazeta/dias/1816/12/07/pdfs/GMD-1816-152.pdf#page=6","Abrir facsímil")</f>
        <v>Abrir facsímil</v>
      </c>
      <c r="K3571" s="3" t="s">
        <v>23</v>
      </c>
    </row>
    <row r="3572" spans="1:11" ht="42" customHeight="1">
      <c r="A3572" s="2" t="s">
        <v>8253</v>
      </c>
      <c r="B3572" s="2" t="s">
        <v>8254</v>
      </c>
      <c r="C3572" s="2" t="s">
        <v>111</v>
      </c>
      <c r="D3572" s="2" t="s">
        <v>112</v>
      </c>
      <c r="E3572" s="5">
        <v>-30394</v>
      </c>
      <c r="F3572" s="3" t="s">
        <v>589</v>
      </c>
      <c r="G3572" s="3" t="s">
        <v>1306</v>
      </c>
      <c r="H3572" s="2" t="s">
        <v>21</v>
      </c>
      <c r="I3572" s="2" t="s">
        <v>8255</v>
      </c>
      <c r="J3572" s="3" t="str">
        <f>HYPERLINK("https://www.boe.es/gazeta/dias/1816/10/12/pdfs/GMD-1816-127.pdf#page=4","Abrir facsímil")</f>
        <v>Abrir facsímil</v>
      </c>
      <c r="K3572" s="3" t="s">
        <v>23</v>
      </c>
    </row>
    <row r="3573" spans="1:11" ht="42" customHeight="1">
      <c r="A3573" s="2" t="s">
        <v>8256</v>
      </c>
      <c r="B3573" s="2" t="s">
        <v>8257</v>
      </c>
      <c r="C3573" s="2" t="s">
        <v>34</v>
      </c>
      <c r="D3573" s="2" t="s">
        <v>35</v>
      </c>
      <c r="E3573" s="5">
        <v>-30391</v>
      </c>
      <c r="F3573" s="3" t="s">
        <v>482</v>
      </c>
      <c r="G3573" s="3" t="s">
        <v>3258</v>
      </c>
      <c r="H3573" s="2" t="s">
        <v>21</v>
      </c>
      <c r="I3573" s="2" t="s">
        <v>8258</v>
      </c>
      <c r="J3573" s="3" t="str">
        <f>HYPERLINK("https://www.boe.es/gazeta/dias/1816/10/15/pdfs/GMD-1816-129.pdf#page=8","Abrir facsímil")</f>
        <v>Abrir facsímil</v>
      </c>
      <c r="K3573" s="3" t="s">
        <v>23</v>
      </c>
    </row>
    <row r="3574" spans="1:11" ht="42" customHeight="1">
      <c r="A3574" s="2" t="s">
        <v>8259</v>
      </c>
      <c r="B3574" s="2" t="s">
        <v>8260</v>
      </c>
      <c r="C3574" s="2" t="s">
        <v>41</v>
      </c>
      <c r="D3574" s="2" t="s">
        <v>18</v>
      </c>
      <c r="E3574" s="5">
        <v>-30445</v>
      </c>
      <c r="F3574" s="3" t="s">
        <v>51</v>
      </c>
      <c r="G3574" s="3" t="s">
        <v>52</v>
      </c>
      <c r="H3574" s="2" t="s">
        <v>29</v>
      </c>
      <c r="I3574" s="2" t="s">
        <v>8261</v>
      </c>
      <c r="J3574" s="3" t="str">
        <f>HYPERLINK("https://www.boe.es/gazeta/dias/1816/08/22/pdfs/GMD-1816-104.pdf#page=12","Abrir facsímil")</f>
        <v>Abrir facsímil</v>
      </c>
      <c r="K3574" s="3" t="s">
        <v>31</v>
      </c>
    </row>
    <row r="3575" spans="1:11" ht="42" customHeight="1">
      <c r="A3575" s="2" t="s">
        <v>8262</v>
      </c>
      <c r="B3575" s="2" t="s">
        <v>8263</v>
      </c>
      <c r="C3575" s="2" t="s">
        <v>34</v>
      </c>
      <c r="D3575" s="2" t="s">
        <v>35</v>
      </c>
      <c r="E3575" s="5">
        <v>-30391</v>
      </c>
      <c r="F3575" s="3" t="s">
        <v>482</v>
      </c>
      <c r="G3575" s="3" t="s">
        <v>28</v>
      </c>
      <c r="H3575" s="2" t="s">
        <v>21</v>
      </c>
      <c r="I3575" s="2" t="s">
        <v>8264</v>
      </c>
      <c r="J3575" s="3" t="str">
        <f>HYPERLINK("https://www.boe.es/gazeta/dias/1816/10/15/pdfs/GMD-1816-129.pdf#page=6","Abrir facsímil")</f>
        <v>Abrir facsímil</v>
      </c>
      <c r="K3575" s="3" t="s">
        <v>23</v>
      </c>
    </row>
    <row r="3576" spans="1:11" ht="42" customHeight="1">
      <c r="A3576" s="2" t="s">
        <v>8265</v>
      </c>
      <c r="B3576" s="2" t="s">
        <v>8266</v>
      </c>
      <c r="C3576" s="2" t="s">
        <v>26</v>
      </c>
      <c r="D3576" s="2" t="s">
        <v>18</v>
      </c>
      <c r="E3576" s="5">
        <v>-30457</v>
      </c>
      <c r="F3576" s="3" t="s">
        <v>539</v>
      </c>
      <c r="G3576" s="3" t="s">
        <v>28</v>
      </c>
      <c r="H3576" s="2" t="s">
        <v>21</v>
      </c>
      <c r="I3576" s="2" t="s">
        <v>8267</v>
      </c>
      <c r="J3576" s="3" t="str">
        <f>HYPERLINK("https://www.boe.es/gazeta/dias/1816/08/10/pdfs/GMD-1816-99.pdf#page=6","Abrir facsímil")</f>
        <v>Abrir facsímil</v>
      </c>
      <c r="K3576" s="3" t="s">
        <v>23</v>
      </c>
    </row>
    <row r="3577" spans="1:11" ht="42" customHeight="1">
      <c r="A3577" s="2" t="s">
        <v>8268</v>
      </c>
      <c r="B3577" s="2" t="s">
        <v>8269</v>
      </c>
      <c r="C3577" s="2" t="s">
        <v>111</v>
      </c>
      <c r="D3577" s="2" t="s">
        <v>112</v>
      </c>
      <c r="E3577" s="5">
        <v>-30566</v>
      </c>
      <c r="F3577" s="3" t="s">
        <v>113</v>
      </c>
      <c r="G3577" s="3" t="s">
        <v>28</v>
      </c>
      <c r="H3577" s="2" t="s">
        <v>21</v>
      </c>
      <c r="I3577" s="2" t="s">
        <v>8270</v>
      </c>
      <c r="J3577" s="3" t="str">
        <f>HYPERLINK("https://www.boe.es/gazeta/dias/1816/04/23/pdfs/GMD-1816-52.pdf#page=6","Abrir facsímil")</f>
        <v>Abrir facsímil</v>
      </c>
      <c r="K3577" s="3" t="s">
        <v>23</v>
      </c>
    </row>
    <row r="3578" spans="1:11" ht="42" customHeight="1">
      <c r="A3578" s="2" t="s">
        <v>8271</v>
      </c>
      <c r="B3578" s="2" t="s">
        <v>8272</v>
      </c>
      <c r="C3578" s="2" t="s">
        <v>26</v>
      </c>
      <c r="D3578" s="2" t="s">
        <v>18</v>
      </c>
      <c r="E3578" s="5">
        <v>-30478</v>
      </c>
      <c r="F3578" s="3" t="s">
        <v>123</v>
      </c>
      <c r="G3578" s="3" t="s">
        <v>2092</v>
      </c>
      <c r="H3578" s="2" t="s">
        <v>21</v>
      </c>
      <c r="I3578" s="2" t="s">
        <v>8273</v>
      </c>
      <c r="J3578" s="3" t="str">
        <f>HYPERLINK("https://www.boe.es/gazeta/dias/1816/07/20/pdfs/GMD-1816-90.pdf#page=5","Abrir facsímil")</f>
        <v>Abrir facsímil</v>
      </c>
      <c r="K3578" s="3" t="s">
        <v>23</v>
      </c>
    </row>
    <row r="3579" spans="1:11" ht="42" customHeight="1">
      <c r="A3579" s="2" t="s">
        <v>8274</v>
      </c>
      <c r="B3579" s="2" t="s">
        <v>8274</v>
      </c>
      <c r="C3579" s="2" t="s">
        <v>34</v>
      </c>
      <c r="D3579" s="2" t="s">
        <v>35</v>
      </c>
      <c r="E3579" s="5">
        <v>-30359</v>
      </c>
      <c r="F3579" s="3" t="s">
        <v>812</v>
      </c>
      <c r="G3579" s="3" t="s">
        <v>72</v>
      </c>
      <c r="H3579" s="2" t="s">
        <v>21</v>
      </c>
      <c r="I3579" s="2" t="s">
        <v>8275</v>
      </c>
      <c r="J3579" s="3" t="str">
        <f>HYPERLINK("https://www.boe.es/gazeta/dias/1816/11/16/pdfs/GMD-1816-143.pdf#page=7","Abrir facsímil")</f>
        <v>Abrir facsímil</v>
      </c>
      <c r="K3579" s="3" t="s">
        <v>23</v>
      </c>
    </row>
    <row r="3580" spans="1:11" ht="42" customHeight="1">
      <c r="A3580" s="2" t="s">
        <v>8276</v>
      </c>
      <c r="B3580" s="2" t="s">
        <v>8277</v>
      </c>
      <c r="C3580" s="2" t="s">
        <v>17</v>
      </c>
      <c r="D3580" s="2" t="s">
        <v>18</v>
      </c>
      <c r="E3580" s="5">
        <v>-30426</v>
      </c>
      <c r="F3580" s="3" t="s">
        <v>779</v>
      </c>
      <c r="G3580" s="3" t="s">
        <v>42</v>
      </c>
      <c r="H3580" s="2" t="s">
        <v>21</v>
      </c>
      <c r="I3580" s="2" t="s">
        <v>8278</v>
      </c>
      <c r="J3580" s="3" t="str">
        <f>HYPERLINK("https://www.boe.es/gazeta/dias/1816/09/10/pdfs/GMD-1816-112.pdf#page=8","Abrir facsímil")</f>
        <v>Abrir facsímil</v>
      </c>
      <c r="K3580" s="3" t="s">
        <v>23</v>
      </c>
    </row>
    <row r="3581" spans="1:11" ht="42" customHeight="1">
      <c r="A3581" s="2" t="s">
        <v>8279</v>
      </c>
      <c r="B3581" s="2" t="s">
        <v>8280</v>
      </c>
      <c r="C3581" s="2" t="s">
        <v>34</v>
      </c>
      <c r="D3581" s="2" t="s">
        <v>35</v>
      </c>
      <c r="E3581" s="5">
        <v>-30375</v>
      </c>
      <c r="F3581" s="3" t="s">
        <v>404</v>
      </c>
      <c r="G3581" s="3" t="s">
        <v>405</v>
      </c>
      <c r="H3581" s="2" t="s">
        <v>29</v>
      </c>
      <c r="I3581" s="2" t="s">
        <v>8281</v>
      </c>
      <c r="J3581" s="3" t="str">
        <f>HYPERLINK("https://www.boe.es/gazeta/dias/1816/10/31/pdfs/GMD-1816-136.pdf#page=6","Abrir facsímil")</f>
        <v>Abrir facsímil</v>
      </c>
      <c r="K3581" s="3" t="s">
        <v>31</v>
      </c>
    </row>
    <row r="3582" spans="1:11" ht="42" customHeight="1">
      <c r="A3582" s="2" t="s">
        <v>8279</v>
      </c>
      <c r="B3582" s="2" t="s">
        <v>8280</v>
      </c>
      <c r="C3582" s="2" t="s">
        <v>34</v>
      </c>
      <c r="D3582" s="2" t="s">
        <v>35</v>
      </c>
      <c r="E3582" s="5">
        <v>-30366</v>
      </c>
      <c r="F3582" s="3" t="s">
        <v>179</v>
      </c>
      <c r="G3582" s="3" t="s">
        <v>72</v>
      </c>
      <c r="H3582" s="2" t="s">
        <v>29</v>
      </c>
      <c r="I3582" s="2" t="s">
        <v>8282</v>
      </c>
      <c r="J3582" s="3" t="str">
        <f>HYPERLINK("https://www.boe.es/gazeta/dias/1816/11/09/pdfs/GMD-1816-140.pdf#page=7","Abrir facsímil")</f>
        <v>Abrir facsímil</v>
      </c>
      <c r="K3582" s="3" t="s">
        <v>31</v>
      </c>
    </row>
    <row r="3583" spans="1:11" ht="42" customHeight="1">
      <c r="A3583" s="2" t="s">
        <v>8283</v>
      </c>
      <c r="B3583" s="2" t="s">
        <v>8284</v>
      </c>
      <c r="C3583" s="2" t="s">
        <v>111</v>
      </c>
      <c r="D3583" s="2" t="s">
        <v>112</v>
      </c>
      <c r="E3583" s="5">
        <v>-30594</v>
      </c>
      <c r="F3583" s="3" t="s">
        <v>234</v>
      </c>
      <c r="G3583" s="3" t="s">
        <v>52</v>
      </c>
      <c r="H3583" s="2" t="s">
        <v>21</v>
      </c>
      <c r="I3583" s="2" t="s">
        <v>8285</v>
      </c>
      <c r="J3583" s="3" t="str">
        <f>HYPERLINK("https://www.boe.es/gazeta/dias/1816/03/26/pdfs/GMD-1816-40.pdf#page=12","Abrir facsímil")</f>
        <v>Abrir facsímil</v>
      </c>
      <c r="K3583" s="3" t="s">
        <v>23</v>
      </c>
    </row>
    <row r="3584" spans="1:11" ht="42" customHeight="1">
      <c r="A3584" s="2" t="s">
        <v>8286</v>
      </c>
      <c r="B3584" s="2" t="s">
        <v>8287</v>
      </c>
      <c r="C3584" s="2" t="s">
        <v>111</v>
      </c>
      <c r="D3584" s="2" t="s">
        <v>112</v>
      </c>
      <c r="E3584" s="5">
        <v>-30552</v>
      </c>
      <c r="F3584" s="3" t="s">
        <v>1842</v>
      </c>
      <c r="G3584" s="3" t="s">
        <v>42</v>
      </c>
      <c r="H3584" s="2" t="s">
        <v>21</v>
      </c>
      <c r="I3584" s="2" t="s">
        <v>8288</v>
      </c>
      <c r="J3584" s="3" t="str">
        <f>HYPERLINK("https://www.boe.es/gazeta/dias/1816/05/07/pdfs/GMD-1816-58.pdf#page=8","Abrir facsímil")</f>
        <v>Abrir facsímil</v>
      </c>
      <c r="K3584" s="3" t="s">
        <v>23</v>
      </c>
    </row>
    <row r="3585" spans="1:11" ht="42" customHeight="1">
      <c r="A3585" s="2" t="s">
        <v>8283</v>
      </c>
      <c r="B3585" s="2" t="s">
        <v>8284</v>
      </c>
      <c r="C3585" s="2" t="s">
        <v>111</v>
      </c>
      <c r="D3585" s="2" t="s">
        <v>112</v>
      </c>
      <c r="E3585" s="5">
        <v>-30359</v>
      </c>
      <c r="F3585" s="3" t="s">
        <v>812</v>
      </c>
      <c r="G3585" s="3" t="s">
        <v>813</v>
      </c>
      <c r="H3585" s="2" t="s">
        <v>21</v>
      </c>
      <c r="I3585" s="2" t="s">
        <v>8289</v>
      </c>
      <c r="J3585" s="3" t="str">
        <f>HYPERLINK("https://www.boe.es/gazeta/dias/1816/11/16/pdfs/GMD-1816-143.pdf#page=8","Abrir facsímil")</f>
        <v>Abrir facsímil</v>
      </c>
      <c r="K3585" s="3" t="s">
        <v>23</v>
      </c>
    </row>
    <row r="3586" spans="1:11" ht="42" customHeight="1">
      <c r="A3586" s="2" t="s">
        <v>8290</v>
      </c>
      <c r="B3586" s="2" t="s">
        <v>8291</v>
      </c>
      <c r="C3586" s="2" t="s">
        <v>17</v>
      </c>
      <c r="D3586" s="2" t="s">
        <v>18</v>
      </c>
      <c r="E3586" s="5">
        <v>-30412</v>
      </c>
      <c r="F3586" s="3" t="s">
        <v>388</v>
      </c>
      <c r="G3586" s="3" t="s">
        <v>42</v>
      </c>
      <c r="H3586" s="2" t="s">
        <v>21</v>
      </c>
      <c r="I3586" s="2" t="s">
        <v>8292</v>
      </c>
      <c r="J3586" s="3" t="str">
        <f>HYPERLINK("https://www.boe.es/gazeta/dias/1816/09/24/pdfs/GMD-1816-118.pdf#page=8","Abrir facsímil")</f>
        <v>Abrir facsímil</v>
      </c>
      <c r="K3586" s="3" t="s">
        <v>23</v>
      </c>
    </row>
    <row r="3587" spans="1:11" ht="42" customHeight="1">
      <c r="A3587" s="2" t="s">
        <v>8293</v>
      </c>
      <c r="B3587" s="2" t="s">
        <v>8294</v>
      </c>
      <c r="C3587" s="2" t="s">
        <v>41</v>
      </c>
      <c r="D3587" s="2" t="s">
        <v>18</v>
      </c>
      <c r="E3587" s="5">
        <v>-30443</v>
      </c>
      <c r="F3587" s="3" t="s">
        <v>259</v>
      </c>
      <c r="G3587" s="3" t="s">
        <v>260</v>
      </c>
      <c r="H3587" s="2" t="s">
        <v>21</v>
      </c>
      <c r="I3587" s="2" t="s">
        <v>8295</v>
      </c>
      <c r="J3587" s="3" t="str">
        <f>HYPERLINK("https://www.boe.es/gazeta/dias/1816/08/24/pdfs/GMD-1816-105.pdf#page=8","Abrir facsímil")</f>
        <v>Abrir facsímil</v>
      </c>
      <c r="K3587" s="3" t="s">
        <v>23</v>
      </c>
    </row>
    <row r="3588" spans="1:11" ht="42" customHeight="1">
      <c r="A3588" s="2" t="s">
        <v>8296</v>
      </c>
      <c r="B3588" s="2" t="s">
        <v>8297</v>
      </c>
      <c r="C3588" s="2" t="s">
        <v>67</v>
      </c>
      <c r="D3588" s="2" t="s">
        <v>18</v>
      </c>
      <c r="E3588" s="5">
        <v>-30615</v>
      </c>
      <c r="F3588" s="3" t="s">
        <v>1848</v>
      </c>
      <c r="G3588" s="3" t="s">
        <v>42</v>
      </c>
      <c r="H3588" s="2" t="s">
        <v>21</v>
      </c>
      <c r="I3588" s="2" t="s">
        <v>8298</v>
      </c>
      <c r="J3588" s="3" t="str">
        <f>HYPERLINK("https://www.boe.es/gazeta/dias/1816/03/05/pdfs/GMD-1816-30.pdf#page=8","Abrir facsímil")</f>
        <v>Abrir facsímil</v>
      </c>
      <c r="K3588" s="3" t="s">
        <v>23</v>
      </c>
    </row>
    <row r="3589" spans="1:11" ht="42" customHeight="1">
      <c r="A3589" s="2" t="s">
        <v>8299</v>
      </c>
      <c r="B3589" s="2" t="s">
        <v>8300</v>
      </c>
      <c r="C3589" s="2" t="s">
        <v>67</v>
      </c>
      <c r="D3589" s="2" t="s">
        <v>18</v>
      </c>
      <c r="E3589" s="5">
        <v>-30566</v>
      </c>
      <c r="F3589" s="3" t="s">
        <v>113</v>
      </c>
      <c r="G3589" s="3" t="s">
        <v>42</v>
      </c>
      <c r="H3589" s="2" t="s">
        <v>21</v>
      </c>
      <c r="I3589" s="2" t="s">
        <v>8301</v>
      </c>
      <c r="J3589" s="3" t="str">
        <f>HYPERLINK("https://www.boe.es/gazeta/dias/1816/04/23/pdfs/GMD-1816-52.pdf#page=8","Abrir facsímil")</f>
        <v>Abrir facsímil</v>
      </c>
      <c r="K3589" s="3" t="s">
        <v>23</v>
      </c>
    </row>
    <row r="3590" spans="1:11" ht="42" customHeight="1">
      <c r="A3590" s="2" t="s">
        <v>8299</v>
      </c>
      <c r="B3590" s="2" t="s">
        <v>8300</v>
      </c>
      <c r="C3590" s="2" t="s">
        <v>41</v>
      </c>
      <c r="D3590" s="2" t="s">
        <v>18</v>
      </c>
      <c r="E3590" s="5">
        <v>-30508</v>
      </c>
      <c r="F3590" s="3" t="s">
        <v>36</v>
      </c>
      <c r="G3590" s="3" t="s">
        <v>42</v>
      </c>
      <c r="H3590" s="2" t="s">
        <v>21</v>
      </c>
      <c r="I3590" s="2" t="s">
        <v>8302</v>
      </c>
      <c r="J3590" s="3" t="str">
        <f>HYPERLINK("https://www.boe.es/gazeta/dias/1816/06/20/pdfs/GMD-1816-77.pdf#page=8","Abrir facsímil")</f>
        <v>Abrir facsímil</v>
      </c>
      <c r="K3590" s="3" t="s">
        <v>23</v>
      </c>
    </row>
    <row r="3591" spans="1:11" ht="42" customHeight="1">
      <c r="A3591" s="2" t="s">
        <v>8299</v>
      </c>
      <c r="B3591" s="2" t="s">
        <v>8300</v>
      </c>
      <c r="C3591" s="2" t="s">
        <v>67</v>
      </c>
      <c r="D3591" s="2" t="s">
        <v>18</v>
      </c>
      <c r="E3591" s="5">
        <v>-30478</v>
      </c>
      <c r="F3591" s="3" t="s">
        <v>123</v>
      </c>
      <c r="G3591" s="3" t="s">
        <v>42</v>
      </c>
      <c r="H3591" s="2" t="s">
        <v>21</v>
      </c>
      <c r="I3591" s="2" t="s">
        <v>8303</v>
      </c>
      <c r="J3591" s="3" t="str">
        <f>HYPERLINK("https://www.boe.es/gazeta/dias/1816/07/20/pdfs/GMD-1816-90.pdf#page=8","Abrir facsímil")</f>
        <v>Abrir facsímil</v>
      </c>
      <c r="K3591" s="3" t="s">
        <v>23</v>
      </c>
    </row>
    <row r="3592" spans="1:11" ht="42" customHeight="1">
      <c r="A3592" s="2" t="s">
        <v>8299</v>
      </c>
      <c r="B3592" s="2" t="s">
        <v>8300</v>
      </c>
      <c r="C3592" s="2" t="s">
        <v>67</v>
      </c>
      <c r="D3592" s="2" t="s">
        <v>18</v>
      </c>
      <c r="E3592" s="5">
        <v>-30443</v>
      </c>
      <c r="F3592" s="3" t="s">
        <v>259</v>
      </c>
      <c r="G3592" s="3" t="s">
        <v>260</v>
      </c>
      <c r="H3592" s="2" t="s">
        <v>21</v>
      </c>
      <c r="I3592" s="2" t="s">
        <v>8304</v>
      </c>
      <c r="J3592" s="3" t="str">
        <f>HYPERLINK("https://www.boe.es/gazeta/dias/1816/08/24/pdfs/GMD-1816-105.pdf#page=8","Abrir facsímil")</f>
        <v>Abrir facsímil</v>
      </c>
      <c r="K3592" s="3" t="s">
        <v>23</v>
      </c>
    </row>
    <row r="3593" spans="1:11" ht="42" customHeight="1">
      <c r="A3593" s="2" t="s">
        <v>8299</v>
      </c>
      <c r="B3593" s="2" t="s">
        <v>8300</v>
      </c>
      <c r="C3593" s="2" t="s">
        <v>67</v>
      </c>
      <c r="D3593" s="2" t="s">
        <v>18</v>
      </c>
      <c r="E3593" s="5">
        <v>-30380</v>
      </c>
      <c r="F3593" s="3" t="s">
        <v>819</v>
      </c>
      <c r="G3593" s="3" t="s">
        <v>42</v>
      </c>
      <c r="H3593" s="2" t="s">
        <v>21</v>
      </c>
      <c r="I3593" s="2" t="s">
        <v>8305</v>
      </c>
      <c r="J3593" s="3" t="str">
        <f>HYPERLINK("https://www.boe.es/gazeta/dias/1816/10/26/pdfs/GMD-1816-134.pdf#page=8","Abrir facsímil")</f>
        <v>Abrir facsímil</v>
      </c>
      <c r="K3593" s="3" t="s">
        <v>23</v>
      </c>
    </row>
    <row r="3594" spans="1:11" ht="42" customHeight="1">
      <c r="A3594" s="2" t="s">
        <v>8299</v>
      </c>
      <c r="B3594" s="2" t="s">
        <v>8300</v>
      </c>
      <c r="C3594" s="2" t="s">
        <v>67</v>
      </c>
      <c r="D3594" s="2" t="s">
        <v>18</v>
      </c>
      <c r="E3594" s="5">
        <v>-30368</v>
      </c>
      <c r="F3594" s="3" t="s">
        <v>531</v>
      </c>
      <c r="G3594" s="3" t="s">
        <v>42</v>
      </c>
      <c r="H3594" s="2" t="s">
        <v>21</v>
      </c>
      <c r="I3594" s="2" t="s">
        <v>8306</v>
      </c>
      <c r="J3594" s="3" t="str">
        <f>HYPERLINK("https://www.boe.es/gazeta/dias/1816/11/07/pdfs/GMD-1816-139.pdf#page=8","Abrir facsímil")</f>
        <v>Abrir facsímil</v>
      </c>
      <c r="K3594" s="3" t="s">
        <v>23</v>
      </c>
    </row>
    <row r="3595" spans="1:11" ht="42" customHeight="1">
      <c r="A3595" s="2" t="s">
        <v>8299</v>
      </c>
      <c r="B3595" s="2" t="s">
        <v>8300</v>
      </c>
      <c r="C3595" s="2" t="s">
        <v>67</v>
      </c>
      <c r="D3595" s="2" t="s">
        <v>18</v>
      </c>
      <c r="E3595" s="5">
        <v>-30342</v>
      </c>
      <c r="F3595" s="3" t="s">
        <v>116</v>
      </c>
      <c r="G3595" s="3" t="s">
        <v>42</v>
      </c>
      <c r="H3595" s="2" t="s">
        <v>21</v>
      </c>
      <c r="I3595" s="2" t="s">
        <v>8307</v>
      </c>
      <c r="J3595" s="3" t="str">
        <f>HYPERLINK("https://www.boe.es/gazeta/dias/1816/12/03/pdfs/GMD-1816-150.pdf#page=8","Abrir facsímil")</f>
        <v>Abrir facsímil</v>
      </c>
      <c r="K3595" s="3" t="s">
        <v>23</v>
      </c>
    </row>
    <row r="3596" spans="1:11" ht="42" customHeight="1">
      <c r="A3596" s="2" t="s">
        <v>8308</v>
      </c>
      <c r="B3596" s="2" t="s">
        <v>8309</v>
      </c>
      <c r="C3596" s="2" t="s">
        <v>26</v>
      </c>
      <c r="D3596" s="2" t="s">
        <v>18</v>
      </c>
      <c r="E3596" s="5">
        <v>-30347</v>
      </c>
      <c r="F3596" s="3" t="s">
        <v>2994</v>
      </c>
      <c r="G3596" s="3" t="s">
        <v>72</v>
      </c>
      <c r="H3596" s="2" t="s">
        <v>21</v>
      </c>
      <c r="I3596" s="2" t="s">
        <v>8310</v>
      </c>
      <c r="J3596" s="3" t="str">
        <f>HYPERLINK("https://www.boe.es/gazeta/dias/1816/11/28/pdfs/GMD-1816-148.pdf#page=7","Abrir facsímil")</f>
        <v>Abrir facsímil</v>
      </c>
      <c r="K3596" s="3" t="s">
        <v>23</v>
      </c>
    </row>
    <row r="3597" spans="1:11" ht="42" customHeight="1">
      <c r="A3597" s="2" t="s">
        <v>8311</v>
      </c>
      <c r="B3597" s="2" t="s">
        <v>8312</v>
      </c>
      <c r="C3597" s="2" t="s">
        <v>26</v>
      </c>
      <c r="D3597" s="2" t="s">
        <v>56</v>
      </c>
      <c r="E3597" s="5">
        <v>-30393</v>
      </c>
      <c r="F3597" s="3" t="s">
        <v>202</v>
      </c>
      <c r="G3597" s="3" t="s">
        <v>834</v>
      </c>
      <c r="H3597" s="2" t="s">
        <v>21</v>
      </c>
      <c r="I3597" s="2" t="s">
        <v>8313</v>
      </c>
      <c r="J3597" s="3" t="str">
        <f>HYPERLINK("https://www.boe.es/gazeta/dias/1816/10/13/pdfs/GMD-1816-128E.pdf#page=6","Abrir facsímil")</f>
        <v>Abrir facsímil</v>
      </c>
      <c r="K3597" s="3" t="s">
        <v>23</v>
      </c>
    </row>
    <row r="3598" spans="1:11" ht="42" customHeight="1">
      <c r="A3598" s="2" t="s">
        <v>8314</v>
      </c>
      <c r="B3598" s="2" t="s">
        <v>8315</v>
      </c>
      <c r="C3598" s="2" t="s">
        <v>111</v>
      </c>
      <c r="D3598" s="2" t="s">
        <v>112</v>
      </c>
      <c r="E3598" s="5">
        <v>-30445</v>
      </c>
      <c r="F3598" s="3" t="s">
        <v>51</v>
      </c>
      <c r="G3598" s="3" t="s">
        <v>52</v>
      </c>
      <c r="H3598" s="2" t="s">
        <v>21</v>
      </c>
      <c r="I3598" s="2" t="s">
        <v>8316</v>
      </c>
      <c r="J3598" s="3" t="str">
        <f>HYPERLINK("https://www.boe.es/gazeta/dias/1816/08/22/pdfs/GMD-1816-104.pdf#page=12","Abrir facsímil")</f>
        <v>Abrir facsímil</v>
      </c>
      <c r="K3598" s="3" t="s">
        <v>23</v>
      </c>
    </row>
    <row r="3599" spans="1:11" ht="42" customHeight="1">
      <c r="A3599" s="2" t="s">
        <v>8317</v>
      </c>
      <c r="B3599" s="2" t="s">
        <v>8318</v>
      </c>
      <c r="C3599" s="2" t="s">
        <v>34</v>
      </c>
      <c r="D3599" s="2" t="s">
        <v>35</v>
      </c>
      <c r="E3599" s="5">
        <v>-30510</v>
      </c>
      <c r="F3599" s="3" t="s">
        <v>450</v>
      </c>
      <c r="G3599" s="3" t="s">
        <v>270</v>
      </c>
      <c r="H3599" s="2" t="s">
        <v>21</v>
      </c>
      <c r="I3599" s="2" t="s">
        <v>8319</v>
      </c>
      <c r="J3599" s="3" t="str">
        <f>HYPERLINK("https://www.boe.es/gazeta/dias/1816/06/18/pdfs/GMD-1816-76.pdf#page=2","Abrir facsímil")</f>
        <v>Abrir facsímil</v>
      </c>
      <c r="K3599" s="3" t="s">
        <v>23</v>
      </c>
    </row>
    <row r="3600" spans="1:11" ht="42" customHeight="1">
      <c r="A3600" s="2" t="s">
        <v>8320</v>
      </c>
      <c r="B3600" s="2" t="s">
        <v>8321</v>
      </c>
      <c r="C3600" s="2" t="s">
        <v>26</v>
      </c>
      <c r="D3600" s="2" t="s">
        <v>56</v>
      </c>
      <c r="E3600" s="5">
        <v>-30393</v>
      </c>
      <c r="F3600" s="3" t="s">
        <v>202</v>
      </c>
      <c r="G3600" s="3" t="s">
        <v>203</v>
      </c>
      <c r="H3600" s="2" t="s">
        <v>21</v>
      </c>
      <c r="I3600" s="2" t="s">
        <v>8322</v>
      </c>
      <c r="J3600" s="3" t="str">
        <f>HYPERLINK("https://www.boe.es/gazeta/dias/1816/10/13/pdfs/GMD-1816-128E.pdf#page=7","Abrir facsímil")</f>
        <v>Abrir facsímil</v>
      </c>
      <c r="K3600" s="3" t="s">
        <v>23</v>
      </c>
    </row>
    <row r="3601" spans="1:11" ht="42" customHeight="1">
      <c r="A3601" s="2" t="s">
        <v>8323</v>
      </c>
      <c r="B3601" s="2" t="s">
        <v>8324</v>
      </c>
      <c r="C3601" s="2" t="s">
        <v>34</v>
      </c>
      <c r="D3601" s="2" t="s">
        <v>35</v>
      </c>
      <c r="E3601" s="5">
        <v>-30564</v>
      </c>
      <c r="F3601" s="3" t="s">
        <v>963</v>
      </c>
      <c r="G3601" s="3" t="s">
        <v>5064</v>
      </c>
      <c r="H3601" s="2" t="s">
        <v>21</v>
      </c>
      <c r="I3601" s="2" t="s">
        <v>8325</v>
      </c>
      <c r="J3601" s="3" t="str">
        <f>HYPERLINK("https://www.boe.es/gazeta/dias/1816/04/25/pdfs/GMD-1816-53.pdf#page=8","Abrir facsímil")</f>
        <v>Abrir facsímil</v>
      </c>
      <c r="K3601" s="3" t="s">
        <v>23</v>
      </c>
    </row>
    <row r="3602" spans="1:11" ht="42" customHeight="1">
      <c r="A3602" s="2" t="s">
        <v>8326</v>
      </c>
      <c r="B3602" s="2" t="s">
        <v>8327</v>
      </c>
      <c r="C3602" s="2" t="s">
        <v>26</v>
      </c>
      <c r="D3602" s="2" t="s">
        <v>18</v>
      </c>
      <c r="E3602" s="5">
        <v>-30366</v>
      </c>
      <c r="F3602" s="3" t="s">
        <v>179</v>
      </c>
      <c r="G3602" s="3" t="s">
        <v>28</v>
      </c>
      <c r="H3602" s="2" t="s">
        <v>21</v>
      </c>
      <c r="I3602" s="2" t="s">
        <v>8328</v>
      </c>
      <c r="J3602" s="3" t="str">
        <f>HYPERLINK("https://www.boe.es/gazeta/dias/1816/11/09/pdfs/GMD-1816-140.pdf#page=6","Abrir facsímil")</f>
        <v>Abrir facsímil</v>
      </c>
      <c r="K3602" s="3" t="s">
        <v>23</v>
      </c>
    </row>
    <row r="3603" spans="1:11" ht="42" customHeight="1">
      <c r="A3603" s="2" t="s">
        <v>8329</v>
      </c>
      <c r="B3603" s="2" t="s">
        <v>8330</v>
      </c>
      <c r="C3603" s="2" t="s">
        <v>34</v>
      </c>
      <c r="D3603" s="2" t="s">
        <v>35</v>
      </c>
      <c r="E3603" s="5">
        <v>-30431</v>
      </c>
      <c r="F3603" s="3" t="s">
        <v>756</v>
      </c>
      <c r="G3603" s="3" t="s">
        <v>72</v>
      </c>
      <c r="H3603" s="2" t="s">
        <v>29</v>
      </c>
      <c r="I3603" s="2" t="s">
        <v>8331</v>
      </c>
      <c r="J3603" s="3" t="str">
        <f>HYPERLINK("https://www.boe.es/gazeta/dias/1816/09/05/pdfs/GMD-1816-110.pdf#page=7","Abrir facsímil")</f>
        <v>Abrir facsímil</v>
      </c>
      <c r="K3603" s="3" t="s">
        <v>31</v>
      </c>
    </row>
    <row r="3604" spans="1:11" ht="42" customHeight="1">
      <c r="A3604" s="2" t="s">
        <v>8332</v>
      </c>
      <c r="B3604" s="2" t="s">
        <v>8333</v>
      </c>
      <c r="C3604" s="2" t="s">
        <v>17</v>
      </c>
      <c r="D3604" s="2" t="s">
        <v>18</v>
      </c>
      <c r="E3604" s="5">
        <v>-30513</v>
      </c>
      <c r="F3604" s="3" t="s">
        <v>582</v>
      </c>
      <c r="G3604" s="3" t="s">
        <v>42</v>
      </c>
      <c r="H3604" s="2" t="s">
        <v>29</v>
      </c>
      <c r="I3604" s="2" t="s">
        <v>8334</v>
      </c>
      <c r="J3604" s="3" t="str">
        <f>HYPERLINK("https://www.boe.es/gazeta/dias/1816/06/15/pdfs/GMD-1816-75.pdf#page=8","Abrir facsímil")</f>
        <v>Abrir facsímil</v>
      </c>
      <c r="K3604" s="3" t="s">
        <v>31</v>
      </c>
    </row>
    <row r="3605" spans="1:11" ht="42" customHeight="1">
      <c r="A3605" s="2" t="s">
        <v>8335</v>
      </c>
      <c r="B3605" s="2" t="s">
        <v>8335</v>
      </c>
      <c r="C3605" s="2" t="s">
        <v>34</v>
      </c>
      <c r="D3605" s="2" t="s">
        <v>35</v>
      </c>
      <c r="E3605" s="5">
        <v>-30634</v>
      </c>
      <c r="F3605" s="3" t="s">
        <v>1104</v>
      </c>
      <c r="G3605" s="3" t="s">
        <v>2234</v>
      </c>
      <c r="H3605" s="2" t="s">
        <v>21</v>
      </c>
      <c r="I3605" s="2" t="s">
        <v>8336</v>
      </c>
      <c r="J3605" s="3" t="str">
        <f>HYPERLINK("https://www.boe.es/gazeta/dias/1816/02/15/pdfs/GMD-1816-21.pdf#page=8","Abrir facsímil")</f>
        <v>Abrir facsímil</v>
      </c>
      <c r="K3605" s="3" t="s">
        <v>23</v>
      </c>
    </row>
    <row r="3606" spans="1:11" ht="42" customHeight="1">
      <c r="A3606" s="2" t="s">
        <v>8335</v>
      </c>
      <c r="B3606" s="2" t="s">
        <v>8335</v>
      </c>
      <c r="C3606" s="2" t="s">
        <v>34</v>
      </c>
      <c r="D3606" s="2" t="s">
        <v>35</v>
      </c>
      <c r="E3606" s="5">
        <v>-30452</v>
      </c>
      <c r="F3606" s="3" t="s">
        <v>3546</v>
      </c>
      <c r="G3606" s="3" t="s">
        <v>58</v>
      </c>
      <c r="H3606" s="2" t="s">
        <v>21</v>
      </c>
      <c r="I3606" s="2" t="s">
        <v>8337</v>
      </c>
      <c r="J3606" s="3" t="str">
        <f>HYPERLINK("https://www.boe.es/gazeta/dias/1816/08/15/pdfs/GMD-1816-101.pdf#page=1","Abrir facsímil")</f>
        <v>Abrir facsímil</v>
      </c>
      <c r="K3606" s="3" t="s">
        <v>23</v>
      </c>
    </row>
    <row r="3607" spans="1:11" ht="42" customHeight="1">
      <c r="A3607" s="2" t="s">
        <v>8338</v>
      </c>
      <c r="B3607" s="2" t="s">
        <v>8338</v>
      </c>
      <c r="C3607" s="2" t="s">
        <v>34</v>
      </c>
      <c r="D3607" s="2" t="s">
        <v>35</v>
      </c>
      <c r="E3607" s="5">
        <v>-30436</v>
      </c>
      <c r="F3607" s="3" t="s">
        <v>102</v>
      </c>
      <c r="G3607" s="3" t="s">
        <v>270</v>
      </c>
      <c r="H3607" s="2" t="s">
        <v>21</v>
      </c>
      <c r="I3607" s="2" t="s">
        <v>8339</v>
      </c>
      <c r="J3607" s="3" t="str">
        <f>HYPERLINK("https://www.boe.es/gazeta/dias/1816/08/31/pdfs/GMD-1816-108.pdf#page=2","Abrir facsímil")</f>
        <v>Abrir facsímil</v>
      </c>
      <c r="K3607" s="3" t="s">
        <v>23</v>
      </c>
    </row>
    <row r="3608" spans="1:11" ht="42" customHeight="1">
      <c r="A3608" s="2" t="s">
        <v>8340</v>
      </c>
      <c r="B3608" s="2" t="s">
        <v>8341</v>
      </c>
      <c r="C3608" s="2" t="s">
        <v>34</v>
      </c>
      <c r="D3608" s="2" t="s">
        <v>35</v>
      </c>
      <c r="E3608" s="5">
        <v>-30391</v>
      </c>
      <c r="F3608" s="3" t="s">
        <v>482</v>
      </c>
      <c r="G3608" s="3" t="s">
        <v>3258</v>
      </c>
      <c r="H3608" s="2" t="s">
        <v>21</v>
      </c>
      <c r="I3608" s="2" t="s">
        <v>8342</v>
      </c>
      <c r="J3608" s="3" t="str">
        <f>HYPERLINK("https://www.boe.es/gazeta/dias/1816/10/15/pdfs/GMD-1816-129.pdf#page=8","Abrir facsímil")</f>
        <v>Abrir facsímil</v>
      </c>
      <c r="K3608" s="3" t="s">
        <v>23</v>
      </c>
    </row>
    <row r="3609" spans="1:11" ht="42" customHeight="1">
      <c r="A3609" s="2" t="s">
        <v>8343</v>
      </c>
      <c r="B3609" s="2" t="s">
        <v>8344</v>
      </c>
      <c r="C3609" s="2" t="s">
        <v>26</v>
      </c>
      <c r="D3609" s="2" t="s">
        <v>18</v>
      </c>
      <c r="E3609" s="5">
        <v>-30387</v>
      </c>
      <c r="F3609" s="3" t="s">
        <v>224</v>
      </c>
      <c r="G3609" s="3" t="s">
        <v>184</v>
      </c>
      <c r="H3609" s="2" t="s">
        <v>21</v>
      </c>
      <c r="I3609" s="2" t="s">
        <v>8345</v>
      </c>
      <c r="J3609" s="3" t="str">
        <f>HYPERLINK("https://www.boe.es/gazeta/dias/1816/10/19/pdfs/GMD-1816-131.pdf#page=3","Abrir facsímil")</f>
        <v>Abrir facsímil</v>
      </c>
      <c r="K3609" s="3" t="s">
        <v>23</v>
      </c>
    </row>
    <row r="3610" spans="1:11" ht="42" customHeight="1">
      <c r="A3610" s="2" t="s">
        <v>8346</v>
      </c>
      <c r="B3610" s="2" t="s">
        <v>8347</v>
      </c>
      <c r="C3610" s="2" t="s">
        <v>111</v>
      </c>
      <c r="D3610" s="2" t="s">
        <v>112</v>
      </c>
      <c r="E3610" s="5">
        <v>-30384</v>
      </c>
      <c r="F3610" s="3" t="s">
        <v>460</v>
      </c>
      <c r="G3610" s="3" t="s">
        <v>42</v>
      </c>
      <c r="H3610" s="2" t="s">
        <v>21</v>
      </c>
      <c r="I3610" s="2" t="s">
        <v>8348</v>
      </c>
      <c r="J3610" s="3" t="str">
        <f>HYPERLINK("https://www.boe.es/gazeta/dias/1816/10/22/pdfs/GMD-1816-132.pdf#page=8","Abrir facsímil")</f>
        <v>Abrir facsímil</v>
      </c>
      <c r="K3610" s="3" t="s">
        <v>23</v>
      </c>
    </row>
    <row r="3611" spans="1:11" ht="42" customHeight="1">
      <c r="A3611" s="2" t="s">
        <v>8349</v>
      </c>
      <c r="B3611" s="2" t="s">
        <v>8350</v>
      </c>
      <c r="C3611" s="2" t="s">
        <v>34</v>
      </c>
      <c r="D3611" s="2" t="s">
        <v>35</v>
      </c>
      <c r="E3611" s="5">
        <v>-30387</v>
      </c>
      <c r="F3611" s="3" t="s">
        <v>224</v>
      </c>
      <c r="G3611" s="3" t="s">
        <v>28</v>
      </c>
      <c r="H3611" s="2" t="s">
        <v>21</v>
      </c>
      <c r="I3611" s="2" t="s">
        <v>8351</v>
      </c>
      <c r="J3611" s="3" t="str">
        <f>HYPERLINK("https://www.boe.es/gazeta/dias/1816/10/19/pdfs/GMD-1816-131.pdf#page=6","Abrir facsímil")</f>
        <v>Abrir facsímil</v>
      </c>
      <c r="K3611" s="3" t="s">
        <v>23</v>
      </c>
    </row>
    <row r="3612" spans="1:11" ht="42" customHeight="1">
      <c r="A3612" s="2" t="s">
        <v>8352</v>
      </c>
      <c r="B3612" s="2" t="s">
        <v>8353</v>
      </c>
      <c r="C3612" s="2" t="s">
        <v>26</v>
      </c>
      <c r="D3612" s="2" t="s">
        <v>18</v>
      </c>
      <c r="E3612" s="5">
        <v>-30391</v>
      </c>
      <c r="F3612" s="3" t="s">
        <v>482</v>
      </c>
      <c r="G3612" s="3" t="s">
        <v>72</v>
      </c>
      <c r="H3612" s="2" t="s">
        <v>21</v>
      </c>
      <c r="I3612" s="2" t="s">
        <v>8354</v>
      </c>
      <c r="J3612" s="3" t="str">
        <f>HYPERLINK("https://www.boe.es/gazeta/dias/1816/10/15/pdfs/GMD-1816-129.pdf#page=7","Abrir facsímil")</f>
        <v>Abrir facsímil</v>
      </c>
      <c r="K3612" s="3" t="s">
        <v>23</v>
      </c>
    </row>
    <row r="3613" spans="1:11" ht="42" customHeight="1">
      <c r="A3613" s="2" t="s">
        <v>8355</v>
      </c>
      <c r="B3613" s="2" t="s">
        <v>8356</v>
      </c>
      <c r="C3613" s="2" t="s">
        <v>111</v>
      </c>
      <c r="D3613" s="2" t="s">
        <v>112</v>
      </c>
      <c r="E3613" s="5">
        <v>-30382</v>
      </c>
      <c r="F3613" s="3" t="s">
        <v>326</v>
      </c>
      <c r="G3613" s="3" t="s">
        <v>47</v>
      </c>
      <c r="H3613" s="2" t="s">
        <v>21</v>
      </c>
      <c r="I3613" s="2" t="s">
        <v>8357</v>
      </c>
      <c r="J3613" s="3" t="str">
        <f>HYPERLINK("https://www.boe.es/gazeta/dias/1816/10/24/pdfs/GMD-1816-133.pdf#page=5","Abrir facsímil")</f>
        <v>Abrir facsímil</v>
      </c>
      <c r="K3613" s="3" t="s">
        <v>23</v>
      </c>
    </row>
    <row r="3614" spans="1:11" ht="42" customHeight="1">
      <c r="A3614" s="2" t="s">
        <v>8358</v>
      </c>
      <c r="B3614" s="2" t="s">
        <v>8359</v>
      </c>
      <c r="C3614" s="2" t="s">
        <v>111</v>
      </c>
      <c r="D3614" s="2" t="s">
        <v>112</v>
      </c>
      <c r="E3614" s="5">
        <v>-30564</v>
      </c>
      <c r="F3614" s="3" t="s">
        <v>963</v>
      </c>
      <c r="G3614" s="3" t="s">
        <v>1662</v>
      </c>
      <c r="H3614" s="2" t="s">
        <v>21</v>
      </c>
      <c r="I3614" s="2" t="s">
        <v>8360</v>
      </c>
      <c r="J3614" s="3" t="str">
        <f>HYPERLINK("https://www.boe.es/gazeta/dias/1816/04/25/pdfs/GMD-1816-53.pdf#page=7","Abrir facsímil")</f>
        <v>Abrir facsímil</v>
      </c>
      <c r="K3614" s="3" t="s">
        <v>23</v>
      </c>
    </row>
    <row r="3615" spans="1:11" ht="42" customHeight="1">
      <c r="A3615" s="2" t="s">
        <v>8361</v>
      </c>
      <c r="B3615" s="2" t="s">
        <v>8362</v>
      </c>
      <c r="C3615" s="2" t="s">
        <v>111</v>
      </c>
      <c r="D3615" s="2" t="s">
        <v>112</v>
      </c>
      <c r="E3615" s="5">
        <v>-30412</v>
      </c>
      <c r="F3615" s="3" t="s">
        <v>388</v>
      </c>
      <c r="G3615" s="3" t="s">
        <v>2542</v>
      </c>
      <c r="H3615" s="2" t="s">
        <v>29</v>
      </c>
      <c r="I3615" s="2" t="s">
        <v>8363</v>
      </c>
      <c r="J3615" s="3" t="str">
        <f>HYPERLINK("https://www.boe.es/gazeta/dias/1816/09/24/pdfs/GMD-1816-118.pdf#page=5","Abrir facsímil")</f>
        <v>Abrir facsímil</v>
      </c>
      <c r="K3615" s="3" t="s">
        <v>31</v>
      </c>
    </row>
    <row r="3616" spans="1:11" ht="42" customHeight="1">
      <c r="A3616" s="2" t="s">
        <v>8364</v>
      </c>
      <c r="B3616" s="2" t="s">
        <v>8364</v>
      </c>
      <c r="C3616" s="2" t="s">
        <v>34</v>
      </c>
      <c r="D3616" s="2" t="s">
        <v>35</v>
      </c>
      <c r="E3616" s="5">
        <v>-30669</v>
      </c>
      <c r="F3616" s="3" t="s">
        <v>3499</v>
      </c>
      <c r="G3616" s="3" t="s">
        <v>47</v>
      </c>
      <c r="H3616" s="2" t="s">
        <v>21</v>
      </c>
      <c r="I3616" s="2" t="s">
        <v>8365</v>
      </c>
      <c r="J3616" s="3" t="str">
        <f>HYPERLINK("https://www.boe.es/gazeta/dias/1816/01/11/pdfs/GMD-1816-5.pdf#page=5","Abrir facsímil")</f>
        <v>Abrir facsímil</v>
      </c>
      <c r="K3616" s="3" t="s">
        <v>23</v>
      </c>
    </row>
    <row r="3617" spans="1:11" ht="42" customHeight="1">
      <c r="A3617" s="2" t="s">
        <v>8366</v>
      </c>
      <c r="B3617" s="2" t="s">
        <v>8366</v>
      </c>
      <c r="C3617" s="2" t="s">
        <v>34</v>
      </c>
      <c r="D3617" s="2" t="s">
        <v>35</v>
      </c>
      <c r="E3617" s="5">
        <v>-30452</v>
      </c>
      <c r="F3617" s="3" t="s">
        <v>3546</v>
      </c>
      <c r="G3617" s="3" t="s">
        <v>184</v>
      </c>
      <c r="H3617" s="2" t="s">
        <v>21</v>
      </c>
      <c r="I3617" s="2" t="s">
        <v>8367</v>
      </c>
      <c r="J3617" s="3" t="str">
        <f>HYPERLINK("https://www.boe.es/gazeta/dias/1816/08/15/pdfs/GMD-1816-101.pdf#page=3","Abrir facsímil")</f>
        <v>Abrir facsímil</v>
      </c>
      <c r="K3617" s="3" t="s">
        <v>23</v>
      </c>
    </row>
    <row r="3618" spans="1:11" ht="42" customHeight="1">
      <c r="A3618" s="2" t="s">
        <v>8368</v>
      </c>
      <c r="B3618" s="2" t="s">
        <v>8369</v>
      </c>
      <c r="C3618" s="2" t="s">
        <v>26</v>
      </c>
      <c r="D3618" s="2" t="s">
        <v>18</v>
      </c>
      <c r="E3618" s="5">
        <v>-30494</v>
      </c>
      <c r="F3618" s="3" t="s">
        <v>174</v>
      </c>
      <c r="G3618" s="3" t="s">
        <v>175</v>
      </c>
      <c r="H3618" s="2" t="s">
        <v>21</v>
      </c>
      <c r="I3618" s="2" t="s">
        <v>8370</v>
      </c>
      <c r="J3618" s="3" t="str">
        <f>HYPERLINK("https://www.boe.es/gazeta/dias/1816/07/04/pdfs/GMD-1816-83.pdf#page=11","Abrir facsímil")</f>
        <v>Abrir facsímil</v>
      </c>
      <c r="K3618" s="3" t="s">
        <v>23</v>
      </c>
    </row>
    <row r="3619" spans="1:11" ht="42" customHeight="1">
      <c r="A3619" s="2" t="s">
        <v>8371</v>
      </c>
      <c r="B3619" s="2" t="s">
        <v>8372</v>
      </c>
      <c r="C3619" s="2" t="s">
        <v>34</v>
      </c>
      <c r="D3619" s="2" t="s">
        <v>35</v>
      </c>
      <c r="E3619" s="5">
        <v>-30580</v>
      </c>
      <c r="F3619" s="3" t="s">
        <v>107</v>
      </c>
      <c r="G3619" s="3" t="s">
        <v>28</v>
      </c>
      <c r="H3619" s="2" t="s">
        <v>21</v>
      </c>
      <c r="I3619" s="2" t="s">
        <v>8373</v>
      </c>
      <c r="J3619" s="3" t="str">
        <f>HYPERLINK("https://www.boe.es/gazeta/dias/1816/04/09/pdfs/GMD-1816-46.pdf#page=6","Abrir facsímil")</f>
        <v>Abrir facsímil</v>
      </c>
      <c r="K3619" s="3" t="s">
        <v>23</v>
      </c>
    </row>
    <row r="3620" spans="1:11" ht="42" customHeight="1">
      <c r="A3620" s="2" t="s">
        <v>8374</v>
      </c>
      <c r="B3620" s="2" t="s">
        <v>8374</v>
      </c>
      <c r="C3620" s="2" t="s">
        <v>26</v>
      </c>
      <c r="D3620" s="2" t="s">
        <v>18</v>
      </c>
      <c r="E3620" s="5">
        <v>-30674</v>
      </c>
      <c r="F3620" s="3" t="s">
        <v>19</v>
      </c>
      <c r="G3620" s="3" t="s">
        <v>58</v>
      </c>
      <c r="H3620" s="2" t="s">
        <v>21</v>
      </c>
      <c r="I3620" s="2" t="s">
        <v>8375</v>
      </c>
      <c r="J3620" s="3" t="str">
        <f>HYPERLINK("https://www.boe.es/gazeta/dias/1816/01/06/pdfs/GMD-1816-3.pdf#page=1","Abrir facsímil")</f>
        <v>Abrir facsímil</v>
      </c>
      <c r="K3620" s="3" t="s">
        <v>23</v>
      </c>
    </row>
    <row r="3621" spans="1:11" ht="42" customHeight="1">
      <c r="A3621" s="2" t="s">
        <v>8376</v>
      </c>
      <c r="B3621" s="2" t="s">
        <v>8377</v>
      </c>
      <c r="C3621" s="2" t="s">
        <v>26</v>
      </c>
      <c r="D3621" s="2" t="s">
        <v>18</v>
      </c>
      <c r="E3621" s="5">
        <v>-30496</v>
      </c>
      <c r="F3621" s="3" t="s">
        <v>290</v>
      </c>
      <c r="G3621" s="3" t="s">
        <v>673</v>
      </c>
      <c r="H3621" s="2" t="s">
        <v>21</v>
      </c>
      <c r="I3621" s="2" t="s">
        <v>8378</v>
      </c>
      <c r="J3621" s="3" t="str">
        <f>HYPERLINK("https://www.boe.es/gazeta/dias/1816/07/02/pdfs/GMD-1816-82.pdf#page=4","Abrir facsímil")</f>
        <v>Abrir facsímil</v>
      </c>
      <c r="K3621" s="3" t="s">
        <v>23</v>
      </c>
    </row>
    <row r="3622" spans="1:11" ht="42" customHeight="1">
      <c r="A3622" s="2" t="s">
        <v>8379</v>
      </c>
      <c r="B3622" s="2" t="s">
        <v>8380</v>
      </c>
      <c r="C3622" s="2" t="s">
        <v>111</v>
      </c>
      <c r="D3622" s="2" t="s">
        <v>112</v>
      </c>
      <c r="E3622" s="5">
        <v>-30594</v>
      </c>
      <c r="F3622" s="3" t="s">
        <v>234</v>
      </c>
      <c r="G3622" s="3" t="s">
        <v>52</v>
      </c>
      <c r="H3622" s="2" t="s">
        <v>21</v>
      </c>
      <c r="I3622" s="2" t="s">
        <v>8381</v>
      </c>
      <c r="J3622" s="3" t="str">
        <f>HYPERLINK("https://www.boe.es/gazeta/dias/1816/03/26/pdfs/GMD-1816-40.pdf#page=12","Abrir facsímil")</f>
        <v>Abrir facsímil</v>
      </c>
      <c r="K3622" s="3" t="s">
        <v>23</v>
      </c>
    </row>
    <row r="3623" spans="1:11" ht="42" customHeight="1">
      <c r="A3623" s="2" t="s">
        <v>8382</v>
      </c>
      <c r="B3623" s="2" t="s">
        <v>8383</v>
      </c>
      <c r="C3623" s="2" t="s">
        <v>26</v>
      </c>
      <c r="D3623" s="2" t="s">
        <v>56</v>
      </c>
      <c r="E3623" s="5">
        <v>-30393</v>
      </c>
      <c r="F3623" s="3" t="s">
        <v>202</v>
      </c>
      <c r="G3623" s="3" t="s">
        <v>47</v>
      </c>
      <c r="H3623" s="2" t="s">
        <v>21</v>
      </c>
      <c r="I3623" s="2" t="s">
        <v>8384</v>
      </c>
      <c r="J3623" s="3" t="str">
        <f>HYPERLINK("https://www.boe.es/gazeta/dias/1816/10/13/pdfs/GMD-1816-128E.pdf#page=5","Abrir facsímil")</f>
        <v>Abrir facsímil</v>
      </c>
      <c r="K3623" s="3" t="s">
        <v>23</v>
      </c>
    </row>
    <row r="3624" spans="1:11" ht="42" customHeight="1">
      <c r="A3624" s="2" t="s">
        <v>8385</v>
      </c>
      <c r="B3624" s="2" t="s">
        <v>8386</v>
      </c>
      <c r="C3624" s="2" t="s">
        <v>34</v>
      </c>
      <c r="D3624" s="2" t="s">
        <v>35</v>
      </c>
      <c r="E3624" s="5">
        <v>-30436</v>
      </c>
      <c r="F3624" s="3" t="s">
        <v>102</v>
      </c>
      <c r="G3624" s="3" t="s">
        <v>103</v>
      </c>
      <c r="H3624" s="2" t="s">
        <v>29</v>
      </c>
      <c r="I3624" s="2" t="s">
        <v>8387</v>
      </c>
      <c r="J3624" s="3" t="str">
        <f>HYPERLINK("https://www.boe.es/gazeta/dias/1816/08/31/pdfs/GMD-1816-108.pdf#page=4","Abrir facsímil")</f>
        <v>Abrir facsímil</v>
      </c>
      <c r="K3624" s="3" t="s">
        <v>31</v>
      </c>
    </row>
    <row r="3625" spans="1:11" ht="42" customHeight="1">
      <c r="A3625" s="2" t="s">
        <v>8388</v>
      </c>
      <c r="B3625" s="2" t="s">
        <v>8389</v>
      </c>
      <c r="C3625" s="2" t="s">
        <v>34</v>
      </c>
      <c r="D3625" s="2" t="s">
        <v>35</v>
      </c>
      <c r="E3625" s="5">
        <v>-30564</v>
      </c>
      <c r="F3625" s="3" t="s">
        <v>963</v>
      </c>
      <c r="G3625" s="3" t="s">
        <v>103</v>
      </c>
      <c r="H3625" s="2" t="s">
        <v>21</v>
      </c>
      <c r="I3625" s="2" t="s">
        <v>8390</v>
      </c>
      <c r="J3625" s="3" t="str">
        <f>HYPERLINK("https://www.boe.es/gazeta/dias/1816/04/25/pdfs/GMD-1816-53.pdf#page=4","Abrir facsímil")</f>
        <v>Abrir facsímil</v>
      </c>
      <c r="K3625" s="3" t="s">
        <v>23</v>
      </c>
    </row>
    <row r="3626" spans="1:11" ht="42" customHeight="1">
      <c r="A3626" s="2" t="s">
        <v>8391</v>
      </c>
      <c r="B3626" s="2" t="s">
        <v>8392</v>
      </c>
      <c r="C3626" s="2" t="s">
        <v>34</v>
      </c>
      <c r="D3626" s="2" t="s">
        <v>35</v>
      </c>
      <c r="E3626" s="5">
        <v>-30324</v>
      </c>
      <c r="F3626" s="3" t="s">
        <v>46</v>
      </c>
      <c r="G3626" s="3" t="s">
        <v>72</v>
      </c>
      <c r="H3626" s="2" t="s">
        <v>21</v>
      </c>
      <c r="I3626" s="2" t="s">
        <v>8393</v>
      </c>
      <c r="J3626" s="3" t="str">
        <f>HYPERLINK("https://www.boe.es/gazeta/dias/1816/12/21/pdfs/GMD-1816-158.pdf#page=7","Abrir facsímil")</f>
        <v>Abrir facsímil</v>
      </c>
      <c r="K3626" s="3" t="s">
        <v>23</v>
      </c>
    </row>
    <row r="3627" spans="1:11" ht="42" customHeight="1">
      <c r="A3627" s="2" t="s">
        <v>8394</v>
      </c>
      <c r="B3627" s="2" t="s">
        <v>8395</v>
      </c>
      <c r="C3627" s="2" t="s">
        <v>34</v>
      </c>
      <c r="D3627" s="2" t="s">
        <v>35</v>
      </c>
      <c r="E3627" s="5">
        <v>-30326</v>
      </c>
      <c r="F3627" s="3" t="s">
        <v>377</v>
      </c>
      <c r="G3627" s="3" t="s">
        <v>28</v>
      </c>
      <c r="H3627" s="2" t="s">
        <v>21</v>
      </c>
      <c r="I3627" s="2" t="s">
        <v>8396</v>
      </c>
      <c r="J3627" s="3" t="str">
        <f>HYPERLINK("https://www.boe.es/gazeta/dias/1816/12/19/pdfs/GMD-1816-157.pdf#page=6","Abrir facsímil")</f>
        <v>Abrir facsímil</v>
      </c>
      <c r="K3627" s="3" t="s">
        <v>23</v>
      </c>
    </row>
    <row r="3628" spans="1:11" ht="42" customHeight="1">
      <c r="A3628" s="2" t="s">
        <v>8397</v>
      </c>
      <c r="B3628" s="2" t="s">
        <v>8398</v>
      </c>
      <c r="C3628" s="2" t="s">
        <v>26</v>
      </c>
      <c r="D3628" s="2" t="s">
        <v>18</v>
      </c>
      <c r="E3628" s="5">
        <v>-30384</v>
      </c>
      <c r="F3628" s="3" t="s">
        <v>460</v>
      </c>
      <c r="G3628" s="3" t="s">
        <v>47</v>
      </c>
      <c r="H3628" s="2" t="s">
        <v>21</v>
      </c>
      <c r="I3628" s="2" t="s">
        <v>8399</v>
      </c>
      <c r="J3628" s="3" t="str">
        <f>HYPERLINK("https://www.boe.es/gazeta/dias/1816/10/22/pdfs/GMD-1816-132.pdf#page=5","Abrir facsímil")</f>
        <v>Abrir facsímil</v>
      </c>
      <c r="K3628" s="3" t="s">
        <v>23</v>
      </c>
    </row>
    <row r="3629" spans="1:11" ht="42" customHeight="1">
      <c r="A3629" s="2" t="s">
        <v>8400</v>
      </c>
      <c r="B3629" s="2" t="s">
        <v>8401</v>
      </c>
      <c r="C3629" s="2" t="s">
        <v>111</v>
      </c>
      <c r="D3629" s="2" t="s">
        <v>56</v>
      </c>
      <c r="E3629" s="5">
        <v>-30393</v>
      </c>
      <c r="F3629" s="3" t="s">
        <v>202</v>
      </c>
      <c r="G3629" s="3" t="s">
        <v>270</v>
      </c>
      <c r="H3629" s="2" t="s">
        <v>21</v>
      </c>
      <c r="I3629" s="2" t="s">
        <v>8402</v>
      </c>
      <c r="J3629" s="3" t="str">
        <f>HYPERLINK("https://www.boe.es/gazeta/dias/1816/10/13/pdfs/GMD-1816-128E.pdf#page=2","Abrir facsímil")</f>
        <v>Abrir facsímil</v>
      </c>
      <c r="K3629" s="3" t="s">
        <v>23</v>
      </c>
    </row>
    <row r="3630" spans="1:11" ht="42" customHeight="1">
      <c r="A3630" s="2" t="s">
        <v>8403</v>
      </c>
      <c r="B3630" s="2" t="s">
        <v>8403</v>
      </c>
      <c r="C3630" s="2" t="s">
        <v>26</v>
      </c>
      <c r="D3630" s="2" t="s">
        <v>18</v>
      </c>
      <c r="E3630" s="5">
        <v>-30592</v>
      </c>
      <c r="F3630" s="3" t="s">
        <v>236</v>
      </c>
      <c r="G3630" s="3" t="s">
        <v>42</v>
      </c>
      <c r="H3630" s="2" t="s">
        <v>21</v>
      </c>
      <c r="I3630" s="2" t="s">
        <v>8404</v>
      </c>
      <c r="J3630" s="3" t="str">
        <f>HYPERLINK("https://www.boe.es/gazeta/dias/1816/03/28/pdfs/GMD-1816-41.pdf#page=8","Abrir facsímil")</f>
        <v>Abrir facsímil</v>
      </c>
      <c r="K3630" s="3" t="s">
        <v>23</v>
      </c>
    </row>
    <row r="3631" spans="1:11" ht="42" customHeight="1">
      <c r="A3631" s="2" t="s">
        <v>8405</v>
      </c>
      <c r="B3631" s="2" t="s">
        <v>8406</v>
      </c>
      <c r="C3631" s="2" t="s">
        <v>111</v>
      </c>
      <c r="D3631" s="2" t="s">
        <v>112</v>
      </c>
      <c r="E3631" s="5">
        <v>-30419</v>
      </c>
      <c r="F3631" s="3" t="s">
        <v>1256</v>
      </c>
      <c r="G3631" s="3" t="s">
        <v>184</v>
      </c>
      <c r="H3631" s="2" t="s">
        <v>21</v>
      </c>
      <c r="I3631" s="2" t="s">
        <v>8407</v>
      </c>
      <c r="J3631" s="3" t="str">
        <f>HYPERLINK("https://www.boe.es/gazeta/dias/1816/09/17/pdfs/GMD-1816-115.pdf#page=3","Abrir facsímil")</f>
        <v>Abrir facsímil</v>
      </c>
      <c r="K3631" s="3" t="s">
        <v>23</v>
      </c>
    </row>
    <row r="3632" spans="1:11" ht="42" customHeight="1">
      <c r="A3632" s="2" t="s">
        <v>8408</v>
      </c>
      <c r="B3632" s="2" t="s">
        <v>8409</v>
      </c>
      <c r="C3632" s="2" t="s">
        <v>34</v>
      </c>
      <c r="D3632" s="2" t="s">
        <v>35</v>
      </c>
      <c r="E3632" s="5">
        <v>-30492</v>
      </c>
      <c r="F3632" s="3" t="s">
        <v>248</v>
      </c>
      <c r="G3632" s="3" t="s">
        <v>28</v>
      </c>
      <c r="H3632" s="2" t="s">
        <v>21</v>
      </c>
      <c r="I3632" s="2" t="s">
        <v>8410</v>
      </c>
      <c r="J3632" s="3" t="str">
        <f>HYPERLINK("https://www.boe.es/gazeta/dias/1816/07/06/pdfs/GMD-1816-84.pdf#page=6","Abrir facsímil")</f>
        <v>Abrir facsímil</v>
      </c>
      <c r="K3632" s="3" t="s">
        <v>23</v>
      </c>
    </row>
    <row r="3633" spans="1:11" ht="42" customHeight="1">
      <c r="A3633" s="2" t="s">
        <v>8411</v>
      </c>
      <c r="B3633" s="2" t="s">
        <v>8412</v>
      </c>
      <c r="C3633" s="2" t="s">
        <v>111</v>
      </c>
      <c r="D3633" s="2" t="s">
        <v>112</v>
      </c>
      <c r="E3633" s="5">
        <v>-30622</v>
      </c>
      <c r="F3633" s="3" t="s">
        <v>27</v>
      </c>
      <c r="G3633" s="3" t="s">
        <v>2195</v>
      </c>
      <c r="H3633" s="2" t="s">
        <v>21</v>
      </c>
      <c r="I3633" s="2" t="s">
        <v>8413</v>
      </c>
      <c r="J3633" s="3" t="str">
        <f>HYPERLINK("https://www.boe.es/gazeta/dias/1816/02/27/pdfs/GMD-1816-26.pdf#page=8","Abrir facsímil")</f>
        <v>Abrir facsímil</v>
      </c>
      <c r="K3633" s="3" t="s">
        <v>23</v>
      </c>
    </row>
    <row r="3634" spans="1:11" ht="42" customHeight="1">
      <c r="A3634" s="2" t="s">
        <v>8411</v>
      </c>
      <c r="B3634" s="2" t="s">
        <v>8412</v>
      </c>
      <c r="C3634" s="2" t="s">
        <v>111</v>
      </c>
      <c r="D3634" s="2" t="s">
        <v>112</v>
      </c>
      <c r="E3634" s="5">
        <v>-30552</v>
      </c>
      <c r="F3634" s="3" t="s">
        <v>1842</v>
      </c>
      <c r="G3634" s="3" t="s">
        <v>42</v>
      </c>
      <c r="H3634" s="2" t="s">
        <v>21</v>
      </c>
      <c r="I3634" s="2" t="s">
        <v>8414</v>
      </c>
      <c r="J3634" s="3" t="str">
        <f>HYPERLINK("https://www.boe.es/gazeta/dias/1816/05/07/pdfs/GMD-1816-58.pdf#page=8","Abrir facsímil")</f>
        <v>Abrir facsímil</v>
      </c>
      <c r="K3634" s="3" t="s">
        <v>23</v>
      </c>
    </row>
    <row r="3635" spans="1:11" ht="42" customHeight="1">
      <c r="A3635" s="2" t="s">
        <v>8411</v>
      </c>
      <c r="B3635" s="2" t="s">
        <v>8412</v>
      </c>
      <c r="C3635" s="2" t="s">
        <v>111</v>
      </c>
      <c r="D3635" s="2" t="s">
        <v>112</v>
      </c>
      <c r="E3635" s="5">
        <v>-30426</v>
      </c>
      <c r="F3635" s="3" t="s">
        <v>779</v>
      </c>
      <c r="G3635" s="3" t="s">
        <v>42</v>
      </c>
      <c r="H3635" s="2" t="s">
        <v>21</v>
      </c>
      <c r="I3635" s="2" t="s">
        <v>8415</v>
      </c>
      <c r="J3635" s="3" t="str">
        <f>HYPERLINK("https://www.boe.es/gazeta/dias/1816/09/10/pdfs/GMD-1816-112.pdf#page=8","Abrir facsímil")</f>
        <v>Abrir facsímil</v>
      </c>
      <c r="K3635" s="3" t="s">
        <v>23</v>
      </c>
    </row>
    <row r="3636" spans="1:11" ht="42" customHeight="1">
      <c r="A3636" s="2" t="s">
        <v>8416</v>
      </c>
      <c r="B3636" s="2" t="s">
        <v>8417</v>
      </c>
      <c r="C3636" s="2" t="s">
        <v>26</v>
      </c>
      <c r="D3636" s="2" t="s">
        <v>18</v>
      </c>
      <c r="E3636" s="5">
        <v>-30548</v>
      </c>
      <c r="F3636" s="3" t="s">
        <v>472</v>
      </c>
      <c r="G3636" s="3" t="s">
        <v>42</v>
      </c>
      <c r="H3636" s="2" t="s">
        <v>21</v>
      </c>
      <c r="I3636" s="2" t="s">
        <v>8418</v>
      </c>
      <c r="J3636" s="3" t="str">
        <f>HYPERLINK("https://www.boe.es/gazeta/dias/1816/05/11/pdfs/GMD-1816-60.pdf#page=8","Abrir facsímil")</f>
        <v>Abrir facsímil</v>
      </c>
      <c r="K3636" s="3" t="s">
        <v>23</v>
      </c>
    </row>
    <row r="3637" spans="1:11" ht="42" customHeight="1">
      <c r="A3637" s="2" t="s">
        <v>8419</v>
      </c>
      <c r="B3637" s="2" t="s">
        <v>8420</v>
      </c>
      <c r="C3637" s="2" t="s">
        <v>41</v>
      </c>
      <c r="D3637" s="2" t="s">
        <v>18</v>
      </c>
      <c r="E3637" s="5">
        <v>-30480</v>
      </c>
      <c r="F3637" s="3" t="s">
        <v>147</v>
      </c>
      <c r="G3637" s="3" t="s">
        <v>7484</v>
      </c>
      <c r="H3637" s="2" t="s">
        <v>21</v>
      </c>
      <c r="I3637" s="2" t="s">
        <v>8421</v>
      </c>
      <c r="J3637" s="3" t="str">
        <f>HYPERLINK("https://www.boe.es/gazeta/dias/1816/07/18/pdfs/GMD-1816-89.pdf#page=7","Abrir facsímil")</f>
        <v>Abrir facsímil</v>
      </c>
      <c r="K3637" s="3" t="s">
        <v>23</v>
      </c>
    </row>
    <row r="3638" spans="1:11" ht="42" customHeight="1">
      <c r="A3638" s="2" t="s">
        <v>8419</v>
      </c>
      <c r="B3638" s="2" t="s">
        <v>8420</v>
      </c>
      <c r="C3638" s="2" t="s">
        <v>41</v>
      </c>
      <c r="D3638" s="2" t="s">
        <v>18</v>
      </c>
      <c r="E3638" s="5">
        <v>-30389</v>
      </c>
      <c r="F3638" s="3" t="s">
        <v>522</v>
      </c>
      <c r="G3638" s="3" t="s">
        <v>42</v>
      </c>
      <c r="H3638" s="2" t="s">
        <v>21</v>
      </c>
      <c r="I3638" s="2" t="s">
        <v>8422</v>
      </c>
      <c r="J3638" s="3" t="str">
        <f>HYPERLINK("https://www.boe.es/gazeta/dias/1816/10/17/pdfs/GMD-1816-130.pdf#page=8","Abrir facsímil")</f>
        <v>Abrir facsímil</v>
      </c>
      <c r="K3638" s="3" t="s">
        <v>23</v>
      </c>
    </row>
    <row r="3639" spans="1:11" ht="42" customHeight="1">
      <c r="A3639" s="2" t="s">
        <v>8423</v>
      </c>
      <c r="B3639" s="2" t="s">
        <v>8424</v>
      </c>
      <c r="C3639" s="2" t="s">
        <v>26</v>
      </c>
      <c r="D3639" s="2" t="s">
        <v>18</v>
      </c>
      <c r="E3639" s="5">
        <v>-30401</v>
      </c>
      <c r="F3639" s="3" t="s">
        <v>652</v>
      </c>
      <c r="G3639" s="3" t="s">
        <v>103</v>
      </c>
      <c r="H3639" s="2" t="s">
        <v>21</v>
      </c>
      <c r="I3639" s="2" t="s">
        <v>8425</v>
      </c>
      <c r="J3639" s="3" t="str">
        <f>HYPERLINK("https://www.boe.es/gazeta/dias/1816/10/05/pdfs/GMD-1816-123.pdf#page=4","Abrir facsímil")</f>
        <v>Abrir facsímil</v>
      </c>
      <c r="K3639" s="3" t="s">
        <v>23</v>
      </c>
    </row>
    <row r="3640" spans="1:11" ht="42" customHeight="1">
      <c r="A3640" s="2" t="s">
        <v>8426</v>
      </c>
      <c r="B3640" s="2" t="s">
        <v>8427</v>
      </c>
      <c r="C3640" s="2" t="s">
        <v>34</v>
      </c>
      <c r="D3640" s="2" t="s">
        <v>35</v>
      </c>
      <c r="E3640" s="5">
        <v>-30611</v>
      </c>
      <c r="F3640" s="3" t="s">
        <v>211</v>
      </c>
      <c r="G3640" s="3" t="s">
        <v>42</v>
      </c>
      <c r="H3640" s="2" t="s">
        <v>29</v>
      </c>
      <c r="I3640" s="2" t="s">
        <v>8428</v>
      </c>
      <c r="J3640" s="3" t="str">
        <f>HYPERLINK("https://www.boe.es/gazeta/dias/1816/03/09/pdfs/GMD-1816-32.pdf#page=8","Abrir facsímil")</f>
        <v>Abrir facsímil</v>
      </c>
      <c r="K3640" s="3" t="s">
        <v>31</v>
      </c>
    </row>
    <row r="3641" spans="1:11" ht="42" customHeight="1">
      <c r="A3641" s="2" t="s">
        <v>8429</v>
      </c>
      <c r="B3641" s="2" t="s">
        <v>8430</v>
      </c>
      <c r="C3641" s="2" t="s">
        <v>34</v>
      </c>
      <c r="D3641" s="2" t="s">
        <v>35</v>
      </c>
      <c r="E3641" s="5">
        <v>-30459</v>
      </c>
      <c r="F3641" s="3" t="s">
        <v>1957</v>
      </c>
      <c r="G3641" s="3" t="s">
        <v>72</v>
      </c>
      <c r="H3641" s="2" t="s">
        <v>21</v>
      </c>
      <c r="I3641" s="2" t="s">
        <v>8431</v>
      </c>
      <c r="J3641" s="3" t="str">
        <f>HYPERLINK("https://www.boe.es/gazeta/dias/1816/08/08/pdfs/GMD-1816-98.pdf#page=7","Abrir facsímil")</f>
        <v>Abrir facsímil</v>
      </c>
      <c r="K3641" s="3" t="s">
        <v>23</v>
      </c>
    </row>
    <row r="3642" spans="1:11" ht="42" customHeight="1">
      <c r="A3642" s="2" t="s">
        <v>8432</v>
      </c>
      <c r="B3642" s="2" t="s">
        <v>8433</v>
      </c>
      <c r="C3642" s="2" t="s">
        <v>34</v>
      </c>
      <c r="D3642" s="2" t="s">
        <v>35</v>
      </c>
      <c r="E3642" s="5">
        <v>-30632</v>
      </c>
      <c r="F3642" s="3" t="s">
        <v>89</v>
      </c>
      <c r="G3642" s="3" t="s">
        <v>72</v>
      </c>
      <c r="H3642" s="2" t="s">
        <v>21</v>
      </c>
      <c r="I3642" s="2" t="s">
        <v>8434</v>
      </c>
      <c r="J3642" s="3" t="str">
        <f>HYPERLINK("https://www.boe.es/gazeta/dias/1816/02/17/pdfs/GMD-1816-22.pdf#page=7","Abrir facsímil")</f>
        <v>Abrir facsímil</v>
      </c>
      <c r="K3642" s="3" t="s">
        <v>23</v>
      </c>
    </row>
    <row r="3643" spans="1:11" ht="42" customHeight="1">
      <c r="A3643" s="2" t="s">
        <v>8435</v>
      </c>
      <c r="B3643" s="2" t="s">
        <v>8436</v>
      </c>
      <c r="C3643" s="2" t="s">
        <v>111</v>
      </c>
      <c r="D3643" s="2" t="s">
        <v>112</v>
      </c>
      <c r="E3643" s="5">
        <v>-30576</v>
      </c>
      <c r="F3643" s="3" t="s">
        <v>353</v>
      </c>
      <c r="G3643" s="3" t="s">
        <v>72</v>
      </c>
      <c r="H3643" s="2" t="s">
        <v>21</v>
      </c>
      <c r="I3643" s="2" t="s">
        <v>8437</v>
      </c>
      <c r="J3643" s="3" t="str">
        <f>HYPERLINK("https://www.boe.es/gazeta/dias/1816/04/13/pdfs/GMD-1816-48.pdf#page=7","Abrir facsímil")</f>
        <v>Abrir facsímil</v>
      </c>
      <c r="K3643" s="3" t="s">
        <v>23</v>
      </c>
    </row>
    <row r="3644" spans="1:11" ht="42" customHeight="1">
      <c r="A3644" s="2" t="s">
        <v>8438</v>
      </c>
      <c r="B3644" s="2" t="s">
        <v>8439</v>
      </c>
      <c r="C3644" s="2" t="s">
        <v>34</v>
      </c>
      <c r="D3644" s="2" t="s">
        <v>35</v>
      </c>
      <c r="E3644" s="5">
        <v>-30573</v>
      </c>
      <c r="F3644" s="3" t="s">
        <v>840</v>
      </c>
      <c r="G3644" s="3" t="s">
        <v>47</v>
      </c>
      <c r="H3644" s="2" t="s">
        <v>21</v>
      </c>
      <c r="I3644" s="2" t="s">
        <v>8440</v>
      </c>
      <c r="J3644" s="3" t="str">
        <f>HYPERLINK("https://www.boe.es/gazeta/dias/1816/04/16/pdfs/GMD-1816-49.pdf#page=5","Abrir facsímil")</f>
        <v>Abrir facsímil</v>
      </c>
      <c r="K3644" s="3" t="s">
        <v>23</v>
      </c>
    </row>
    <row r="3645" spans="1:11" ht="42" customHeight="1">
      <c r="A3645" s="2" t="s">
        <v>8441</v>
      </c>
      <c r="B3645" s="2" t="s">
        <v>8442</v>
      </c>
      <c r="C3645" s="2" t="s">
        <v>67</v>
      </c>
      <c r="D3645" s="2" t="s">
        <v>18</v>
      </c>
      <c r="E3645" s="5">
        <v>-30660</v>
      </c>
      <c r="F3645" s="3" t="s">
        <v>809</v>
      </c>
      <c r="G3645" s="3" t="s">
        <v>810</v>
      </c>
      <c r="H3645" s="2" t="s">
        <v>21</v>
      </c>
      <c r="I3645" s="2" t="s">
        <v>8443</v>
      </c>
      <c r="J3645" s="3" t="str">
        <f>HYPERLINK("https://www.boe.es/gazeta/dias/1816/01/20/pdfs/GMD-1816-9.pdf#page=8","Abrir facsímil")</f>
        <v>Abrir facsímil</v>
      </c>
      <c r="K3645" s="3" t="s">
        <v>23</v>
      </c>
    </row>
    <row r="3646" spans="1:11" ht="42" customHeight="1">
      <c r="A3646" s="2" t="s">
        <v>8444</v>
      </c>
      <c r="B3646" s="2" t="s">
        <v>8445</v>
      </c>
      <c r="C3646" s="2" t="s">
        <v>34</v>
      </c>
      <c r="D3646" s="2" t="s">
        <v>35</v>
      </c>
      <c r="E3646" s="5">
        <v>-30580</v>
      </c>
      <c r="F3646" s="3" t="s">
        <v>107</v>
      </c>
      <c r="G3646" s="3" t="s">
        <v>28</v>
      </c>
      <c r="H3646" s="2" t="s">
        <v>21</v>
      </c>
      <c r="I3646" s="2" t="s">
        <v>8446</v>
      </c>
      <c r="J3646" s="3" t="str">
        <f>HYPERLINK("https://www.boe.es/gazeta/dias/1816/04/09/pdfs/GMD-1816-46.pdf#page=6","Abrir facsímil")</f>
        <v>Abrir facsímil</v>
      </c>
      <c r="K3646" s="3" t="s">
        <v>23</v>
      </c>
    </row>
    <row r="3647" spans="1:11" ht="42" customHeight="1">
      <c r="A3647" s="2" t="s">
        <v>8447</v>
      </c>
      <c r="B3647" s="2" t="s">
        <v>8448</v>
      </c>
      <c r="C3647" s="2" t="s">
        <v>26</v>
      </c>
      <c r="D3647" s="2" t="s">
        <v>18</v>
      </c>
      <c r="E3647" s="5">
        <v>-30576</v>
      </c>
      <c r="F3647" s="3" t="s">
        <v>353</v>
      </c>
      <c r="G3647" s="3" t="s">
        <v>72</v>
      </c>
      <c r="H3647" s="2" t="s">
        <v>21</v>
      </c>
      <c r="I3647" s="2" t="s">
        <v>8449</v>
      </c>
      <c r="J3647" s="3" t="str">
        <f>HYPERLINK("https://www.boe.es/gazeta/dias/1816/04/13/pdfs/GMD-1816-48.pdf#page=7","Abrir facsímil")</f>
        <v>Abrir facsímil</v>
      </c>
      <c r="K3647" s="3" t="s">
        <v>23</v>
      </c>
    </row>
    <row r="3648" spans="1:11" ht="42" customHeight="1">
      <c r="A3648" s="2" t="s">
        <v>8450</v>
      </c>
      <c r="B3648" s="2" t="s">
        <v>8451</v>
      </c>
      <c r="C3648" s="2" t="s">
        <v>26</v>
      </c>
      <c r="D3648" s="2" t="s">
        <v>18</v>
      </c>
      <c r="E3648" s="5">
        <v>-30391</v>
      </c>
      <c r="F3648" s="3" t="s">
        <v>482</v>
      </c>
      <c r="G3648" s="3" t="s">
        <v>28</v>
      </c>
      <c r="H3648" s="2" t="s">
        <v>21</v>
      </c>
      <c r="I3648" s="2" t="s">
        <v>8452</v>
      </c>
      <c r="J3648" s="3" t="str">
        <f>HYPERLINK("https://www.boe.es/gazeta/dias/1816/10/15/pdfs/GMD-1816-129.pdf#page=6","Abrir facsímil")</f>
        <v>Abrir facsímil</v>
      </c>
      <c r="K3648" s="3" t="s">
        <v>23</v>
      </c>
    </row>
    <row r="3649" spans="1:11" ht="42" customHeight="1">
      <c r="A3649" s="2" t="s">
        <v>8453</v>
      </c>
      <c r="B3649" s="2" t="s">
        <v>8454</v>
      </c>
      <c r="C3649" s="2" t="s">
        <v>26</v>
      </c>
      <c r="D3649" s="2" t="s">
        <v>18</v>
      </c>
      <c r="E3649" s="5">
        <v>-30398</v>
      </c>
      <c r="F3649" s="3" t="s">
        <v>447</v>
      </c>
      <c r="G3649" s="3" t="s">
        <v>42</v>
      </c>
      <c r="H3649" s="2" t="s">
        <v>21</v>
      </c>
      <c r="I3649" s="2" t="s">
        <v>8455</v>
      </c>
      <c r="J3649" s="3" t="str">
        <f>HYPERLINK("https://www.boe.es/gazeta/dias/1816/10/08/pdfs/GMD-1816-125.pdf#page=8","Abrir facsímil")</f>
        <v>Abrir facsímil</v>
      </c>
      <c r="K3649" s="3" t="s">
        <v>23</v>
      </c>
    </row>
    <row r="3650" spans="1:11" ht="42" customHeight="1">
      <c r="A3650" s="2" t="s">
        <v>8456</v>
      </c>
      <c r="B3650" s="2" t="s">
        <v>8456</v>
      </c>
      <c r="C3650" s="2" t="s">
        <v>34</v>
      </c>
      <c r="D3650" s="2" t="s">
        <v>35</v>
      </c>
      <c r="E3650" s="5">
        <v>-30580</v>
      </c>
      <c r="F3650" s="3" t="s">
        <v>107</v>
      </c>
      <c r="G3650" s="3" t="s">
        <v>184</v>
      </c>
      <c r="H3650" s="2" t="s">
        <v>21</v>
      </c>
      <c r="I3650" s="2" t="s">
        <v>8457</v>
      </c>
      <c r="J3650" s="3" t="str">
        <f>HYPERLINK("https://www.boe.es/gazeta/dias/1816/04/09/pdfs/GMD-1816-46.pdf#page=3","Abrir facsímil")</f>
        <v>Abrir facsímil</v>
      </c>
      <c r="K3650" s="3" t="s">
        <v>23</v>
      </c>
    </row>
    <row r="3651" spans="1:11" ht="42" customHeight="1">
      <c r="A3651" s="2" t="s">
        <v>8458</v>
      </c>
      <c r="B3651" s="2" t="s">
        <v>8458</v>
      </c>
      <c r="C3651" s="2" t="s">
        <v>26</v>
      </c>
      <c r="D3651" s="2" t="s">
        <v>18</v>
      </c>
      <c r="E3651" s="5">
        <v>-30494</v>
      </c>
      <c r="F3651" s="3" t="s">
        <v>174</v>
      </c>
      <c r="G3651" s="3" t="s">
        <v>72</v>
      </c>
      <c r="H3651" s="2" t="s">
        <v>21</v>
      </c>
      <c r="I3651" s="2" t="s">
        <v>8459</v>
      </c>
      <c r="J3651" s="3" t="str">
        <f>HYPERLINK("https://www.boe.es/gazeta/dias/1816/07/04/pdfs/GMD-1816-83.pdf#page=7","Abrir facsímil")</f>
        <v>Abrir facsímil</v>
      </c>
      <c r="K3651" s="3" t="s">
        <v>23</v>
      </c>
    </row>
    <row r="3652" spans="1:11" ht="42" customHeight="1">
      <c r="A3652" s="2" t="s">
        <v>8460</v>
      </c>
      <c r="B3652" s="2" t="s">
        <v>8461</v>
      </c>
      <c r="C3652" s="2" t="s">
        <v>26</v>
      </c>
      <c r="D3652" s="2" t="s">
        <v>18</v>
      </c>
      <c r="E3652" s="5">
        <v>-30641</v>
      </c>
      <c r="F3652" s="3" t="s">
        <v>192</v>
      </c>
      <c r="G3652" s="3" t="s">
        <v>42</v>
      </c>
      <c r="H3652" s="2" t="s">
        <v>21</v>
      </c>
      <c r="I3652" s="2" t="s">
        <v>8462</v>
      </c>
      <c r="J3652" s="3" t="str">
        <f>HYPERLINK("https://www.boe.es/gazeta/dias/1816/02/08/pdfs/GMD-1816-18.pdf#page=8","Abrir facsímil")</f>
        <v>Abrir facsímil</v>
      </c>
      <c r="K3652" s="3" t="s">
        <v>23</v>
      </c>
    </row>
    <row r="3653" spans="1:11" ht="42" customHeight="1">
      <c r="A3653" s="2" t="s">
        <v>8463</v>
      </c>
      <c r="B3653" s="2" t="s">
        <v>8464</v>
      </c>
      <c r="C3653" s="2" t="s">
        <v>34</v>
      </c>
      <c r="D3653" s="2" t="s">
        <v>35</v>
      </c>
      <c r="E3653" s="5">
        <v>-30583</v>
      </c>
      <c r="F3653" s="3" t="s">
        <v>241</v>
      </c>
      <c r="G3653" s="3" t="s">
        <v>72</v>
      </c>
      <c r="H3653" s="2" t="s">
        <v>21</v>
      </c>
      <c r="I3653" s="2" t="s">
        <v>8465</v>
      </c>
      <c r="J3653" s="3" t="str">
        <f>HYPERLINK("https://www.boe.es/gazeta/dias/1816/04/06/pdfs/GMD-1816-45.pdf#page=7","Abrir facsímil")</f>
        <v>Abrir facsímil</v>
      </c>
      <c r="K3653" s="3" t="s">
        <v>23</v>
      </c>
    </row>
    <row r="3654" spans="1:11" ht="42" customHeight="1">
      <c r="A3654" s="2" t="s">
        <v>8466</v>
      </c>
      <c r="B3654" s="2" t="s">
        <v>8467</v>
      </c>
      <c r="C3654" s="2" t="s">
        <v>34</v>
      </c>
      <c r="D3654" s="2" t="s">
        <v>35</v>
      </c>
      <c r="E3654" s="5">
        <v>-30424</v>
      </c>
      <c r="F3654" s="3" t="s">
        <v>142</v>
      </c>
      <c r="G3654" s="3" t="s">
        <v>52</v>
      </c>
      <c r="H3654" s="2" t="s">
        <v>21</v>
      </c>
      <c r="I3654" s="2" t="s">
        <v>8468</v>
      </c>
      <c r="J3654" s="3" t="str">
        <f>HYPERLINK("https://www.boe.es/gazeta/dias/1816/09/12/pdfs/GMD-1816-113.pdf#page=12","Abrir facsímil")</f>
        <v>Abrir facsímil</v>
      </c>
      <c r="K3654" s="3" t="s">
        <v>23</v>
      </c>
    </row>
    <row r="3655" spans="1:11" ht="42" customHeight="1">
      <c r="A3655" s="2" t="s">
        <v>8469</v>
      </c>
      <c r="B3655" s="2" t="s">
        <v>8470</v>
      </c>
      <c r="C3655" s="2" t="s">
        <v>111</v>
      </c>
      <c r="D3655" s="2" t="s">
        <v>112</v>
      </c>
      <c r="E3655" s="5">
        <v>-30394</v>
      </c>
      <c r="F3655" s="3" t="s">
        <v>589</v>
      </c>
      <c r="G3655" s="3" t="s">
        <v>28</v>
      </c>
      <c r="H3655" s="2" t="s">
        <v>21</v>
      </c>
      <c r="I3655" s="2" t="s">
        <v>8471</v>
      </c>
      <c r="J3655" s="3" t="str">
        <f>HYPERLINK("https://www.boe.es/gazeta/dias/1816/10/12/pdfs/GMD-1816-127.pdf#page=6","Abrir facsímil")</f>
        <v>Abrir facsímil</v>
      </c>
      <c r="K3655" s="3" t="s">
        <v>23</v>
      </c>
    </row>
    <row r="3656" spans="1:11" ht="42" customHeight="1">
      <c r="A3656" s="2" t="s">
        <v>8472</v>
      </c>
      <c r="B3656" s="2" t="s">
        <v>8473</v>
      </c>
      <c r="C3656" s="2" t="s">
        <v>111</v>
      </c>
      <c r="D3656" s="2" t="s">
        <v>112</v>
      </c>
      <c r="E3656" s="5">
        <v>-30394</v>
      </c>
      <c r="F3656" s="3" t="s">
        <v>589</v>
      </c>
      <c r="G3656" s="3" t="s">
        <v>28</v>
      </c>
      <c r="H3656" s="2" t="s">
        <v>21</v>
      </c>
      <c r="I3656" s="2" t="s">
        <v>8474</v>
      </c>
      <c r="J3656" s="3" t="str">
        <f>HYPERLINK("https://www.boe.es/gazeta/dias/1816/10/12/pdfs/GMD-1816-127.pdf#page=6","Abrir facsímil")</f>
        <v>Abrir facsímil</v>
      </c>
      <c r="K3656" s="3" t="s">
        <v>23</v>
      </c>
    </row>
    <row r="3657" spans="1:11" ht="42" customHeight="1">
      <c r="A3657" s="2" t="s">
        <v>8475</v>
      </c>
      <c r="B3657" s="2" t="s">
        <v>8476</v>
      </c>
      <c r="C3657" s="2" t="s">
        <v>111</v>
      </c>
      <c r="D3657" s="2" t="s">
        <v>112</v>
      </c>
      <c r="E3657" s="5">
        <v>-30517</v>
      </c>
      <c r="F3657" s="3" t="s">
        <v>557</v>
      </c>
      <c r="G3657" s="3" t="s">
        <v>103</v>
      </c>
      <c r="H3657" s="2" t="s">
        <v>21</v>
      </c>
      <c r="I3657" s="2" t="s">
        <v>8477</v>
      </c>
      <c r="J3657" s="3" t="str">
        <f>HYPERLINK("https://www.boe.es/gazeta/dias/1816/06/11/pdfs/GMD-1816-73.pdf#page=4","Abrir facsímil")</f>
        <v>Abrir facsímil</v>
      </c>
      <c r="K3657" s="3" t="s">
        <v>23</v>
      </c>
    </row>
    <row r="3658" spans="1:11" ht="42" customHeight="1">
      <c r="A3658" s="2" t="s">
        <v>8478</v>
      </c>
      <c r="B3658" s="2" t="s">
        <v>8478</v>
      </c>
      <c r="C3658" s="2" t="s">
        <v>34</v>
      </c>
      <c r="D3658" s="2" t="s">
        <v>35</v>
      </c>
      <c r="E3658" s="5">
        <v>-30641</v>
      </c>
      <c r="F3658" s="3" t="s">
        <v>192</v>
      </c>
      <c r="G3658" s="3" t="s">
        <v>103</v>
      </c>
      <c r="H3658" s="2" t="s">
        <v>21</v>
      </c>
      <c r="I3658" s="2" t="s">
        <v>8479</v>
      </c>
      <c r="J3658" s="3" t="str">
        <f>HYPERLINK("https://www.boe.es/gazeta/dias/1816/02/08/pdfs/GMD-1816-18.pdf#page=4","Abrir facsímil")</f>
        <v>Abrir facsímil</v>
      </c>
      <c r="K3658" s="3" t="s">
        <v>23</v>
      </c>
    </row>
    <row r="3659" spans="1:11" ht="42" customHeight="1">
      <c r="A3659" s="2" t="s">
        <v>8480</v>
      </c>
      <c r="B3659" s="2" t="s">
        <v>8481</v>
      </c>
      <c r="C3659" s="2" t="s">
        <v>34</v>
      </c>
      <c r="D3659" s="2" t="s">
        <v>35</v>
      </c>
      <c r="E3659" s="5">
        <v>-30534</v>
      </c>
      <c r="F3659" s="3" t="s">
        <v>274</v>
      </c>
      <c r="G3659" s="3" t="s">
        <v>28</v>
      </c>
      <c r="H3659" s="2" t="s">
        <v>21</v>
      </c>
      <c r="I3659" s="2" t="s">
        <v>8482</v>
      </c>
      <c r="J3659" s="3" t="str">
        <f>HYPERLINK("https://www.boe.es/gazeta/dias/1816/05/25/pdfs/GMD-1816-66.pdf#page=6","Abrir facsímil")</f>
        <v>Abrir facsímil</v>
      </c>
      <c r="K3659" s="3" t="s">
        <v>23</v>
      </c>
    </row>
    <row r="3660" spans="1:11" ht="42" customHeight="1">
      <c r="A3660" s="2" t="s">
        <v>8483</v>
      </c>
      <c r="B3660" s="2" t="s">
        <v>8484</v>
      </c>
      <c r="C3660" s="2" t="s">
        <v>111</v>
      </c>
      <c r="D3660" s="2" t="s">
        <v>112</v>
      </c>
      <c r="E3660" s="5">
        <v>-30583</v>
      </c>
      <c r="F3660" s="3" t="s">
        <v>241</v>
      </c>
      <c r="G3660" s="3" t="s">
        <v>184</v>
      </c>
      <c r="H3660" s="2" t="s">
        <v>21</v>
      </c>
      <c r="I3660" s="2" t="s">
        <v>8485</v>
      </c>
      <c r="J3660" s="3" t="str">
        <f>HYPERLINK("https://www.boe.es/gazeta/dias/1816/04/06/pdfs/GMD-1816-45.pdf#page=3","Abrir facsímil")</f>
        <v>Abrir facsímil</v>
      </c>
      <c r="K3660" s="3" t="s">
        <v>23</v>
      </c>
    </row>
    <row r="3661" spans="1:11" ht="42" customHeight="1">
      <c r="A3661" s="2" t="s">
        <v>8486</v>
      </c>
      <c r="B3661" s="2" t="s">
        <v>8487</v>
      </c>
      <c r="C3661" s="2" t="s">
        <v>34</v>
      </c>
      <c r="D3661" s="2" t="s">
        <v>35</v>
      </c>
      <c r="E3661" s="5">
        <v>-30508</v>
      </c>
      <c r="F3661" s="3" t="s">
        <v>36</v>
      </c>
      <c r="G3661" s="3" t="s">
        <v>1054</v>
      </c>
      <c r="H3661" s="2" t="s">
        <v>21</v>
      </c>
      <c r="I3661" s="2" t="s">
        <v>8488</v>
      </c>
      <c r="J3661" s="3" t="str">
        <f>HYPERLINK("https://www.boe.es/gazeta/dias/1816/06/20/pdfs/GMD-1816-77.pdf#page=4","Abrir facsímil")</f>
        <v>Abrir facsímil</v>
      </c>
      <c r="K3661" s="3" t="s">
        <v>23</v>
      </c>
    </row>
    <row r="3662" spans="1:11" ht="42" customHeight="1">
      <c r="A3662" s="2" t="s">
        <v>8486</v>
      </c>
      <c r="B3662" s="2" t="s">
        <v>8487</v>
      </c>
      <c r="C3662" s="2" t="s">
        <v>111</v>
      </c>
      <c r="D3662" s="2" t="s">
        <v>112</v>
      </c>
      <c r="E3662" s="5">
        <v>-30380</v>
      </c>
      <c r="F3662" s="3" t="s">
        <v>819</v>
      </c>
      <c r="G3662" s="3" t="s">
        <v>47</v>
      </c>
      <c r="H3662" s="2" t="s">
        <v>21</v>
      </c>
      <c r="I3662" s="2" t="s">
        <v>8489</v>
      </c>
      <c r="J3662" s="3" t="str">
        <f>HYPERLINK("https://www.boe.es/gazeta/dias/1816/10/26/pdfs/GMD-1816-134.pdf#page=5","Abrir facsímil")</f>
        <v>Abrir facsímil</v>
      </c>
      <c r="K3662" s="3" t="s">
        <v>23</v>
      </c>
    </row>
    <row r="3663" spans="1:11" ht="42" customHeight="1">
      <c r="A3663" s="2" t="s">
        <v>8490</v>
      </c>
      <c r="B3663" s="2" t="s">
        <v>8491</v>
      </c>
      <c r="C3663" s="2" t="s">
        <v>34</v>
      </c>
      <c r="D3663" s="2" t="s">
        <v>35</v>
      </c>
      <c r="E3663" s="5">
        <v>-30594</v>
      </c>
      <c r="F3663" s="3" t="s">
        <v>234</v>
      </c>
      <c r="G3663" s="3" t="s">
        <v>28</v>
      </c>
      <c r="H3663" s="2" t="s">
        <v>21</v>
      </c>
      <c r="I3663" s="2" t="s">
        <v>8492</v>
      </c>
      <c r="J3663" s="3" t="str">
        <f>HYPERLINK("https://www.boe.es/gazeta/dias/1816/03/26/pdfs/GMD-1816-40.pdf#page=6","Abrir facsímil")</f>
        <v>Abrir facsímil</v>
      </c>
      <c r="K3663" s="3" t="s">
        <v>23</v>
      </c>
    </row>
    <row r="3664" spans="1:11" ht="42" customHeight="1">
      <c r="A3664" s="2" t="s">
        <v>8493</v>
      </c>
      <c r="B3664" s="2" t="s">
        <v>8494</v>
      </c>
      <c r="C3664" s="2" t="s">
        <v>34</v>
      </c>
      <c r="D3664" s="2" t="s">
        <v>35</v>
      </c>
      <c r="E3664" s="5">
        <v>-30359</v>
      </c>
      <c r="F3664" s="3" t="s">
        <v>812</v>
      </c>
      <c r="G3664" s="3" t="s">
        <v>47</v>
      </c>
      <c r="H3664" s="2" t="s">
        <v>21</v>
      </c>
      <c r="I3664" s="2" t="s">
        <v>8495</v>
      </c>
      <c r="J3664" s="3" t="str">
        <f>HYPERLINK("https://www.boe.es/gazeta/dias/1816/11/16/pdfs/GMD-1816-143.pdf#page=5","Abrir facsímil")</f>
        <v>Abrir facsímil</v>
      </c>
      <c r="K3664" s="3" t="s">
        <v>23</v>
      </c>
    </row>
    <row r="3665" spans="1:11" ht="42" customHeight="1">
      <c r="A3665" s="2" t="s">
        <v>8496</v>
      </c>
      <c r="B3665" s="2" t="s">
        <v>8497</v>
      </c>
      <c r="C3665" s="2" t="s">
        <v>26</v>
      </c>
      <c r="D3665" s="2" t="s">
        <v>18</v>
      </c>
      <c r="E3665" s="5">
        <v>-30382</v>
      </c>
      <c r="F3665" s="3" t="s">
        <v>326</v>
      </c>
      <c r="G3665" s="3" t="s">
        <v>28</v>
      </c>
      <c r="H3665" s="2" t="s">
        <v>21</v>
      </c>
      <c r="I3665" s="2" t="s">
        <v>8498</v>
      </c>
      <c r="J3665" s="3" t="str">
        <f>HYPERLINK("https://www.boe.es/gazeta/dias/1816/10/24/pdfs/GMD-1816-133.pdf#page=6","Abrir facsímil")</f>
        <v>Abrir facsímil</v>
      </c>
      <c r="K3665" s="3" t="s">
        <v>23</v>
      </c>
    </row>
    <row r="3666" spans="1:11" ht="42" customHeight="1">
      <c r="A3666" s="2" t="s">
        <v>8499</v>
      </c>
      <c r="B3666" s="2" t="s">
        <v>8500</v>
      </c>
      <c r="C3666" s="2" t="s">
        <v>34</v>
      </c>
      <c r="D3666" s="2" t="s">
        <v>35</v>
      </c>
      <c r="E3666" s="5">
        <v>-30405</v>
      </c>
      <c r="F3666" s="3" t="s">
        <v>587</v>
      </c>
      <c r="G3666" s="3" t="s">
        <v>47</v>
      </c>
      <c r="H3666" s="2" t="s">
        <v>21</v>
      </c>
      <c r="I3666" s="2" t="s">
        <v>8501</v>
      </c>
      <c r="J3666" s="3" t="str">
        <f>HYPERLINK("https://www.boe.es/gazeta/dias/1816/10/01/pdfs/GMD-1816-121.pdf#page=5","Abrir facsímil")</f>
        <v>Abrir facsímil</v>
      </c>
      <c r="K3666" s="3" t="s">
        <v>23</v>
      </c>
    </row>
    <row r="3667" spans="1:11" ht="42" customHeight="1">
      <c r="A3667" s="2" t="s">
        <v>8502</v>
      </c>
      <c r="B3667" s="2" t="s">
        <v>8503</v>
      </c>
      <c r="C3667" s="2" t="s">
        <v>41</v>
      </c>
      <c r="D3667" s="2" t="s">
        <v>18</v>
      </c>
      <c r="E3667" s="5">
        <v>-30671</v>
      </c>
      <c r="F3667" s="3" t="s">
        <v>2049</v>
      </c>
      <c r="G3667" s="3" t="s">
        <v>47</v>
      </c>
      <c r="H3667" s="2" t="s">
        <v>21</v>
      </c>
      <c r="I3667" s="2" t="s">
        <v>8504</v>
      </c>
      <c r="J3667" s="3" t="str">
        <f>HYPERLINK("https://www.boe.es/gazeta/dias/1816/01/09/pdfs/GMD-1816-4.pdf#page=5","Abrir facsímil")</f>
        <v>Abrir facsímil</v>
      </c>
      <c r="K3667" s="3" t="s">
        <v>23</v>
      </c>
    </row>
    <row r="3668" spans="1:11" ht="42" customHeight="1">
      <c r="A3668" s="2" t="s">
        <v>8505</v>
      </c>
      <c r="B3668" s="2" t="s">
        <v>8506</v>
      </c>
      <c r="C3668" s="2" t="s">
        <v>34</v>
      </c>
      <c r="D3668" s="2" t="s">
        <v>35</v>
      </c>
      <c r="E3668" s="5">
        <v>-30576</v>
      </c>
      <c r="F3668" s="3" t="s">
        <v>353</v>
      </c>
      <c r="G3668" s="3" t="s">
        <v>72</v>
      </c>
      <c r="H3668" s="2" t="s">
        <v>21</v>
      </c>
      <c r="I3668" s="2" t="s">
        <v>8507</v>
      </c>
      <c r="J3668" s="3" t="str">
        <f>HYPERLINK("https://www.boe.es/gazeta/dias/1816/04/13/pdfs/GMD-1816-48.pdf#page=7","Abrir facsímil")</f>
        <v>Abrir facsímil</v>
      </c>
      <c r="K3668" s="3" t="s">
        <v>23</v>
      </c>
    </row>
    <row r="3669" spans="1:11" ht="42" customHeight="1">
      <c r="A3669" s="2" t="s">
        <v>8508</v>
      </c>
      <c r="B3669" s="2" t="s">
        <v>8509</v>
      </c>
      <c r="C3669" s="2" t="s">
        <v>26</v>
      </c>
      <c r="D3669" s="2" t="s">
        <v>18</v>
      </c>
      <c r="E3669" s="5">
        <v>-30655</v>
      </c>
      <c r="F3669" s="3" t="s">
        <v>170</v>
      </c>
      <c r="G3669" s="3" t="s">
        <v>72</v>
      </c>
      <c r="H3669" s="2" t="s">
        <v>21</v>
      </c>
      <c r="I3669" s="2" t="s">
        <v>8510</v>
      </c>
      <c r="J3669" s="3" t="str">
        <f>HYPERLINK("https://www.boe.es/gazeta/dias/1816/01/25/pdfs/GMD-1816-11.pdf#page=7","Abrir facsímil")</f>
        <v>Abrir facsímil</v>
      </c>
      <c r="K3669" s="3" t="s">
        <v>23</v>
      </c>
    </row>
    <row r="3670" spans="1:11" ht="42" customHeight="1">
      <c r="A3670" s="2" t="s">
        <v>8511</v>
      </c>
      <c r="B3670" s="2" t="s">
        <v>8512</v>
      </c>
      <c r="C3670" s="2" t="s">
        <v>26</v>
      </c>
      <c r="D3670" s="2" t="s">
        <v>18</v>
      </c>
      <c r="E3670" s="5">
        <v>-30655</v>
      </c>
      <c r="F3670" s="3" t="s">
        <v>170</v>
      </c>
      <c r="G3670" s="3" t="s">
        <v>72</v>
      </c>
      <c r="H3670" s="2" t="s">
        <v>21</v>
      </c>
      <c r="I3670" s="2" t="s">
        <v>8513</v>
      </c>
      <c r="J3670" s="3" t="str">
        <f>HYPERLINK("https://www.boe.es/gazeta/dias/1816/01/25/pdfs/GMD-1816-11.pdf#page=7","Abrir facsímil")</f>
        <v>Abrir facsímil</v>
      </c>
      <c r="K3670" s="3" t="s">
        <v>23</v>
      </c>
    </row>
    <row r="3671" spans="1:11" ht="42" customHeight="1">
      <c r="A3671" s="2" t="s">
        <v>8514</v>
      </c>
      <c r="B3671" s="2" t="s">
        <v>8515</v>
      </c>
      <c r="C3671" s="2" t="s">
        <v>67</v>
      </c>
      <c r="D3671" s="2" t="s">
        <v>18</v>
      </c>
      <c r="E3671" s="5">
        <v>-30389</v>
      </c>
      <c r="F3671" s="3" t="s">
        <v>522</v>
      </c>
      <c r="G3671" s="3" t="s">
        <v>28</v>
      </c>
      <c r="H3671" s="2" t="s">
        <v>21</v>
      </c>
      <c r="I3671" s="2" t="s">
        <v>8516</v>
      </c>
      <c r="J3671" s="3" t="str">
        <f>HYPERLINK("https://www.boe.es/gazeta/dias/1816/10/17/pdfs/GMD-1816-130.pdf#page=6","Abrir facsímil")</f>
        <v>Abrir facsímil</v>
      </c>
      <c r="K3671" s="3" t="s">
        <v>23</v>
      </c>
    </row>
    <row r="3672" spans="1:11" ht="42" customHeight="1">
      <c r="A3672" s="2" t="s">
        <v>8517</v>
      </c>
      <c r="B3672" s="2" t="s">
        <v>8518</v>
      </c>
      <c r="C3672" s="2" t="s">
        <v>17</v>
      </c>
      <c r="D3672" s="2" t="s">
        <v>18</v>
      </c>
      <c r="E3672" s="5">
        <v>-30457</v>
      </c>
      <c r="F3672" s="3" t="s">
        <v>539</v>
      </c>
      <c r="G3672" s="3" t="s">
        <v>42</v>
      </c>
      <c r="H3672" s="2" t="s">
        <v>21</v>
      </c>
      <c r="I3672" s="2" t="s">
        <v>8519</v>
      </c>
      <c r="J3672" s="3" t="str">
        <f>HYPERLINK("https://www.boe.es/gazeta/dias/1816/08/10/pdfs/GMD-1816-99.pdf#page=8","Abrir facsímil")</f>
        <v>Abrir facsímil</v>
      </c>
      <c r="K3672" s="3" t="s">
        <v>23</v>
      </c>
    </row>
    <row r="3673" spans="1:11" ht="42" customHeight="1">
      <c r="A3673" s="2" t="s">
        <v>8520</v>
      </c>
      <c r="B3673" s="2" t="s">
        <v>8521</v>
      </c>
      <c r="C3673" s="2" t="s">
        <v>111</v>
      </c>
      <c r="D3673" s="2" t="s">
        <v>112</v>
      </c>
      <c r="E3673" s="5">
        <v>-30431</v>
      </c>
      <c r="F3673" s="3" t="s">
        <v>756</v>
      </c>
      <c r="G3673" s="3" t="s">
        <v>72</v>
      </c>
      <c r="H3673" s="2" t="s">
        <v>29</v>
      </c>
      <c r="I3673" s="2" t="s">
        <v>8522</v>
      </c>
      <c r="J3673" s="3" t="str">
        <f>HYPERLINK("https://www.boe.es/gazeta/dias/1816/09/05/pdfs/GMD-1816-110.pdf#page=7","Abrir facsímil")</f>
        <v>Abrir facsímil</v>
      </c>
      <c r="K3673" s="3" t="s">
        <v>31</v>
      </c>
    </row>
    <row r="3674" spans="1:11" ht="42" customHeight="1">
      <c r="A3674" s="2" t="s">
        <v>8523</v>
      </c>
      <c r="B3674" s="2" t="s">
        <v>8524</v>
      </c>
      <c r="C3674" s="2" t="s">
        <v>34</v>
      </c>
      <c r="D3674" s="2" t="s">
        <v>35</v>
      </c>
      <c r="E3674" s="5">
        <v>-30580</v>
      </c>
      <c r="F3674" s="3" t="s">
        <v>107</v>
      </c>
      <c r="G3674" s="3" t="s">
        <v>28</v>
      </c>
      <c r="H3674" s="2" t="s">
        <v>21</v>
      </c>
      <c r="I3674" s="2" t="s">
        <v>8525</v>
      </c>
      <c r="J3674" s="3" t="str">
        <f>HYPERLINK("https://www.boe.es/gazeta/dias/1816/04/09/pdfs/GMD-1816-46.pdf#page=6","Abrir facsímil")</f>
        <v>Abrir facsímil</v>
      </c>
      <c r="K3674" s="3" t="s">
        <v>23</v>
      </c>
    </row>
    <row r="3675" spans="1:11" ht="42" customHeight="1">
      <c r="A3675" s="2" t="s">
        <v>8526</v>
      </c>
      <c r="B3675" s="2" t="s">
        <v>8527</v>
      </c>
      <c r="C3675" s="2" t="s">
        <v>26</v>
      </c>
      <c r="D3675" s="2" t="s">
        <v>18</v>
      </c>
      <c r="E3675" s="5">
        <v>-30564</v>
      </c>
      <c r="F3675" s="3" t="s">
        <v>963</v>
      </c>
      <c r="G3675" s="3" t="s">
        <v>964</v>
      </c>
      <c r="H3675" s="2" t="s">
        <v>21</v>
      </c>
      <c r="I3675" s="2" t="s">
        <v>8528</v>
      </c>
      <c r="J3675" s="3" t="str">
        <f>HYPERLINK("https://www.boe.es/gazeta/dias/1816/04/25/pdfs/GMD-1816-53.pdf#page=6","Abrir facsímil")</f>
        <v>Abrir facsímil</v>
      </c>
      <c r="K3675" s="3" t="s">
        <v>23</v>
      </c>
    </row>
    <row r="3676" spans="1:11" ht="42" customHeight="1">
      <c r="A3676" s="2" t="s">
        <v>8529</v>
      </c>
      <c r="B3676" s="2" t="s">
        <v>8530</v>
      </c>
      <c r="C3676" s="2" t="s">
        <v>34</v>
      </c>
      <c r="D3676" s="2" t="s">
        <v>35</v>
      </c>
      <c r="E3676" s="5">
        <v>-30445</v>
      </c>
      <c r="F3676" s="3" t="s">
        <v>51</v>
      </c>
      <c r="G3676" s="3" t="s">
        <v>180</v>
      </c>
      <c r="H3676" s="2" t="s">
        <v>29</v>
      </c>
      <c r="I3676" s="2" t="s">
        <v>8531</v>
      </c>
      <c r="J3676" s="3" t="str">
        <f>HYPERLINK("https://www.boe.es/gazeta/dias/1816/08/22/pdfs/GMD-1816-104.pdf#page=10","Abrir facsímil")</f>
        <v>Abrir facsímil</v>
      </c>
      <c r="K3676" s="3" t="s">
        <v>31</v>
      </c>
    </row>
    <row r="3677" spans="1:11" ht="42" customHeight="1">
      <c r="A3677" s="2" t="s">
        <v>8532</v>
      </c>
      <c r="B3677" s="2" t="s">
        <v>8533</v>
      </c>
      <c r="C3677" s="2" t="s">
        <v>34</v>
      </c>
      <c r="D3677" s="2" t="s">
        <v>35</v>
      </c>
      <c r="E3677" s="5">
        <v>-30431</v>
      </c>
      <c r="F3677" s="3" t="s">
        <v>756</v>
      </c>
      <c r="G3677" s="3" t="s">
        <v>72</v>
      </c>
      <c r="H3677" s="2" t="s">
        <v>21</v>
      </c>
      <c r="I3677" s="2" t="s">
        <v>8534</v>
      </c>
      <c r="J3677" s="3" t="str">
        <f>HYPERLINK("https://www.boe.es/gazeta/dias/1816/09/05/pdfs/GMD-1816-110.pdf#page=7","Abrir facsímil")</f>
        <v>Abrir facsímil</v>
      </c>
      <c r="K3677" s="3" t="s">
        <v>23</v>
      </c>
    </row>
    <row r="3678" spans="1:11" ht="42" customHeight="1">
      <c r="A3678" s="2" t="s">
        <v>8535</v>
      </c>
      <c r="B3678" s="2" t="s">
        <v>8536</v>
      </c>
      <c r="C3678" s="2" t="s">
        <v>111</v>
      </c>
      <c r="D3678" s="2" t="s">
        <v>112</v>
      </c>
      <c r="E3678" s="5">
        <v>-30578</v>
      </c>
      <c r="F3678" s="3" t="s">
        <v>91</v>
      </c>
      <c r="G3678" s="3" t="s">
        <v>286</v>
      </c>
      <c r="H3678" s="2" t="s">
        <v>21</v>
      </c>
      <c r="I3678" s="2" t="s">
        <v>8537</v>
      </c>
      <c r="J3678" s="3" t="str">
        <f>HYPERLINK("https://www.boe.es/gazeta/dias/1816/04/11/pdfs/GMD-1816-47.pdf#page=11","Abrir facsímil")</f>
        <v>Abrir facsímil</v>
      </c>
      <c r="K3678" s="3" t="s">
        <v>23</v>
      </c>
    </row>
    <row r="3679" spans="1:11" ht="42" customHeight="1">
      <c r="A3679" s="2" t="s">
        <v>8538</v>
      </c>
      <c r="B3679" s="2" t="s">
        <v>8539</v>
      </c>
      <c r="C3679" s="2" t="s">
        <v>111</v>
      </c>
      <c r="D3679" s="2" t="s">
        <v>112</v>
      </c>
      <c r="E3679" s="5">
        <v>-30438</v>
      </c>
      <c r="F3679" s="3" t="s">
        <v>299</v>
      </c>
      <c r="G3679" s="3" t="s">
        <v>300</v>
      </c>
      <c r="H3679" s="2" t="s">
        <v>21</v>
      </c>
      <c r="I3679" s="2" t="s">
        <v>8540</v>
      </c>
      <c r="J3679" s="3" t="str">
        <f>HYPERLINK("https://www.boe.es/gazeta/dias/1816/08/29/pdfs/GMD-1816-107.pdf#page=12","Abrir facsímil")</f>
        <v>Abrir facsímil</v>
      </c>
      <c r="K3679" s="3" t="s">
        <v>23</v>
      </c>
    </row>
    <row r="3680" spans="1:11" ht="42" customHeight="1">
      <c r="A3680" s="2" t="s">
        <v>8541</v>
      </c>
      <c r="B3680" s="2" t="s">
        <v>8542</v>
      </c>
      <c r="C3680" s="2" t="s">
        <v>26</v>
      </c>
      <c r="D3680" s="2" t="s">
        <v>18</v>
      </c>
      <c r="E3680" s="5">
        <v>-30660</v>
      </c>
      <c r="F3680" s="3" t="s">
        <v>809</v>
      </c>
      <c r="G3680" s="3" t="s">
        <v>72</v>
      </c>
      <c r="H3680" s="2" t="s">
        <v>21</v>
      </c>
      <c r="I3680" s="2" t="s">
        <v>8543</v>
      </c>
      <c r="J3680" s="3" t="str">
        <f>HYPERLINK("https://www.boe.es/gazeta/dias/1816/01/20/pdfs/GMD-1816-9.pdf#page=7","Abrir facsímil")</f>
        <v>Abrir facsímil</v>
      </c>
      <c r="K3680" s="3" t="s">
        <v>23</v>
      </c>
    </row>
    <row r="3681" spans="1:11" ht="42" customHeight="1">
      <c r="A3681" s="2" t="s">
        <v>8544</v>
      </c>
      <c r="B3681" s="2" t="s">
        <v>8545</v>
      </c>
      <c r="C3681" s="2" t="s">
        <v>26</v>
      </c>
      <c r="D3681" s="2" t="s">
        <v>18</v>
      </c>
      <c r="E3681" s="5">
        <v>-30580</v>
      </c>
      <c r="F3681" s="3" t="s">
        <v>107</v>
      </c>
      <c r="G3681" s="3" t="s">
        <v>72</v>
      </c>
      <c r="H3681" s="2" t="s">
        <v>21</v>
      </c>
      <c r="I3681" s="2" t="s">
        <v>8546</v>
      </c>
      <c r="J3681" s="3" t="str">
        <f>HYPERLINK("https://www.boe.es/gazeta/dias/1816/04/09/pdfs/GMD-1816-46.pdf#page=7","Abrir facsímil")</f>
        <v>Abrir facsímil</v>
      </c>
      <c r="K3681" s="3" t="s">
        <v>23</v>
      </c>
    </row>
    <row r="3682" spans="1:11" ht="42" customHeight="1">
      <c r="A3682" s="2" t="s">
        <v>8547</v>
      </c>
      <c r="B3682" s="2" t="s">
        <v>8548</v>
      </c>
      <c r="C3682" s="2" t="s">
        <v>81</v>
      </c>
      <c r="D3682" s="2" t="s">
        <v>18</v>
      </c>
      <c r="E3682" s="5">
        <v>-30438</v>
      </c>
      <c r="F3682" s="3" t="s">
        <v>299</v>
      </c>
      <c r="G3682" s="3" t="s">
        <v>955</v>
      </c>
      <c r="H3682" s="2" t="s">
        <v>21</v>
      </c>
      <c r="I3682" s="2" t="s">
        <v>8549</v>
      </c>
      <c r="J3682" s="3" t="str">
        <f>HYPERLINK("https://www.boe.es/gazeta/dias/1816/08/29/pdfs/GMD-1816-107.pdf#page=11","Abrir facsímil")</f>
        <v>Abrir facsímil</v>
      </c>
      <c r="K3682" s="3" t="s">
        <v>23</v>
      </c>
    </row>
    <row r="3683" spans="1:11" ht="42" customHeight="1">
      <c r="A3683" s="2" t="s">
        <v>8550</v>
      </c>
      <c r="B3683" s="2" t="s">
        <v>8551</v>
      </c>
      <c r="C3683" s="2" t="s">
        <v>26</v>
      </c>
      <c r="D3683" s="2" t="s">
        <v>18</v>
      </c>
      <c r="E3683" s="5">
        <v>-30408</v>
      </c>
      <c r="F3683" s="3" t="s">
        <v>295</v>
      </c>
      <c r="G3683" s="3" t="s">
        <v>42</v>
      </c>
      <c r="H3683" s="2" t="s">
        <v>21</v>
      </c>
      <c r="I3683" s="2" t="s">
        <v>8552</v>
      </c>
      <c r="J3683" s="3" t="str">
        <f>HYPERLINK("https://www.boe.es/gazeta/dias/1816/09/28/pdfs/GMD-1816-120.pdf#page=8","Abrir facsímil")</f>
        <v>Abrir facsímil</v>
      </c>
      <c r="K3683" s="3" t="s">
        <v>23</v>
      </c>
    </row>
    <row r="3684" spans="1:11" ht="42" customHeight="1">
      <c r="A3684" s="2" t="s">
        <v>8553</v>
      </c>
      <c r="B3684" s="2" t="s">
        <v>8554</v>
      </c>
      <c r="C3684" s="2" t="s">
        <v>26</v>
      </c>
      <c r="D3684" s="2" t="s">
        <v>18</v>
      </c>
      <c r="E3684" s="5">
        <v>-30424</v>
      </c>
      <c r="F3684" s="3" t="s">
        <v>142</v>
      </c>
      <c r="G3684" s="3" t="s">
        <v>143</v>
      </c>
      <c r="H3684" s="2" t="s">
        <v>21</v>
      </c>
      <c r="I3684" s="2" t="s">
        <v>8555</v>
      </c>
      <c r="J3684" s="3" t="str">
        <f>HYPERLINK("https://www.boe.es/gazeta/dias/1816/09/12/pdfs/GMD-1816-113.pdf#page=4","Abrir facsímil")</f>
        <v>Abrir facsímil</v>
      </c>
      <c r="K3684" s="3" t="s">
        <v>23</v>
      </c>
    </row>
    <row r="3685" spans="1:11" ht="42" customHeight="1">
      <c r="A3685" s="2" t="s">
        <v>8556</v>
      </c>
      <c r="B3685" s="2" t="s">
        <v>8557</v>
      </c>
      <c r="C3685" s="2" t="s">
        <v>111</v>
      </c>
      <c r="D3685" s="2" t="s">
        <v>112</v>
      </c>
      <c r="E3685" s="5">
        <v>-30471</v>
      </c>
      <c r="F3685" s="3" t="s">
        <v>639</v>
      </c>
      <c r="G3685" s="3" t="s">
        <v>42</v>
      </c>
      <c r="H3685" s="2" t="s">
        <v>21</v>
      </c>
      <c r="I3685" s="2" t="s">
        <v>8558</v>
      </c>
      <c r="J3685" s="3" t="str">
        <f>HYPERLINK("https://www.boe.es/gazeta/dias/1816/07/27/pdfs/GMD-1816-93.pdf#page=8","Abrir facsímil")</f>
        <v>Abrir facsímil</v>
      </c>
      <c r="K3685" s="3" t="s">
        <v>23</v>
      </c>
    </row>
    <row r="3686" spans="1:11" ht="42" customHeight="1">
      <c r="A3686" s="2" t="s">
        <v>8559</v>
      </c>
      <c r="B3686" s="2" t="s">
        <v>8560</v>
      </c>
      <c r="C3686" s="2" t="s">
        <v>111</v>
      </c>
      <c r="D3686" s="2" t="s">
        <v>112</v>
      </c>
      <c r="E3686" s="5">
        <v>-30513</v>
      </c>
      <c r="F3686" s="3" t="s">
        <v>582</v>
      </c>
      <c r="G3686" s="3" t="s">
        <v>42</v>
      </c>
      <c r="H3686" s="2" t="s">
        <v>21</v>
      </c>
      <c r="I3686" s="2" t="s">
        <v>8561</v>
      </c>
      <c r="J3686" s="3" t="str">
        <f>HYPERLINK("https://www.boe.es/gazeta/dias/1816/06/15/pdfs/GMD-1816-75.pdf#page=8","Abrir facsímil")</f>
        <v>Abrir facsímil</v>
      </c>
      <c r="K3686" s="3" t="s">
        <v>23</v>
      </c>
    </row>
    <row r="3687" spans="1:11" ht="42" customHeight="1">
      <c r="A3687" s="2" t="s">
        <v>8562</v>
      </c>
      <c r="B3687" s="2" t="s">
        <v>8563</v>
      </c>
      <c r="C3687" s="2" t="s">
        <v>111</v>
      </c>
      <c r="D3687" s="2" t="s">
        <v>112</v>
      </c>
      <c r="E3687" s="5">
        <v>-30480</v>
      </c>
      <c r="F3687" s="3" t="s">
        <v>147</v>
      </c>
      <c r="G3687" s="3" t="s">
        <v>42</v>
      </c>
      <c r="H3687" s="2" t="s">
        <v>21</v>
      </c>
      <c r="I3687" s="2" t="s">
        <v>8564</v>
      </c>
      <c r="J3687" s="3" t="str">
        <f>HYPERLINK("https://www.boe.es/gazeta/dias/1816/07/18/pdfs/GMD-1816-89.pdf#page=8","Abrir facsímil")</f>
        <v>Abrir facsímil</v>
      </c>
      <c r="K3687" s="3" t="s">
        <v>23</v>
      </c>
    </row>
    <row r="3688" spans="1:11" ht="42" customHeight="1">
      <c r="A3688" s="2" t="s">
        <v>8565</v>
      </c>
      <c r="B3688" s="2" t="s">
        <v>8566</v>
      </c>
      <c r="C3688" s="2" t="s">
        <v>26</v>
      </c>
      <c r="D3688" s="2" t="s">
        <v>18</v>
      </c>
      <c r="E3688" s="5">
        <v>-30387</v>
      </c>
      <c r="F3688" s="3" t="s">
        <v>224</v>
      </c>
      <c r="G3688" s="3" t="s">
        <v>28</v>
      </c>
      <c r="H3688" s="2" t="s">
        <v>21</v>
      </c>
      <c r="I3688" s="2" t="s">
        <v>8567</v>
      </c>
      <c r="J3688" s="3" t="str">
        <f>HYPERLINK("https://www.boe.es/gazeta/dias/1816/10/19/pdfs/GMD-1816-131.pdf#page=6","Abrir facsímil")</f>
        <v>Abrir facsímil</v>
      </c>
      <c r="K3688" s="3" t="s">
        <v>23</v>
      </c>
    </row>
    <row r="3689" spans="1:11" ht="42" customHeight="1">
      <c r="A3689" s="2" t="s">
        <v>8568</v>
      </c>
      <c r="B3689" s="2" t="s">
        <v>8569</v>
      </c>
      <c r="C3689" s="2" t="s">
        <v>67</v>
      </c>
      <c r="D3689" s="2" t="s">
        <v>18</v>
      </c>
      <c r="E3689" s="5">
        <v>-30424</v>
      </c>
      <c r="F3689" s="3" t="s">
        <v>142</v>
      </c>
      <c r="G3689" s="3" t="s">
        <v>52</v>
      </c>
      <c r="H3689" s="2" t="s">
        <v>29</v>
      </c>
      <c r="I3689" s="2" t="s">
        <v>8570</v>
      </c>
      <c r="J3689" s="3" t="str">
        <f>HYPERLINK("https://www.boe.es/gazeta/dias/1816/09/12/pdfs/GMD-1816-113.pdf#page=12","Abrir facsímil")</f>
        <v>Abrir facsímil</v>
      </c>
      <c r="K3689" s="3" t="s">
        <v>31</v>
      </c>
    </row>
    <row r="3690" spans="1:11" ht="42" customHeight="1">
      <c r="A3690" s="2" t="s">
        <v>8571</v>
      </c>
      <c r="B3690" s="2" t="s">
        <v>8572</v>
      </c>
      <c r="C3690" s="2" t="s">
        <v>67</v>
      </c>
      <c r="D3690" s="2" t="s">
        <v>18</v>
      </c>
      <c r="E3690" s="5">
        <v>-30459</v>
      </c>
      <c r="F3690" s="3" t="s">
        <v>1957</v>
      </c>
      <c r="G3690" s="3" t="s">
        <v>42</v>
      </c>
      <c r="H3690" s="2" t="s">
        <v>29</v>
      </c>
      <c r="I3690" s="2" t="s">
        <v>8573</v>
      </c>
      <c r="J3690" s="3" t="str">
        <f>HYPERLINK("https://www.boe.es/gazeta/dias/1816/08/08/pdfs/GMD-1816-98.pdf#page=8","Abrir facsímil")</f>
        <v>Abrir facsímil</v>
      </c>
      <c r="K3690" s="3" t="s">
        <v>31</v>
      </c>
    </row>
    <row r="3691" spans="1:11" ht="42" customHeight="1">
      <c r="A3691" s="2" t="s">
        <v>8574</v>
      </c>
      <c r="B3691" s="2" t="s">
        <v>8574</v>
      </c>
      <c r="C3691" s="2" t="s">
        <v>34</v>
      </c>
      <c r="D3691" s="2" t="s">
        <v>35</v>
      </c>
      <c r="E3691" s="5">
        <v>-30429</v>
      </c>
      <c r="F3691" s="3" t="s">
        <v>598</v>
      </c>
      <c r="G3691" s="3" t="s">
        <v>72</v>
      </c>
      <c r="H3691" s="2" t="s">
        <v>21</v>
      </c>
      <c r="I3691" s="2" t="s">
        <v>8575</v>
      </c>
      <c r="J3691" s="3" t="str">
        <f>HYPERLINK("https://www.boe.es/gazeta/dias/1816/09/07/pdfs/GMD-1816-111.pdf#page=7","Abrir facsímil")</f>
        <v>Abrir facsímil</v>
      </c>
      <c r="K3691" s="3" t="s">
        <v>23</v>
      </c>
    </row>
    <row r="3692" spans="1:11" ht="42" customHeight="1">
      <c r="A3692" s="2" t="s">
        <v>8574</v>
      </c>
      <c r="B3692" s="2" t="s">
        <v>8574</v>
      </c>
      <c r="C3692" s="2" t="s">
        <v>41</v>
      </c>
      <c r="D3692" s="2" t="s">
        <v>18</v>
      </c>
      <c r="E3692" s="5">
        <v>-30352</v>
      </c>
      <c r="F3692" s="3" t="s">
        <v>407</v>
      </c>
      <c r="G3692" s="3" t="s">
        <v>42</v>
      </c>
      <c r="H3692" s="2" t="s">
        <v>21</v>
      </c>
      <c r="I3692" s="2" t="s">
        <v>8576</v>
      </c>
      <c r="J3692" s="3" t="str">
        <f>HYPERLINK("https://www.boe.es/gazeta/dias/1816/11/23/pdfs/GMD-1816-146.pdf#page=8","Abrir facsímil")</f>
        <v>Abrir facsímil</v>
      </c>
      <c r="K3692" s="3" t="s">
        <v>23</v>
      </c>
    </row>
    <row r="3693" spans="1:11" ht="42" customHeight="1">
      <c r="A3693" s="2" t="s">
        <v>8577</v>
      </c>
      <c r="B3693" s="2" t="s">
        <v>8578</v>
      </c>
      <c r="C3693" s="2" t="s">
        <v>67</v>
      </c>
      <c r="D3693" s="2" t="s">
        <v>18</v>
      </c>
      <c r="E3693" s="5">
        <v>-30487</v>
      </c>
      <c r="F3693" s="3" t="s">
        <v>397</v>
      </c>
      <c r="G3693" s="3" t="s">
        <v>52</v>
      </c>
      <c r="H3693" s="2" t="s">
        <v>21</v>
      </c>
      <c r="I3693" s="2" t="s">
        <v>8579</v>
      </c>
      <c r="J3693" s="3" t="str">
        <f>HYPERLINK("https://www.boe.es/gazeta/dias/1816/07/11/pdfs/GMD-1816-86.pdf#page=12","Abrir facsímil")</f>
        <v>Abrir facsímil</v>
      </c>
      <c r="K3693" s="3" t="s">
        <v>23</v>
      </c>
    </row>
    <row r="3694" spans="1:11" ht="42" customHeight="1">
      <c r="A3694" s="2" t="s">
        <v>8580</v>
      </c>
      <c r="B3694" s="2" t="s">
        <v>8581</v>
      </c>
      <c r="C3694" s="2" t="s">
        <v>34</v>
      </c>
      <c r="D3694" s="2" t="s">
        <v>35</v>
      </c>
      <c r="E3694" s="5">
        <v>-30387</v>
      </c>
      <c r="F3694" s="3" t="s">
        <v>224</v>
      </c>
      <c r="G3694" s="3" t="s">
        <v>28</v>
      </c>
      <c r="H3694" s="2" t="s">
        <v>21</v>
      </c>
      <c r="I3694" s="2" t="s">
        <v>8582</v>
      </c>
      <c r="J3694" s="3" t="str">
        <f>HYPERLINK("https://www.boe.es/gazeta/dias/1816/10/19/pdfs/GMD-1816-131.pdf#page=6","Abrir facsímil")</f>
        <v>Abrir facsímil</v>
      </c>
      <c r="K3694" s="3" t="s">
        <v>23</v>
      </c>
    </row>
    <row r="3695" spans="1:11" ht="42" customHeight="1">
      <c r="A3695" s="2" t="s">
        <v>8583</v>
      </c>
      <c r="B3695" s="2" t="s">
        <v>8584</v>
      </c>
      <c r="C3695" s="2" t="s">
        <v>26</v>
      </c>
      <c r="D3695" s="2" t="s">
        <v>56</v>
      </c>
      <c r="E3695" s="5">
        <v>-30393</v>
      </c>
      <c r="F3695" s="3" t="s">
        <v>202</v>
      </c>
      <c r="G3695" s="3" t="s">
        <v>834</v>
      </c>
      <c r="H3695" s="2" t="s">
        <v>21</v>
      </c>
      <c r="I3695" s="2" t="s">
        <v>8585</v>
      </c>
      <c r="J3695" s="3" t="str">
        <f>HYPERLINK("https://www.boe.es/gazeta/dias/1816/10/13/pdfs/GMD-1816-128E.pdf#page=6","Abrir facsímil")</f>
        <v>Abrir facsímil</v>
      </c>
      <c r="K3695" s="3" t="s">
        <v>23</v>
      </c>
    </row>
    <row r="3696" spans="1:11" ht="42" customHeight="1">
      <c r="A3696" s="2" t="s">
        <v>8586</v>
      </c>
      <c r="B3696" s="2" t="s">
        <v>8587</v>
      </c>
      <c r="C3696" s="2" t="s">
        <v>26</v>
      </c>
      <c r="D3696" s="2" t="s">
        <v>18</v>
      </c>
      <c r="E3696" s="5">
        <v>-30445</v>
      </c>
      <c r="F3696" s="3" t="s">
        <v>51</v>
      </c>
      <c r="G3696" s="3" t="s">
        <v>47</v>
      </c>
      <c r="H3696" s="2" t="s">
        <v>21</v>
      </c>
      <c r="I3696" s="2" t="s">
        <v>8588</v>
      </c>
      <c r="J3696" s="3" t="str">
        <f>HYPERLINK("https://www.boe.es/gazeta/dias/1816/08/22/pdfs/GMD-1816-104.pdf#page=5","Abrir facsímil")</f>
        <v>Abrir facsímil</v>
      </c>
      <c r="K3696" s="3" t="s">
        <v>23</v>
      </c>
    </row>
    <row r="3697" spans="1:11" ht="42" customHeight="1">
      <c r="A3697" s="2" t="s">
        <v>8586</v>
      </c>
      <c r="B3697" s="2" t="s">
        <v>8587</v>
      </c>
      <c r="C3697" s="2" t="s">
        <v>26</v>
      </c>
      <c r="D3697" s="2" t="s">
        <v>18</v>
      </c>
      <c r="E3697" s="5">
        <v>-30354</v>
      </c>
      <c r="F3697" s="3" t="s">
        <v>68</v>
      </c>
      <c r="G3697" s="3" t="s">
        <v>42</v>
      </c>
      <c r="H3697" s="2" t="s">
        <v>21</v>
      </c>
      <c r="I3697" s="2" t="s">
        <v>8589</v>
      </c>
      <c r="J3697" s="3" t="str">
        <f>HYPERLINK("https://www.boe.es/gazeta/dias/1816/11/21/pdfs/GMD-1816-145.pdf#page=8","Abrir facsímil")</f>
        <v>Abrir facsímil</v>
      </c>
      <c r="K3697" s="3" t="s">
        <v>23</v>
      </c>
    </row>
    <row r="3698" spans="1:11" ht="42" customHeight="1">
      <c r="A3698" s="2" t="s">
        <v>8590</v>
      </c>
      <c r="B3698" s="2" t="s">
        <v>8591</v>
      </c>
      <c r="C3698" s="2" t="s">
        <v>34</v>
      </c>
      <c r="D3698" s="2" t="s">
        <v>35</v>
      </c>
      <c r="E3698" s="5">
        <v>-30599</v>
      </c>
      <c r="F3698" s="3" t="s">
        <v>552</v>
      </c>
      <c r="G3698" s="3" t="s">
        <v>72</v>
      </c>
      <c r="H3698" s="2" t="s">
        <v>21</v>
      </c>
      <c r="I3698" s="2" t="s">
        <v>8592</v>
      </c>
      <c r="J3698" s="3" t="str">
        <f>HYPERLINK("https://www.boe.es/gazeta/dias/1816/03/21/pdfs/GMD-1816-38.pdf#page=7","Abrir facsímil")</f>
        <v>Abrir facsímil</v>
      </c>
      <c r="K3698" s="3" t="s">
        <v>23</v>
      </c>
    </row>
    <row r="3699" spans="1:11" ht="42" customHeight="1">
      <c r="A3699" s="2" t="s">
        <v>8590</v>
      </c>
      <c r="B3699" s="2" t="s">
        <v>8591</v>
      </c>
      <c r="C3699" s="2" t="s">
        <v>34</v>
      </c>
      <c r="D3699" s="2" t="s">
        <v>35</v>
      </c>
      <c r="E3699" s="5">
        <v>-30594</v>
      </c>
      <c r="F3699" s="3" t="s">
        <v>234</v>
      </c>
      <c r="G3699" s="3" t="s">
        <v>47</v>
      </c>
      <c r="H3699" s="2" t="s">
        <v>21</v>
      </c>
      <c r="I3699" s="2" t="s">
        <v>8593</v>
      </c>
      <c r="J3699" s="3" t="str">
        <f>HYPERLINK("https://www.boe.es/gazeta/dias/1816/03/26/pdfs/GMD-1816-40.pdf#page=5","Abrir facsímil")</f>
        <v>Abrir facsímil</v>
      </c>
      <c r="K3699" s="3" t="s">
        <v>23</v>
      </c>
    </row>
    <row r="3700" spans="1:11" ht="42" customHeight="1">
      <c r="A3700" s="2" t="s">
        <v>8594</v>
      </c>
      <c r="B3700" s="2" t="s">
        <v>8595</v>
      </c>
      <c r="C3700" s="2" t="s">
        <v>26</v>
      </c>
      <c r="D3700" s="2" t="s">
        <v>18</v>
      </c>
      <c r="E3700" s="5">
        <v>-30391</v>
      </c>
      <c r="F3700" s="3" t="s">
        <v>482</v>
      </c>
      <c r="G3700" s="3" t="s">
        <v>72</v>
      </c>
      <c r="H3700" s="2" t="s">
        <v>21</v>
      </c>
      <c r="I3700" s="2" t="s">
        <v>8596</v>
      </c>
      <c r="J3700" s="3" t="str">
        <f>HYPERLINK("https://www.boe.es/gazeta/dias/1816/10/15/pdfs/GMD-1816-129.pdf#page=7","Abrir facsímil")</f>
        <v>Abrir facsímil</v>
      </c>
      <c r="K3700" s="3" t="s">
        <v>23</v>
      </c>
    </row>
    <row r="3701" spans="1:11" ht="42" customHeight="1">
      <c r="A3701" s="2" t="s">
        <v>8597</v>
      </c>
      <c r="B3701" s="2" t="s">
        <v>8598</v>
      </c>
      <c r="C3701" s="2" t="s">
        <v>34</v>
      </c>
      <c r="D3701" s="2" t="s">
        <v>35</v>
      </c>
      <c r="E3701" s="5">
        <v>-30592</v>
      </c>
      <c r="F3701" s="3" t="s">
        <v>236</v>
      </c>
      <c r="G3701" s="3" t="s">
        <v>103</v>
      </c>
      <c r="H3701" s="2" t="s">
        <v>21</v>
      </c>
      <c r="I3701" s="2" t="s">
        <v>8599</v>
      </c>
      <c r="J3701" s="3" t="str">
        <f>HYPERLINK("https://www.boe.es/gazeta/dias/1816/03/28/pdfs/GMD-1816-41.pdf#page=4","Abrir facsímil")</f>
        <v>Abrir facsímil</v>
      </c>
      <c r="K3701" s="3" t="s">
        <v>23</v>
      </c>
    </row>
    <row r="3702" spans="1:11" ht="42" customHeight="1">
      <c r="A3702" s="2" t="s">
        <v>8600</v>
      </c>
      <c r="B3702" s="2" t="s">
        <v>8601</v>
      </c>
      <c r="C3702" s="2" t="s">
        <v>111</v>
      </c>
      <c r="D3702" s="2" t="s">
        <v>112</v>
      </c>
      <c r="E3702" s="5">
        <v>-30662</v>
      </c>
      <c r="F3702" s="3" t="s">
        <v>485</v>
      </c>
      <c r="G3702" s="3" t="s">
        <v>42</v>
      </c>
      <c r="H3702" s="2" t="s">
        <v>21</v>
      </c>
      <c r="I3702" s="2" t="s">
        <v>8602</v>
      </c>
      <c r="J3702" s="3" t="str">
        <f>HYPERLINK("https://www.boe.es/gazeta/dias/1816/01/18/pdfs/GMD-1816-8.pdf#page=8","Abrir facsímil")</f>
        <v>Abrir facsímil</v>
      </c>
      <c r="K3702" s="3" t="s">
        <v>23</v>
      </c>
    </row>
    <row r="3703" spans="1:11" ht="42" customHeight="1">
      <c r="A3703" s="2" t="s">
        <v>8603</v>
      </c>
      <c r="B3703" s="2" t="s">
        <v>8604</v>
      </c>
      <c r="C3703" s="2" t="s">
        <v>34</v>
      </c>
      <c r="D3703" s="2" t="s">
        <v>35</v>
      </c>
      <c r="E3703" s="5">
        <v>-30592</v>
      </c>
      <c r="F3703" s="3" t="s">
        <v>236</v>
      </c>
      <c r="G3703" s="3" t="s">
        <v>606</v>
      </c>
      <c r="H3703" s="2" t="s">
        <v>21</v>
      </c>
      <c r="I3703" s="2" t="s">
        <v>8605</v>
      </c>
      <c r="J3703" s="3" t="str">
        <f>HYPERLINK("https://www.boe.es/gazeta/dias/1816/03/28/pdfs/GMD-1816-41.pdf#page=12","Abrir facsímil")</f>
        <v>Abrir facsímil</v>
      </c>
      <c r="K3703" s="3" t="s">
        <v>23</v>
      </c>
    </row>
    <row r="3704" spans="1:11" ht="42" customHeight="1">
      <c r="A3704" s="2" t="s">
        <v>8606</v>
      </c>
      <c r="B3704" s="2" t="s">
        <v>8607</v>
      </c>
      <c r="C3704" s="2" t="s">
        <v>34</v>
      </c>
      <c r="D3704" s="2" t="s">
        <v>35</v>
      </c>
      <c r="E3704" s="5">
        <v>-30531</v>
      </c>
      <c r="F3704" s="3" t="s">
        <v>535</v>
      </c>
      <c r="G3704" s="3" t="s">
        <v>47</v>
      </c>
      <c r="H3704" s="2" t="s">
        <v>21</v>
      </c>
      <c r="I3704" s="2" t="s">
        <v>8608</v>
      </c>
      <c r="J3704" s="3" t="str">
        <f>HYPERLINK("https://www.boe.es/gazeta/dias/1816/05/28/pdfs/GMD-1816-67.pdf#page=5","Abrir facsímil")</f>
        <v>Abrir facsímil</v>
      </c>
      <c r="K3704" s="3" t="s">
        <v>23</v>
      </c>
    </row>
    <row r="3705" spans="1:11" ht="42" customHeight="1">
      <c r="A3705" s="2" t="s">
        <v>8609</v>
      </c>
      <c r="B3705" s="2" t="s">
        <v>8610</v>
      </c>
      <c r="C3705" s="2" t="s">
        <v>26</v>
      </c>
      <c r="D3705" s="2" t="s">
        <v>18</v>
      </c>
      <c r="E3705" s="5">
        <v>-30366</v>
      </c>
      <c r="F3705" s="3" t="s">
        <v>179</v>
      </c>
      <c r="G3705" s="3" t="s">
        <v>28</v>
      </c>
      <c r="H3705" s="2" t="s">
        <v>21</v>
      </c>
      <c r="I3705" s="2" t="s">
        <v>8611</v>
      </c>
      <c r="J3705" s="3" t="str">
        <f>HYPERLINK("https://www.boe.es/gazeta/dias/1816/11/09/pdfs/GMD-1816-140.pdf#page=6","Abrir facsímil")</f>
        <v>Abrir facsímil</v>
      </c>
      <c r="K3705" s="3" t="s">
        <v>23</v>
      </c>
    </row>
    <row r="3706" spans="1:11" ht="42" customHeight="1">
      <c r="A3706" s="2" t="s">
        <v>8612</v>
      </c>
      <c r="B3706" s="2" t="s">
        <v>8613</v>
      </c>
      <c r="C3706" s="2" t="s">
        <v>387</v>
      </c>
      <c r="D3706" s="2" t="s">
        <v>18</v>
      </c>
      <c r="E3706" s="5">
        <v>-30431</v>
      </c>
      <c r="F3706" s="3" t="s">
        <v>756</v>
      </c>
      <c r="G3706" s="3" t="s">
        <v>2277</v>
      </c>
      <c r="H3706" s="2" t="s">
        <v>21</v>
      </c>
      <c r="I3706" s="2" t="s">
        <v>8614</v>
      </c>
      <c r="J3706" s="3" t="str">
        <f>HYPERLINK("https://www.boe.es/gazeta/dias/1816/09/05/pdfs/GMD-1816-110.pdf#page=8","Abrir facsímil")</f>
        <v>Abrir facsímil</v>
      </c>
      <c r="K3706" s="3" t="s">
        <v>23</v>
      </c>
    </row>
    <row r="3707" spans="1:11" ht="42" customHeight="1">
      <c r="A3707" s="2" t="s">
        <v>8615</v>
      </c>
      <c r="B3707" s="2" t="s">
        <v>8616</v>
      </c>
      <c r="C3707" s="2" t="s">
        <v>111</v>
      </c>
      <c r="D3707" s="2" t="s">
        <v>112</v>
      </c>
      <c r="E3707" s="5">
        <v>-30359</v>
      </c>
      <c r="F3707" s="3" t="s">
        <v>812</v>
      </c>
      <c r="G3707" s="3" t="s">
        <v>28</v>
      </c>
      <c r="H3707" s="2" t="s">
        <v>21</v>
      </c>
      <c r="I3707" s="2" t="s">
        <v>8617</v>
      </c>
      <c r="J3707" s="3" t="str">
        <f>HYPERLINK("https://www.boe.es/gazeta/dias/1816/11/16/pdfs/GMD-1816-143.pdf#page=6","Abrir facsímil")</f>
        <v>Abrir facsímil</v>
      </c>
      <c r="K3707" s="3" t="s">
        <v>23</v>
      </c>
    </row>
    <row r="3708" spans="1:11" ht="42" customHeight="1">
      <c r="A3708" s="2" t="s">
        <v>8618</v>
      </c>
      <c r="B3708" s="2" t="s">
        <v>8619</v>
      </c>
      <c r="C3708" s="2" t="s">
        <v>111</v>
      </c>
      <c r="D3708" s="2" t="s">
        <v>112</v>
      </c>
      <c r="E3708" s="5">
        <v>-30496</v>
      </c>
      <c r="F3708" s="3" t="s">
        <v>290</v>
      </c>
      <c r="G3708" s="3" t="s">
        <v>291</v>
      </c>
      <c r="H3708" s="2" t="s">
        <v>29</v>
      </c>
      <c r="I3708" s="2" t="s">
        <v>8620</v>
      </c>
      <c r="J3708" s="3" t="str">
        <f>HYPERLINK("https://www.boe.es/gazeta/dias/1816/07/02/pdfs/GMD-1816-82.pdf#page=7","Abrir facsímil")</f>
        <v>Abrir facsímil</v>
      </c>
      <c r="K3708" s="3" t="s">
        <v>31</v>
      </c>
    </row>
    <row r="3709" spans="1:11" ht="42" customHeight="1">
      <c r="A3709" s="2" t="s">
        <v>8621</v>
      </c>
      <c r="B3709" s="2" t="s">
        <v>8622</v>
      </c>
      <c r="C3709" s="2" t="s">
        <v>26</v>
      </c>
      <c r="D3709" s="2" t="s">
        <v>18</v>
      </c>
      <c r="E3709" s="5">
        <v>-30445</v>
      </c>
      <c r="F3709" s="3" t="s">
        <v>51</v>
      </c>
      <c r="G3709" s="3" t="s">
        <v>47</v>
      </c>
      <c r="H3709" s="2" t="s">
        <v>21</v>
      </c>
      <c r="I3709" s="2" t="s">
        <v>8623</v>
      </c>
      <c r="J3709" s="3" t="str">
        <f>HYPERLINK("https://www.boe.es/gazeta/dias/1816/08/22/pdfs/GMD-1816-104.pdf#page=5","Abrir facsímil")</f>
        <v>Abrir facsímil</v>
      </c>
      <c r="K3709" s="3" t="s">
        <v>23</v>
      </c>
    </row>
    <row r="3710" spans="1:11" ht="42" customHeight="1">
      <c r="A3710" s="2" t="s">
        <v>8621</v>
      </c>
      <c r="B3710" s="2" t="s">
        <v>8622</v>
      </c>
      <c r="C3710" s="2" t="s">
        <v>26</v>
      </c>
      <c r="D3710" s="2" t="s">
        <v>18</v>
      </c>
      <c r="E3710" s="5">
        <v>-30354</v>
      </c>
      <c r="F3710" s="3" t="s">
        <v>68</v>
      </c>
      <c r="G3710" s="3" t="s">
        <v>42</v>
      </c>
      <c r="H3710" s="2" t="s">
        <v>21</v>
      </c>
      <c r="I3710" s="2" t="s">
        <v>8624</v>
      </c>
      <c r="J3710" s="3" t="str">
        <f>HYPERLINK("https://www.boe.es/gazeta/dias/1816/11/21/pdfs/GMD-1816-145.pdf#page=8","Abrir facsímil")</f>
        <v>Abrir facsímil</v>
      </c>
      <c r="K3710" s="3" t="s">
        <v>23</v>
      </c>
    </row>
    <row r="3711" spans="1:11" ht="42" customHeight="1">
      <c r="A3711" s="2" t="s">
        <v>8625</v>
      </c>
      <c r="B3711" s="2" t="s">
        <v>8626</v>
      </c>
      <c r="C3711" s="2" t="s">
        <v>34</v>
      </c>
      <c r="D3711" s="2" t="s">
        <v>35</v>
      </c>
      <c r="E3711" s="5">
        <v>-30461</v>
      </c>
      <c r="F3711" s="3" t="s">
        <v>912</v>
      </c>
      <c r="G3711" s="3" t="s">
        <v>47</v>
      </c>
      <c r="H3711" s="2" t="s">
        <v>21</v>
      </c>
      <c r="I3711" s="2" t="s">
        <v>8627</v>
      </c>
      <c r="J3711" s="3" t="str">
        <f>HYPERLINK("https://www.boe.es/gazeta/dias/1816/08/06/pdfs/GMD-1816-97.pdf#page=5","Abrir facsímil")</f>
        <v>Abrir facsímil</v>
      </c>
      <c r="K3711" s="3" t="s">
        <v>23</v>
      </c>
    </row>
    <row r="3712" spans="1:11" ht="42" customHeight="1">
      <c r="A3712" s="2" t="s">
        <v>8628</v>
      </c>
      <c r="B3712" s="2" t="s">
        <v>8628</v>
      </c>
      <c r="C3712" s="2" t="s">
        <v>41</v>
      </c>
      <c r="D3712" s="2" t="s">
        <v>18</v>
      </c>
      <c r="E3712" s="5">
        <v>-30590</v>
      </c>
      <c r="F3712" s="3" t="s">
        <v>195</v>
      </c>
      <c r="G3712" s="3" t="s">
        <v>42</v>
      </c>
      <c r="H3712" s="2" t="s">
        <v>21</v>
      </c>
      <c r="I3712" s="2" t="s">
        <v>8629</v>
      </c>
      <c r="J3712" s="3" t="str">
        <f>HYPERLINK("https://www.boe.es/gazeta/dias/1816/03/30/pdfs/GMD-1816-42.pdf#page=8","Abrir facsímil")</f>
        <v>Abrir facsímil</v>
      </c>
      <c r="K3712" s="3" t="s">
        <v>23</v>
      </c>
    </row>
    <row r="3713" spans="1:11" ht="42" customHeight="1">
      <c r="A3713" s="2" t="s">
        <v>8630</v>
      </c>
      <c r="B3713" s="2" t="s">
        <v>8631</v>
      </c>
      <c r="C3713" s="2" t="s">
        <v>26</v>
      </c>
      <c r="D3713" s="2" t="s">
        <v>56</v>
      </c>
      <c r="E3713" s="5">
        <v>-30393</v>
      </c>
      <c r="F3713" s="3" t="s">
        <v>202</v>
      </c>
      <c r="G3713" s="3" t="s">
        <v>42</v>
      </c>
      <c r="H3713" s="2" t="s">
        <v>29</v>
      </c>
      <c r="I3713" s="2" t="s">
        <v>8632</v>
      </c>
      <c r="J3713" s="3" t="str">
        <f>HYPERLINK("https://www.boe.es/gazeta/dias/1816/10/13/pdfs/GMD-1816-128E.pdf#page=8","Abrir facsímil")</f>
        <v>Abrir facsímil</v>
      </c>
      <c r="K3713" s="3" t="s">
        <v>31</v>
      </c>
    </row>
    <row r="3714" spans="1:11" ht="42" customHeight="1">
      <c r="A3714" s="2" t="s">
        <v>8633</v>
      </c>
      <c r="B3714" s="2" t="s">
        <v>8634</v>
      </c>
      <c r="C3714" s="2" t="s">
        <v>26</v>
      </c>
      <c r="D3714" s="2" t="s">
        <v>18</v>
      </c>
      <c r="E3714" s="5">
        <v>-30401</v>
      </c>
      <c r="F3714" s="3" t="s">
        <v>652</v>
      </c>
      <c r="G3714" s="3" t="s">
        <v>72</v>
      </c>
      <c r="H3714" s="2" t="s">
        <v>21</v>
      </c>
      <c r="I3714" s="2" t="s">
        <v>8635</v>
      </c>
      <c r="J3714" s="3" t="str">
        <f>HYPERLINK("https://www.boe.es/gazeta/dias/1816/10/05/pdfs/GMD-1816-123.pdf#page=7","Abrir facsímil")</f>
        <v>Abrir facsímil</v>
      </c>
      <c r="K3714" s="3" t="s">
        <v>23</v>
      </c>
    </row>
    <row r="3715" spans="1:11" ht="42" customHeight="1">
      <c r="A3715" s="2" t="s">
        <v>8636</v>
      </c>
      <c r="B3715" s="2" t="s">
        <v>8637</v>
      </c>
      <c r="C3715" s="2" t="s">
        <v>67</v>
      </c>
      <c r="D3715" s="2" t="s">
        <v>18</v>
      </c>
      <c r="E3715" s="5">
        <v>-30487</v>
      </c>
      <c r="F3715" s="3" t="s">
        <v>397</v>
      </c>
      <c r="G3715" s="3" t="s">
        <v>52</v>
      </c>
      <c r="H3715" s="2" t="s">
        <v>21</v>
      </c>
      <c r="I3715" s="2" t="s">
        <v>8638</v>
      </c>
      <c r="J3715" s="3" t="str">
        <f>HYPERLINK("https://www.boe.es/gazeta/dias/1816/07/11/pdfs/GMD-1816-86.pdf#page=12","Abrir facsímil")</f>
        <v>Abrir facsímil</v>
      </c>
      <c r="K3715" s="3" t="s">
        <v>23</v>
      </c>
    </row>
    <row r="3716" spans="1:11" ht="42" customHeight="1">
      <c r="A3716" s="2" t="s">
        <v>8639</v>
      </c>
      <c r="B3716" s="2" t="s">
        <v>8639</v>
      </c>
      <c r="C3716" s="2" t="s">
        <v>34</v>
      </c>
      <c r="D3716" s="2" t="s">
        <v>35</v>
      </c>
      <c r="E3716" s="5">
        <v>-30552</v>
      </c>
      <c r="F3716" s="3" t="s">
        <v>1842</v>
      </c>
      <c r="G3716" s="3" t="s">
        <v>184</v>
      </c>
      <c r="H3716" s="2" t="s">
        <v>21</v>
      </c>
      <c r="I3716" s="2" t="s">
        <v>8640</v>
      </c>
      <c r="J3716" s="3" t="str">
        <f>HYPERLINK("https://www.boe.es/gazeta/dias/1816/05/07/pdfs/GMD-1816-58.pdf#page=3","Abrir facsímil")</f>
        <v>Abrir facsímil</v>
      </c>
      <c r="K3716" s="3" t="s">
        <v>23</v>
      </c>
    </row>
    <row r="3717" spans="1:11" ht="42" customHeight="1">
      <c r="A3717" s="2" t="s">
        <v>8641</v>
      </c>
      <c r="B3717" s="2" t="s">
        <v>8642</v>
      </c>
      <c r="C3717" s="2" t="s">
        <v>26</v>
      </c>
      <c r="D3717" s="2" t="s">
        <v>18</v>
      </c>
      <c r="E3717" s="5">
        <v>-30457</v>
      </c>
      <c r="F3717" s="3" t="s">
        <v>539</v>
      </c>
      <c r="G3717" s="3" t="s">
        <v>72</v>
      </c>
      <c r="H3717" s="2" t="s">
        <v>21</v>
      </c>
      <c r="I3717" s="2" t="s">
        <v>8643</v>
      </c>
      <c r="J3717" s="3" t="str">
        <f>HYPERLINK("https://www.boe.es/gazeta/dias/1816/08/10/pdfs/GMD-1816-99.pdf#page=7","Abrir facsímil")</f>
        <v>Abrir facsímil</v>
      </c>
      <c r="K3717" s="3" t="s">
        <v>23</v>
      </c>
    </row>
    <row r="3718" spans="1:11" ht="42" customHeight="1">
      <c r="A3718" s="2" t="s">
        <v>8644</v>
      </c>
      <c r="B3718" s="2" t="s">
        <v>8645</v>
      </c>
      <c r="C3718" s="2" t="s">
        <v>41</v>
      </c>
      <c r="D3718" s="2" t="s">
        <v>18</v>
      </c>
      <c r="E3718" s="5">
        <v>-30398</v>
      </c>
      <c r="F3718" s="3" t="s">
        <v>447</v>
      </c>
      <c r="G3718" s="3" t="s">
        <v>72</v>
      </c>
      <c r="H3718" s="2" t="s">
        <v>21</v>
      </c>
      <c r="I3718" s="2" t="s">
        <v>8646</v>
      </c>
      <c r="J3718" s="3" t="str">
        <f>HYPERLINK("https://www.boe.es/gazeta/dias/1816/10/08/pdfs/GMD-1816-125.pdf#page=7","Abrir facsímil")</f>
        <v>Abrir facsímil</v>
      </c>
      <c r="K3718" s="3" t="s">
        <v>23</v>
      </c>
    </row>
    <row r="3719" spans="1:11" ht="42" customHeight="1">
      <c r="A3719" s="2" t="s">
        <v>8647</v>
      </c>
      <c r="B3719" s="2" t="s">
        <v>8648</v>
      </c>
      <c r="C3719" s="2" t="s">
        <v>34</v>
      </c>
      <c r="D3719" s="2" t="s">
        <v>35</v>
      </c>
      <c r="E3719" s="5">
        <v>-30387</v>
      </c>
      <c r="F3719" s="3" t="s">
        <v>224</v>
      </c>
      <c r="G3719" s="3" t="s">
        <v>28</v>
      </c>
      <c r="H3719" s="2" t="s">
        <v>21</v>
      </c>
      <c r="I3719" s="2" t="s">
        <v>8649</v>
      </c>
      <c r="J3719" s="3" t="str">
        <f>HYPERLINK("https://www.boe.es/gazeta/dias/1816/10/19/pdfs/GMD-1816-131.pdf#page=6","Abrir facsímil")</f>
        <v>Abrir facsímil</v>
      </c>
      <c r="K3719" s="3" t="s">
        <v>23</v>
      </c>
    </row>
    <row r="3720" spans="1:11" ht="42" customHeight="1">
      <c r="A3720" s="2" t="s">
        <v>8650</v>
      </c>
      <c r="B3720" s="2" t="s">
        <v>8651</v>
      </c>
      <c r="C3720" s="2" t="s">
        <v>111</v>
      </c>
      <c r="D3720" s="2" t="s">
        <v>112</v>
      </c>
      <c r="E3720" s="5">
        <v>-30422</v>
      </c>
      <c r="F3720" s="3" t="s">
        <v>803</v>
      </c>
      <c r="G3720" s="3" t="s">
        <v>1405</v>
      </c>
      <c r="H3720" s="2" t="s">
        <v>21</v>
      </c>
      <c r="I3720" s="2" t="s">
        <v>8652</v>
      </c>
      <c r="J3720" s="3" t="str">
        <f>HYPERLINK("https://www.boe.es/gazeta/dias/1816/09/14/pdfs/GMD-1816-114.pdf#page=8","Abrir facsímil")</f>
        <v>Abrir facsímil</v>
      </c>
      <c r="K3720" s="3" t="s">
        <v>23</v>
      </c>
    </row>
    <row r="3721" spans="1:11" ht="42" customHeight="1">
      <c r="A3721" s="2" t="s">
        <v>8653</v>
      </c>
      <c r="B3721" s="2" t="s">
        <v>8654</v>
      </c>
      <c r="C3721" s="2" t="s">
        <v>111</v>
      </c>
      <c r="D3721" s="2" t="s">
        <v>112</v>
      </c>
      <c r="E3721" s="5">
        <v>-30363</v>
      </c>
      <c r="F3721" s="3" t="s">
        <v>570</v>
      </c>
      <c r="G3721" s="3" t="s">
        <v>42</v>
      </c>
      <c r="H3721" s="2" t="s">
        <v>21</v>
      </c>
      <c r="I3721" s="2" t="s">
        <v>8655</v>
      </c>
      <c r="J3721" s="3" t="str">
        <f>HYPERLINK("https://www.boe.es/gazeta/dias/1816/11/12/pdfs/GMD-1816-141.pdf#page=8","Abrir facsímil")</f>
        <v>Abrir facsímil</v>
      </c>
      <c r="K3721" s="3" t="s">
        <v>23</v>
      </c>
    </row>
    <row r="3722" spans="1:11" ht="42" customHeight="1">
      <c r="A3722" s="2" t="s">
        <v>8656</v>
      </c>
      <c r="B3722" s="2" t="s">
        <v>8657</v>
      </c>
      <c r="C3722" s="2" t="s">
        <v>34</v>
      </c>
      <c r="D3722" s="2" t="s">
        <v>35</v>
      </c>
      <c r="E3722" s="5">
        <v>-30676</v>
      </c>
      <c r="F3722" s="3" t="s">
        <v>1932</v>
      </c>
      <c r="G3722" s="3" t="s">
        <v>72</v>
      </c>
      <c r="H3722" s="2" t="s">
        <v>21</v>
      </c>
      <c r="I3722" s="2" t="s">
        <v>8658</v>
      </c>
      <c r="J3722" s="3" t="str">
        <f>HYPERLINK("https://www.boe.es/gazeta/dias/1816/01/04/pdfs/GMD-1816-2.pdf#page=7","Abrir facsímil")</f>
        <v>Abrir facsímil</v>
      </c>
      <c r="K3722" s="3" t="s">
        <v>23</v>
      </c>
    </row>
    <row r="3723" spans="1:11" ht="42" customHeight="1">
      <c r="A3723" s="2" t="s">
        <v>8656</v>
      </c>
      <c r="B3723" s="2" t="s">
        <v>8657</v>
      </c>
      <c r="C3723" s="2" t="s">
        <v>111</v>
      </c>
      <c r="D3723" s="2" t="s">
        <v>112</v>
      </c>
      <c r="E3723" s="5">
        <v>-30632</v>
      </c>
      <c r="F3723" s="3" t="s">
        <v>89</v>
      </c>
      <c r="G3723" s="3" t="s">
        <v>42</v>
      </c>
      <c r="H3723" s="2" t="s">
        <v>21</v>
      </c>
      <c r="I3723" s="2" t="s">
        <v>8659</v>
      </c>
      <c r="J3723" s="3" t="str">
        <f>HYPERLINK("https://www.boe.es/gazeta/dias/1816/02/17/pdfs/GMD-1816-22.pdf#page=8","Abrir facsímil")</f>
        <v>Abrir facsímil</v>
      </c>
      <c r="K3723" s="3" t="s">
        <v>23</v>
      </c>
    </row>
    <row r="3724" spans="1:11" ht="42" customHeight="1">
      <c r="A3724" s="2" t="s">
        <v>8656</v>
      </c>
      <c r="B3724" s="2" t="s">
        <v>8657</v>
      </c>
      <c r="C3724" s="2" t="s">
        <v>111</v>
      </c>
      <c r="D3724" s="2" t="s">
        <v>112</v>
      </c>
      <c r="E3724" s="5">
        <v>-30613</v>
      </c>
      <c r="F3724" s="3" t="s">
        <v>392</v>
      </c>
      <c r="G3724" s="3" t="s">
        <v>1395</v>
      </c>
      <c r="H3724" s="2" t="s">
        <v>21</v>
      </c>
      <c r="I3724" s="2" t="s">
        <v>8660</v>
      </c>
      <c r="J3724" s="3" t="str">
        <f>HYPERLINK("https://www.boe.es/gazeta/dias/1816/03/07/pdfs/GMD-1816-31.pdf#page=8","Abrir facsímil")</f>
        <v>Abrir facsímil</v>
      </c>
      <c r="K3724" s="3" t="s">
        <v>23</v>
      </c>
    </row>
    <row r="3725" spans="1:11" ht="42" customHeight="1">
      <c r="A3725" s="2" t="s">
        <v>8656</v>
      </c>
      <c r="B3725" s="2" t="s">
        <v>8657</v>
      </c>
      <c r="C3725" s="2" t="s">
        <v>111</v>
      </c>
      <c r="D3725" s="2" t="s">
        <v>112</v>
      </c>
      <c r="E3725" s="5">
        <v>-30580</v>
      </c>
      <c r="F3725" s="3" t="s">
        <v>107</v>
      </c>
      <c r="G3725" s="3" t="s">
        <v>42</v>
      </c>
      <c r="H3725" s="2" t="s">
        <v>21</v>
      </c>
      <c r="I3725" s="2" t="s">
        <v>8661</v>
      </c>
      <c r="J3725" s="3" t="str">
        <f>HYPERLINK("https://www.boe.es/gazeta/dias/1816/04/09/pdfs/GMD-1816-46.pdf#page=8","Abrir facsímil")</f>
        <v>Abrir facsímil</v>
      </c>
      <c r="K3725" s="3" t="s">
        <v>23</v>
      </c>
    </row>
    <row r="3726" spans="1:11" ht="42" customHeight="1">
      <c r="A3726" s="2" t="s">
        <v>8656</v>
      </c>
      <c r="B3726" s="2" t="s">
        <v>8657</v>
      </c>
      <c r="C3726" s="2" t="s">
        <v>111</v>
      </c>
      <c r="D3726" s="2" t="s">
        <v>112</v>
      </c>
      <c r="E3726" s="5">
        <v>-30501</v>
      </c>
      <c r="F3726" s="3" t="s">
        <v>475</v>
      </c>
      <c r="G3726" s="3" t="s">
        <v>1735</v>
      </c>
      <c r="H3726" s="2" t="s">
        <v>21</v>
      </c>
      <c r="I3726" s="2" t="s">
        <v>8662</v>
      </c>
      <c r="J3726" s="3" t="str">
        <f>HYPERLINK("https://www.boe.es/gazeta/dias/1816/06/27/pdfs/GMD-1816-80.pdf#page=8","Abrir facsímil")</f>
        <v>Abrir facsímil</v>
      </c>
      <c r="K3726" s="3" t="s">
        <v>23</v>
      </c>
    </row>
    <row r="3727" spans="1:11" ht="42" customHeight="1">
      <c r="A3727" s="2" t="s">
        <v>8656</v>
      </c>
      <c r="B3727" s="2" t="s">
        <v>8657</v>
      </c>
      <c r="C3727" s="2" t="s">
        <v>111</v>
      </c>
      <c r="D3727" s="2" t="s">
        <v>112</v>
      </c>
      <c r="E3727" s="5">
        <v>-30468</v>
      </c>
      <c r="F3727" s="3" t="s">
        <v>383</v>
      </c>
      <c r="G3727" s="3" t="s">
        <v>42</v>
      </c>
      <c r="H3727" s="2" t="s">
        <v>21</v>
      </c>
      <c r="I3727" s="2" t="s">
        <v>8663</v>
      </c>
      <c r="J3727" s="3" t="str">
        <f>HYPERLINK("https://www.boe.es/gazeta/dias/1816/07/30/pdfs/GMD-1816-94.pdf#page=8","Abrir facsímil")</f>
        <v>Abrir facsímil</v>
      </c>
      <c r="K3727" s="3" t="s">
        <v>23</v>
      </c>
    </row>
    <row r="3728" spans="1:11" ht="42" customHeight="1">
      <c r="A3728" s="2" t="s">
        <v>8656</v>
      </c>
      <c r="B3728" s="2" t="s">
        <v>8657</v>
      </c>
      <c r="C3728" s="2" t="s">
        <v>111</v>
      </c>
      <c r="D3728" s="2" t="s">
        <v>112</v>
      </c>
      <c r="E3728" s="5">
        <v>-30454</v>
      </c>
      <c r="F3728" s="3" t="s">
        <v>188</v>
      </c>
      <c r="G3728" s="3" t="s">
        <v>175</v>
      </c>
      <c r="H3728" s="2" t="s">
        <v>21</v>
      </c>
      <c r="I3728" s="2" t="s">
        <v>8664</v>
      </c>
      <c r="J3728" s="3" t="str">
        <f>HYPERLINK("https://www.boe.es/gazeta/dias/1816/08/13/pdfs/GMD-1816-100.pdf#page=11","Abrir facsímil")</f>
        <v>Abrir facsímil</v>
      </c>
      <c r="K3728" s="3" t="s">
        <v>23</v>
      </c>
    </row>
    <row r="3729" spans="1:11" ht="42" customHeight="1">
      <c r="A3729" s="2" t="s">
        <v>8656</v>
      </c>
      <c r="B3729" s="2" t="s">
        <v>8657</v>
      </c>
      <c r="C3729" s="2" t="s">
        <v>111</v>
      </c>
      <c r="D3729" s="2" t="s">
        <v>112</v>
      </c>
      <c r="E3729" s="5">
        <v>-30440</v>
      </c>
      <c r="F3729" s="3" t="s">
        <v>564</v>
      </c>
      <c r="G3729" s="3" t="s">
        <v>2878</v>
      </c>
      <c r="H3729" s="2" t="s">
        <v>21</v>
      </c>
      <c r="I3729" s="2" t="s">
        <v>8665</v>
      </c>
      <c r="J3729" s="3" t="str">
        <f>HYPERLINK("https://www.boe.es/gazeta/dias/1816/08/27/pdfs/GMD-1816-106.pdf#page=8","Abrir facsímil")</f>
        <v>Abrir facsímil</v>
      </c>
      <c r="K3729" s="3" t="s">
        <v>23</v>
      </c>
    </row>
    <row r="3730" spans="1:11" ht="42" customHeight="1">
      <c r="A3730" s="2" t="s">
        <v>8656</v>
      </c>
      <c r="B3730" s="2" t="s">
        <v>8657</v>
      </c>
      <c r="C3730" s="2" t="s">
        <v>34</v>
      </c>
      <c r="D3730" s="2" t="s">
        <v>35</v>
      </c>
      <c r="E3730" s="5">
        <v>-30429</v>
      </c>
      <c r="F3730" s="3" t="s">
        <v>598</v>
      </c>
      <c r="G3730" s="3" t="s">
        <v>42</v>
      </c>
      <c r="H3730" s="2" t="s">
        <v>21</v>
      </c>
      <c r="I3730" s="2" t="s">
        <v>8666</v>
      </c>
      <c r="J3730" s="3" t="str">
        <f>HYPERLINK("https://www.boe.es/gazeta/dias/1816/09/07/pdfs/GMD-1816-111.pdf#page=8","Abrir facsímil")</f>
        <v>Abrir facsímil</v>
      </c>
      <c r="K3730" s="3" t="s">
        <v>23</v>
      </c>
    </row>
    <row r="3731" spans="1:11" ht="42" customHeight="1">
      <c r="A3731" s="2" t="s">
        <v>8656</v>
      </c>
      <c r="B3731" s="2" t="s">
        <v>8657</v>
      </c>
      <c r="C3731" s="2" t="s">
        <v>111</v>
      </c>
      <c r="D3731" s="2" t="s">
        <v>112</v>
      </c>
      <c r="E3731" s="5">
        <v>-30403</v>
      </c>
      <c r="F3731" s="3" t="s">
        <v>1264</v>
      </c>
      <c r="G3731" s="3" t="s">
        <v>2883</v>
      </c>
      <c r="H3731" s="2" t="s">
        <v>21</v>
      </c>
      <c r="I3731" s="2" t="s">
        <v>8667</v>
      </c>
      <c r="J3731" s="3" t="str">
        <f>HYPERLINK("https://www.boe.es/gazeta/dias/1816/10/03/pdfs/GMD-1816-122.pdf#page=8","Abrir facsímil")</f>
        <v>Abrir facsímil</v>
      </c>
      <c r="K3731" s="3" t="s">
        <v>23</v>
      </c>
    </row>
    <row r="3732" spans="1:11" ht="42" customHeight="1">
      <c r="A3732" s="2" t="s">
        <v>8656</v>
      </c>
      <c r="B3732" s="2" t="s">
        <v>8657</v>
      </c>
      <c r="C3732" s="2" t="s">
        <v>111</v>
      </c>
      <c r="D3732" s="2" t="s">
        <v>112</v>
      </c>
      <c r="E3732" s="5">
        <v>-30401</v>
      </c>
      <c r="F3732" s="3" t="s">
        <v>652</v>
      </c>
      <c r="G3732" s="3" t="s">
        <v>42</v>
      </c>
      <c r="H3732" s="2" t="s">
        <v>21</v>
      </c>
      <c r="I3732" s="2" t="s">
        <v>8668</v>
      </c>
      <c r="J3732" s="3" t="str">
        <f>HYPERLINK("https://www.boe.es/gazeta/dias/1816/10/05/pdfs/GMD-1816-123.pdf#page=8","Abrir facsímil")</f>
        <v>Abrir facsímil</v>
      </c>
      <c r="K3732" s="3" t="s">
        <v>23</v>
      </c>
    </row>
    <row r="3733" spans="1:11" ht="42" customHeight="1">
      <c r="A3733" s="2" t="s">
        <v>8656</v>
      </c>
      <c r="B3733" s="2" t="s">
        <v>8657</v>
      </c>
      <c r="C3733" s="2" t="s">
        <v>111</v>
      </c>
      <c r="D3733" s="2" t="s">
        <v>112</v>
      </c>
      <c r="E3733" s="5">
        <v>-30387</v>
      </c>
      <c r="F3733" s="3" t="s">
        <v>224</v>
      </c>
      <c r="G3733" s="3" t="s">
        <v>42</v>
      </c>
      <c r="H3733" s="2" t="s">
        <v>21</v>
      </c>
      <c r="I3733" s="2" t="s">
        <v>8669</v>
      </c>
      <c r="J3733" s="3" t="str">
        <f>HYPERLINK("https://www.boe.es/gazeta/dias/1816/10/19/pdfs/GMD-1816-131.pdf#page=8","Abrir facsímil")</f>
        <v>Abrir facsímil</v>
      </c>
      <c r="K3733" s="3" t="s">
        <v>23</v>
      </c>
    </row>
    <row r="3734" spans="1:11" ht="42" customHeight="1">
      <c r="A3734" s="2" t="s">
        <v>8656</v>
      </c>
      <c r="B3734" s="2" t="s">
        <v>8657</v>
      </c>
      <c r="C3734" s="2" t="s">
        <v>111</v>
      </c>
      <c r="D3734" s="2" t="s">
        <v>112</v>
      </c>
      <c r="E3734" s="5">
        <v>-30384</v>
      </c>
      <c r="F3734" s="3" t="s">
        <v>460</v>
      </c>
      <c r="G3734" s="3" t="s">
        <v>932</v>
      </c>
      <c r="H3734" s="2" t="s">
        <v>21</v>
      </c>
      <c r="I3734" s="2" t="s">
        <v>8670</v>
      </c>
      <c r="J3734" s="3" t="str">
        <f>HYPERLINK("https://www.boe.es/gazeta/dias/1816/10/22/pdfs/GMD-1816-132.pdf#page=7","Abrir facsímil")</f>
        <v>Abrir facsímil</v>
      </c>
      <c r="K3734" s="3" t="s">
        <v>23</v>
      </c>
    </row>
    <row r="3735" spans="1:11" ht="42" customHeight="1">
      <c r="A3735" s="2" t="s">
        <v>8656</v>
      </c>
      <c r="B3735" s="2" t="s">
        <v>8657</v>
      </c>
      <c r="C3735" s="2" t="s">
        <v>111</v>
      </c>
      <c r="D3735" s="2" t="s">
        <v>112</v>
      </c>
      <c r="E3735" s="5">
        <v>-30361</v>
      </c>
      <c r="F3735" s="3" t="s">
        <v>1741</v>
      </c>
      <c r="G3735" s="3" t="s">
        <v>2889</v>
      </c>
      <c r="H3735" s="2" t="s">
        <v>21</v>
      </c>
      <c r="I3735" s="2" t="s">
        <v>8671</v>
      </c>
      <c r="J3735" s="3" t="str">
        <f>HYPERLINK("https://www.boe.es/gazeta/dias/1816/11/14/pdfs/GMD-1816-142.pdf#page=8","Abrir facsímil")</f>
        <v>Abrir facsímil</v>
      </c>
      <c r="K3735" s="3" t="s">
        <v>23</v>
      </c>
    </row>
    <row r="3736" spans="1:11" ht="42" customHeight="1">
      <c r="A3736" s="2" t="s">
        <v>8656</v>
      </c>
      <c r="B3736" s="2" t="s">
        <v>8657</v>
      </c>
      <c r="C3736" s="2" t="s">
        <v>111</v>
      </c>
      <c r="D3736" s="2" t="s">
        <v>112</v>
      </c>
      <c r="E3736" s="5">
        <v>-30356</v>
      </c>
      <c r="F3736" s="3" t="s">
        <v>824</v>
      </c>
      <c r="G3736" s="3" t="s">
        <v>42</v>
      </c>
      <c r="H3736" s="2" t="s">
        <v>21</v>
      </c>
      <c r="I3736" s="2" t="s">
        <v>8672</v>
      </c>
      <c r="J3736" s="3" t="str">
        <f>HYPERLINK("https://www.boe.es/gazeta/dias/1816/11/19/pdfs/GMD-1816-144.pdf#page=8","Abrir facsímil")</f>
        <v>Abrir facsímil</v>
      </c>
      <c r="K3736" s="3" t="s">
        <v>23</v>
      </c>
    </row>
    <row r="3737" spans="1:11" ht="42" customHeight="1">
      <c r="A3737" s="2" t="s">
        <v>8656</v>
      </c>
      <c r="B3737" s="2" t="s">
        <v>8657</v>
      </c>
      <c r="C3737" s="2" t="s">
        <v>111</v>
      </c>
      <c r="D3737" s="2" t="s">
        <v>112</v>
      </c>
      <c r="E3737" s="5">
        <v>-30333</v>
      </c>
      <c r="F3737" s="3" t="s">
        <v>1005</v>
      </c>
      <c r="G3737" s="3" t="s">
        <v>42</v>
      </c>
      <c r="H3737" s="2" t="s">
        <v>21</v>
      </c>
      <c r="I3737" s="2" t="s">
        <v>8673</v>
      </c>
      <c r="J3737" s="3" t="str">
        <f>HYPERLINK("https://www.boe.es/gazeta/dias/1816/12/12/pdfs/GMD-1816-154.pdf#page=8","Abrir facsímil")</f>
        <v>Abrir facsímil</v>
      </c>
      <c r="K3737" s="3" t="s">
        <v>23</v>
      </c>
    </row>
    <row r="3738" spans="1:11" ht="42" customHeight="1">
      <c r="A3738" s="2" t="s">
        <v>8674</v>
      </c>
      <c r="B3738" s="2" t="s">
        <v>8675</v>
      </c>
      <c r="C3738" s="2" t="s">
        <v>34</v>
      </c>
      <c r="D3738" s="2" t="s">
        <v>35</v>
      </c>
      <c r="E3738" s="5">
        <v>-30510</v>
      </c>
      <c r="F3738" s="3" t="s">
        <v>450</v>
      </c>
      <c r="G3738" s="3" t="s">
        <v>451</v>
      </c>
      <c r="H3738" s="2" t="s">
        <v>21</v>
      </c>
      <c r="I3738" s="2" t="s">
        <v>8676</v>
      </c>
      <c r="J3738" s="3" t="str">
        <f>HYPERLINK("https://www.boe.es/gazeta/dias/1816/06/18/pdfs/GMD-1816-76.pdf#page=8","Abrir facsímil")</f>
        <v>Abrir facsímil</v>
      </c>
      <c r="K3738" s="3" t="s">
        <v>23</v>
      </c>
    </row>
    <row r="3739" spans="1:11" ht="42" customHeight="1">
      <c r="A3739" s="2" t="s">
        <v>8674</v>
      </c>
      <c r="B3739" s="2" t="s">
        <v>8675</v>
      </c>
      <c r="C3739" s="2" t="s">
        <v>34</v>
      </c>
      <c r="D3739" s="2" t="s">
        <v>35</v>
      </c>
      <c r="E3739" s="5">
        <v>-30459</v>
      </c>
      <c r="F3739" s="3" t="s">
        <v>1957</v>
      </c>
      <c r="G3739" s="3" t="s">
        <v>42</v>
      </c>
      <c r="H3739" s="2" t="s">
        <v>21</v>
      </c>
      <c r="I3739" s="2" t="s">
        <v>8677</v>
      </c>
      <c r="J3739" s="3" t="str">
        <f>HYPERLINK("https://www.boe.es/gazeta/dias/1816/08/08/pdfs/GMD-1816-98.pdf#page=8","Abrir facsímil")</f>
        <v>Abrir facsímil</v>
      </c>
      <c r="K3739" s="3" t="s">
        <v>23</v>
      </c>
    </row>
    <row r="3740" spans="1:11" ht="42" customHeight="1">
      <c r="A3740" s="2" t="s">
        <v>8678</v>
      </c>
      <c r="B3740" s="2" t="s">
        <v>8679</v>
      </c>
      <c r="C3740" s="2" t="s">
        <v>34</v>
      </c>
      <c r="D3740" s="2" t="s">
        <v>35</v>
      </c>
      <c r="E3740" s="5">
        <v>-30548</v>
      </c>
      <c r="F3740" s="3" t="s">
        <v>472</v>
      </c>
      <c r="G3740" s="3" t="s">
        <v>5330</v>
      </c>
      <c r="H3740" s="2" t="s">
        <v>21</v>
      </c>
      <c r="I3740" s="2" t="s">
        <v>8680</v>
      </c>
      <c r="J3740" s="3" t="str">
        <f>HYPERLINK("https://www.boe.es/gazeta/dias/1816/05/11/pdfs/GMD-1816-60.pdf#page=7","Abrir facsímil")</f>
        <v>Abrir facsímil</v>
      </c>
      <c r="K3740" s="3" t="s">
        <v>23</v>
      </c>
    </row>
    <row r="3741" spans="1:11" ht="42" customHeight="1">
      <c r="A3741" s="2" t="s">
        <v>8681</v>
      </c>
      <c r="B3741" s="2" t="s">
        <v>8682</v>
      </c>
      <c r="C3741" s="2" t="s">
        <v>111</v>
      </c>
      <c r="D3741" s="2" t="s">
        <v>112</v>
      </c>
      <c r="E3741" s="5">
        <v>-30345</v>
      </c>
      <c r="F3741" s="3" t="s">
        <v>1382</v>
      </c>
      <c r="G3741" s="3" t="s">
        <v>42</v>
      </c>
      <c r="H3741" s="2" t="s">
        <v>21</v>
      </c>
      <c r="I3741" s="2" t="s">
        <v>8683</v>
      </c>
      <c r="J3741" s="3" t="str">
        <f>HYPERLINK("https://www.boe.es/gazeta/dias/1816/11/30/pdfs/GMD-1816-149.pdf#page=8","Abrir facsímil")</f>
        <v>Abrir facsímil</v>
      </c>
      <c r="K3741" s="3" t="s">
        <v>23</v>
      </c>
    </row>
    <row r="3742" spans="1:11" ht="42" customHeight="1">
      <c r="A3742" s="2" t="s">
        <v>8684</v>
      </c>
      <c r="B3742" s="2" t="s">
        <v>8685</v>
      </c>
      <c r="C3742" s="2" t="s">
        <v>26</v>
      </c>
      <c r="D3742" s="2" t="s">
        <v>18</v>
      </c>
      <c r="E3742" s="5">
        <v>-30485</v>
      </c>
      <c r="F3742" s="3" t="s">
        <v>156</v>
      </c>
      <c r="G3742" s="3" t="s">
        <v>184</v>
      </c>
      <c r="H3742" s="2" t="s">
        <v>21</v>
      </c>
      <c r="I3742" s="2" t="s">
        <v>8686</v>
      </c>
      <c r="J3742" s="3" t="str">
        <f>HYPERLINK("https://www.boe.es/gazeta/dias/1816/07/13/pdfs/GMD-1816-87.pdf#page=3","Abrir facsímil")</f>
        <v>Abrir facsímil</v>
      </c>
      <c r="K3742" s="3" t="s">
        <v>23</v>
      </c>
    </row>
    <row r="3743" spans="1:11" ht="42" customHeight="1">
      <c r="A3743" s="2" t="s">
        <v>8687</v>
      </c>
      <c r="B3743" s="2" t="s">
        <v>8688</v>
      </c>
      <c r="C3743" s="2" t="s">
        <v>41</v>
      </c>
      <c r="D3743" s="2" t="s">
        <v>18</v>
      </c>
      <c r="E3743" s="5">
        <v>-30494</v>
      </c>
      <c r="F3743" s="3" t="s">
        <v>174</v>
      </c>
      <c r="G3743" s="3" t="s">
        <v>175</v>
      </c>
      <c r="H3743" s="2" t="s">
        <v>21</v>
      </c>
      <c r="I3743" s="2" t="s">
        <v>8689</v>
      </c>
      <c r="J3743" s="3" t="str">
        <f>HYPERLINK("https://www.boe.es/gazeta/dias/1816/07/04/pdfs/GMD-1816-83.pdf#page=11","Abrir facsímil")</f>
        <v>Abrir facsímil</v>
      </c>
      <c r="K3743" s="3" t="s">
        <v>23</v>
      </c>
    </row>
    <row r="3744" spans="1:11" ht="42" customHeight="1">
      <c r="A3744" s="2" t="s">
        <v>8690</v>
      </c>
      <c r="B3744" s="2" t="s">
        <v>8691</v>
      </c>
      <c r="C3744" s="2" t="s">
        <v>41</v>
      </c>
      <c r="D3744" s="2" t="s">
        <v>18</v>
      </c>
      <c r="E3744" s="5">
        <v>-30389</v>
      </c>
      <c r="F3744" s="3" t="s">
        <v>522</v>
      </c>
      <c r="G3744" s="3" t="s">
        <v>47</v>
      </c>
      <c r="H3744" s="2" t="s">
        <v>21</v>
      </c>
      <c r="I3744" s="2" t="s">
        <v>8692</v>
      </c>
      <c r="J3744" s="3" t="str">
        <f>HYPERLINK("https://www.boe.es/gazeta/dias/1816/10/17/pdfs/GMD-1816-130.pdf#page=5","Abrir facsímil")</f>
        <v>Abrir facsímil</v>
      </c>
      <c r="K3744" s="3" t="s">
        <v>23</v>
      </c>
    </row>
    <row r="3745" spans="1:11" ht="42" customHeight="1">
      <c r="A3745" s="2" t="s">
        <v>8693</v>
      </c>
      <c r="B3745" s="2" t="s">
        <v>8694</v>
      </c>
      <c r="C3745" s="2" t="s">
        <v>34</v>
      </c>
      <c r="D3745" s="2" t="s">
        <v>35</v>
      </c>
      <c r="E3745" s="5">
        <v>-30520</v>
      </c>
      <c r="F3745" s="3" t="s">
        <v>731</v>
      </c>
      <c r="G3745" s="3" t="s">
        <v>28</v>
      </c>
      <c r="H3745" s="2" t="s">
        <v>21</v>
      </c>
      <c r="I3745" s="2" t="s">
        <v>8695</v>
      </c>
      <c r="J3745" s="3" t="str">
        <f>HYPERLINK("https://www.boe.es/gazeta/dias/1816/06/08/pdfs/GMD-1816-72.pdf#page=6","Abrir facsímil")</f>
        <v>Abrir facsímil</v>
      </c>
      <c r="K3745" s="3" t="s">
        <v>23</v>
      </c>
    </row>
    <row r="3746" spans="1:11" ht="42" customHeight="1">
      <c r="A3746" s="2" t="s">
        <v>8696</v>
      </c>
      <c r="B3746" s="2" t="s">
        <v>8697</v>
      </c>
      <c r="C3746" s="2" t="s">
        <v>41</v>
      </c>
      <c r="D3746" s="2" t="s">
        <v>18</v>
      </c>
      <c r="E3746" s="5">
        <v>-30391</v>
      </c>
      <c r="F3746" s="3" t="s">
        <v>482</v>
      </c>
      <c r="G3746" s="3" t="s">
        <v>72</v>
      </c>
      <c r="H3746" s="2" t="s">
        <v>21</v>
      </c>
      <c r="I3746" s="2" t="s">
        <v>8698</v>
      </c>
      <c r="J3746" s="3" t="str">
        <f>HYPERLINK("https://www.boe.es/gazeta/dias/1816/10/15/pdfs/GMD-1816-129.pdf#page=7","Abrir facsímil")</f>
        <v>Abrir facsímil</v>
      </c>
      <c r="K3746" s="3" t="s">
        <v>23</v>
      </c>
    </row>
    <row r="3747" spans="1:11" ht="42" customHeight="1">
      <c r="A3747" s="2" t="s">
        <v>8699</v>
      </c>
      <c r="B3747" s="2" t="s">
        <v>8700</v>
      </c>
      <c r="C3747" s="2" t="s">
        <v>41</v>
      </c>
      <c r="D3747" s="2" t="s">
        <v>18</v>
      </c>
      <c r="E3747" s="5">
        <v>-30391</v>
      </c>
      <c r="F3747" s="3" t="s">
        <v>482</v>
      </c>
      <c r="G3747" s="3" t="s">
        <v>72</v>
      </c>
      <c r="H3747" s="2" t="s">
        <v>21</v>
      </c>
      <c r="I3747" s="2" t="s">
        <v>8701</v>
      </c>
      <c r="J3747" s="3" t="str">
        <f>HYPERLINK("https://www.boe.es/gazeta/dias/1816/10/15/pdfs/GMD-1816-129.pdf#page=7","Abrir facsímil")</f>
        <v>Abrir facsímil</v>
      </c>
      <c r="K3747" s="3" t="s">
        <v>23</v>
      </c>
    </row>
    <row r="3748" spans="1:11" ht="42" customHeight="1">
      <c r="A3748" s="2" t="s">
        <v>8702</v>
      </c>
      <c r="B3748" s="2" t="s">
        <v>8703</v>
      </c>
      <c r="C3748" s="2" t="s">
        <v>34</v>
      </c>
      <c r="D3748" s="2" t="s">
        <v>35</v>
      </c>
      <c r="E3748" s="5">
        <v>-30452</v>
      </c>
      <c r="F3748" s="3" t="s">
        <v>3546</v>
      </c>
      <c r="G3748" s="3" t="s">
        <v>28</v>
      </c>
      <c r="H3748" s="2" t="s">
        <v>21</v>
      </c>
      <c r="I3748" s="2" t="s">
        <v>8704</v>
      </c>
      <c r="J3748" s="3" t="str">
        <f>HYPERLINK("https://www.boe.es/gazeta/dias/1816/08/15/pdfs/GMD-1816-101.pdf#page=6","Abrir facsímil")</f>
        <v>Abrir facsímil</v>
      </c>
      <c r="K3748" s="3" t="s">
        <v>23</v>
      </c>
    </row>
    <row r="3749" spans="1:11" ht="42" customHeight="1">
      <c r="A3749" s="2" t="s">
        <v>8705</v>
      </c>
      <c r="B3749" s="2" t="s">
        <v>8706</v>
      </c>
      <c r="C3749" s="2" t="s">
        <v>34</v>
      </c>
      <c r="D3749" s="2" t="s">
        <v>56</v>
      </c>
      <c r="E3749" s="5">
        <v>-30393</v>
      </c>
      <c r="F3749" s="3" t="s">
        <v>202</v>
      </c>
      <c r="G3749" s="3" t="s">
        <v>184</v>
      </c>
      <c r="H3749" s="2" t="s">
        <v>21</v>
      </c>
      <c r="I3749" s="2" t="s">
        <v>8707</v>
      </c>
      <c r="J3749" s="3" t="str">
        <f>HYPERLINK("https://www.boe.es/gazeta/dias/1816/10/13/pdfs/GMD-1816-128E.pdf#page=3","Abrir facsímil")</f>
        <v>Abrir facsímil</v>
      </c>
      <c r="K3749" s="3" t="s">
        <v>23</v>
      </c>
    </row>
    <row r="3750" spans="1:11" ht="42" customHeight="1">
      <c r="A3750" s="2" t="s">
        <v>8708</v>
      </c>
      <c r="B3750" s="2" t="s">
        <v>8708</v>
      </c>
      <c r="C3750" s="2" t="s">
        <v>26</v>
      </c>
      <c r="D3750" s="2" t="s">
        <v>18</v>
      </c>
      <c r="E3750" s="5">
        <v>-30639</v>
      </c>
      <c r="F3750" s="3" t="s">
        <v>87</v>
      </c>
      <c r="G3750" s="3" t="s">
        <v>184</v>
      </c>
      <c r="H3750" s="2" t="s">
        <v>21</v>
      </c>
      <c r="I3750" s="2" t="s">
        <v>8709</v>
      </c>
      <c r="J3750" s="3" t="str">
        <f>HYPERLINK("https://www.boe.es/gazeta/dias/1816/02/10/pdfs/GMD-1816-19.pdf#page=3","Abrir facsímil")</f>
        <v>Abrir facsímil</v>
      </c>
      <c r="K3750" s="3" t="s">
        <v>23</v>
      </c>
    </row>
    <row r="3751" spans="1:11" ht="42" customHeight="1">
      <c r="A3751" s="2" t="s">
        <v>8710</v>
      </c>
      <c r="B3751" s="2" t="s">
        <v>8710</v>
      </c>
      <c r="C3751" s="2" t="s">
        <v>111</v>
      </c>
      <c r="D3751" s="2" t="s">
        <v>112</v>
      </c>
      <c r="E3751" s="5">
        <v>-30671</v>
      </c>
      <c r="F3751" s="3" t="s">
        <v>2049</v>
      </c>
      <c r="G3751" s="3" t="s">
        <v>5367</v>
      </c>
      <c r="H3751" s="2" t="s">
        <v>21</v>
      </c>
      <c r="I3751" s="2" t="s">
        <v>8711</v>
      </c>
      <c r="J3751" s="3" t="str">
        <f>HYPERLINK("https://www.boe.es/gazeta/dias/1816/01/09/pdfs/GMD-1816-4.pdf#page=8","Abrir facsímil")</f>
        <v>Abrir facsímil</v>
      </c>
      <c r="K3751" s="3" t="s">
        <v>23</v>
      </c>
    </row>
    <row r="3752" spans="1:11" ht="42" customHeight="1">
      <c r="A3752" s="2" t="s">
        <v>8710</v>
      </c>
      <c r="B3752" s="2" t="s">
        <v>8710</v>
      </c>
      <c r="C3752" s="2" t="s">
        <v>111</v>
      </c>
      <c r="D3752" s="2" t="s">
        <v>112</v>
      </c>
      <c r="E3752" s="5">
        <v>-30487</v>
      </c>
      <c r="F3752" s="3" t="s">
        <v>397</v>
      </c>
      <c r="G3752" s="3" t="s">
        <v>180</v>
      </c>
      <c r="H3752" s="2" t="s">
        <v>21</v>
      </c>
      <c r="I3752" s="2" t="s">
        <v>8712</v>
      </c>
      <c r="J3752" s="3" t="str">
        <f>HYPERLINK("https://www.boe.es/gazeta/dias/1816/07/11/pdfs/GMD-1816-86.pdf#page=10","Abrir facsímil")</f>
        <v>Abrir facsímil</v>
      </c>
      <c r="K3752" s="3" t="s">
        <v>23</v>
      </c>
    </row>
    <row r="3753" spans="1:11" ht="42" customHeight="1">
      <c r="A3753" s="2" t="s">
        <v>8713</v>
      </c>
      <c r="B3753" s="2" t="s">
        <v>8714</v>
      </c>
      <c r="C3753" s="2" t="s">
        <v>34</v>
      </c>
      <c r="D3753" s="2" t="s">
        <v>35</v>
      </c>
      <c r="E3753" s="5">
        <v>-30363</v>
      </c>
      <c r="F3753" s="3" t="s">
        <v>570</v>
      </c>
      <c r="G3753" s="3" t="s">
        <v>47</v>
      </c>
      <c r="H3753" s="2" t="s">
        <v>21</v>
      </c>
      <c r="I3753" s="2" t="s">
        <v>8715</v>
      </c>
      <c r="J3753" s="3" t="str">
        <f>HYPERLINK("https://www.boe.es/gazeta/dias/1816/11/12/pdfs/GMD-1816-141.pdf#page=5","Abrir facsímil")</f>
        <v>Abrir facsímil</v>
      </c>
      <c r="K3753" s="3" t="s">
        <v>23</v>
      </c>
    </row>
    <row r="3754" spans="1:11" ht="42" customHeight="1">
      <c r="A3754" s="2" t="s">
        <v>8716</v>
      </c>
      <c r="B3754" s="2" t="s">
        <v>8717</v>
      </c>
      <c r="C3754" s="2" t="s">
        <v>26</v>
      </c>
      <c r="D3754" s="2" t="s">
        <v>18</v>
      </c>
      <c r="E3754" s="5">
        <v>-30375</v>
      </c>
      <c r="F3754" s="3" t="s">
        <v>404</v>
      </c>
      <c r="G3754" s="3" t="s">
        <v>405</v>
      </c>
      <c r="H3754" s="2" t="s">
        <v>29</v>
      </c>
      <c r="I3754" s="2" t="s">
        <v>8718</v>
      </c>
      <c r="J3754" s="3" t="str">
        <f>HYPERLINK("https://www.boe.es/gazeta/dias/1816/10/31/pdfs/GMD-1816-136.pdf#page=6","Abrir facsímil")</f>
        <v>Abrir facsímil</v>
      </c>
      <c r="K3754" s="3" t="s">
        <v>31</v>
      </c>
    </row>
    <row r="3755" spans="1:11" ht="42" customHeight="1">
      <c r="A3755" s="2" t="s">
        <v>8719</v>
      </c>
      <c r="B3755" s="2" t="s">
        <v>8719</v>
      </c>
      <c r="C3755" s="2" t="s">
        <v>34</v>
      </c>
      <c r="D3755" s="2" t="s">
        <v>35</v>
      </c>
      <c r="E3755" s="5">
        <v>-30580</v>
      </c>
      <c r="F3755" s="3" t="s">
        <v>107</v>
      </c>
      <c r="G3755" s="3" t="s">
        <v>47</v>
      </c>
      <c r="H3755" s="2" t="s">
        <v>21</v>
      </c>
      <c r="I3755" s="2" t="s">
        <v>8720</v>
      </c>
      <c r="J3755" s="3" t="str">
        <f>HYPERLINK("https://www.boe.es/gazeta/dias/1816/04/09/pdfs/GMD-1816-46.pdf#page=5","Abrir facsímil")</f>
        <v>Abrir facsímil</v>
      </c>
      <c r="K3755" s="3" t="s">
        <v>23</v>
      </c>
    </row>
    <row r="3756" spans="1:11" ht="42" customHeight="1">
      <c r="A3756" s="2" t="s">
        <v>8721</v>
      </c>
      <c r="B3756" s="2" t="s">
        <v>8722</v>
      </c>
      <c r="C3756" s="2" t="s">
        <v>34</v>
      </c>
      <c r="D3756" s="2" t="s">
        <v>35</v>
      </c>
      <c r="E3756" s="5">
        <v>-30391</v>
      </c>
      <c r="F3756" s="3" t="s">
        <v>482</v>
      </c>
      <c r="G3756" s="3" t="s">
        <v>3258</v>
      </c>
      <c r="H3756" s="2" t="s">
        <v>21</v>
      </c>
      <c r="I3756" s="2" t="s">
        <v>8723</v>
      </c>
      <c r="J3756" s="3" t="str">
        <f>HYPERLINK("https://www.boe.es/gazeta/dias/1816/10/15/pdfs/GMD-1816-129.pdf#page=8","Abrir facsímil")</f>
        <v>Abrir facsímil</v>
      </c>
      <c r="K3756" s="3" t="s">
        <v>23</v>
      </c>
    </row>
    <row r="3757" spans="1:11" ht="42" customHeight="1">
      <c r="A3757" s="2" t="s">
        <v>8724</v>
      </c>
      <c r="B3757" s="2" t="s">
        <v>8725</v>
      </c>
      <c r="C3757" s="2" t="s">
        <v>34</v>
      </c>
      <c r="D3757" s="2" t="s">
        <v>35</v>
      </c>
      <c r="E3757" s="5">
        <v>-30657</v>
      </c>
      <c r="F3757" s="3" t="s">
        <v>899</v>
      </c>
      <c r="G3757" s="3" t="s">
        <v>42</v>
      </c>
      <c r="H3757" s="2" t="s">
        <v>21</v>
      </c>
      <c r="I3757" s="2" t="s">
        <v>8726</v>
      </c>
      <c r="J3757" s="3" t="str">
        <f>HYPERLINK("https://www.boe.es/gazeta/dias/1816/01/23/pdfs/GMD-1816-10.pdf#page=8","Abrir facsímil")</f>
        <v>Abrir facsímil</v>
      </c>
      <c r="K3757" s="3" t="s">
        <v>23</v>
      </c>
    </row>
    <row r="3758" spans="1:11" ht="42" customHeight="1">
      <c r="A3758" s="2" t="s">
        <v>8727</v>
      </c>
      <c r="B3758" s="2" t="s">
        <v>8727</v>
      </c>
      <c r="C3758" s="2" t="s">
        <v>111</v>
      </c>
      <c r="D3758" s="2" t="s">
        <v>112</v>
      </c>
      <c r="E3758" s="5">
        <v>-30573</v>
      </c>
      <c r="F3758" s="3" t="s">
        <v>840</v>
      </c>
      <c r="G3758" s="3" t="s">
        <v>270</v>
      </c>
      <c r="H3758" s="2" t="s">
        <v>21</v>
      </c>
      <c r="I3758" s="2" t="s">
        <v>8728</v>
      </c>
      <c r="J3758" s="3" t="str">
        <f>HYPERLINK("https://www.boe.es/gazeta/dias/1816/04/16/pdfs/GMD-1816-49.pdf#page=2","Abrir facsímil")</f>
        <v>Abrir facsímil</v>
      </c>
      <c r="K3758" s="3" t="s">
        <v>23</v>
      </c>
    </row>
    <row r="3759" spans="1:11" ht="42" customHeight="1">
      <c r="A3759" s="2" t="s">
        <v>8729</v>
      </c>
      <c r="B3759" s="2" t="s">
        <v>8730</v>
      </c>
      <c r="C3759" s="2" t="s">
        <v>67</v>
      </c>
      <c r="D3759" s="2" t="s">
        <v>18</v>
      </c>
      <c r="E3759" s="5">
        <v>-30674</v>
      </c>
      <c r="F3759" s="3" t="s">
        <v>19</v>
      </c>
      <c r="G3759" s="3" t="s">
        <v>20</v>
      </c>
      <c r="H3759" s="2" t="s">
        <v>21</v>
      </c>
      <c r="I3759" s="2" t="s">
        <v>8731</v>
      </c>
      <c r="J3759" s="3" t="str">
        <f>HYPERLINK("https://www.boe.es/gazeta/dias/1816/01/06/pdfs/GMD-1816-3.pdf#page=8","Abrir facsímil")</f>
        <v>Abrir facsímil</v>
      </c>
      <c r="K3759" s="3" t="s">
        <v>23</v>
      </c>
    </row>
    <row r="3760" spans="1:11" ht="42" customHeight="1">
      <c r="A3760" s="2" t="s">
        <v>8732</v>
      </c>
      <c r="B3760" s="2" t="s">
        <v>8733</v>
      </c>
      <c r="C3760" s="2" t="s">
        <v>67</v>
      </c>
      <c r="D3760" s="2" t="s">
        <v>18</v>
      </c>
      <c r="E3760" s="5">
        <v>-30601</v>
      </c>
      <c r="F3760" s="3" t="s">
        <v>308</v>
      </c>
      <c r="G3760" s="3" t="s">
        <v>42</v>
      </c>
      <c r="H3760" s="2" t="s">
        <v>21</v>
      </c>
      <c r="I3760" s="2" t="s">
        <v>8734</v>
      </c>
      <c r="J3760" s="3" t="str">
        <f>HYPERLINK("https://www.boe.es/gazeta/dias/1816/03/19/pdfs/GMD-1816-37.pdf#page=8","Abrir facsímil")</f>
        <v>Abrir facsímil</v>
      </c>
      <c r="K3760" s="3" t="s">
        <v>23</v>
      </c>
    </row>
    <row r="3761" spans="1:11" ht="42" customHeight="1">
      <c r="A3761" s="2" t="s">
        <v>8735</v>
      </c>
      <c r="B3761" s="2" t="s">
        <v>8735</v>
      </c>
      <c r="C3761" s="2" t="s">
        <v>34</v>
      </c>
      <c r="D3761" s="2" t="s">
        <v>35</v>
      </c>
      <c r="E3761" s="5">
        <v>-30389</v>
      </c>
      <c r="F3761" s="3" t="s">
        <v>522</v>
      </c>
      <c r="G3761" s="3" t="s">
        <v>58</v>
      </c>
      <c r="H3761" s="2" t="s">
        <v>21</v>
      </c>
      <c r="I3761" s="2" t="s">
        <v>8736</v>
      </c>
      <c r="J3761" s="3" t="str">
        <f>HYPERLINK("https://www.boe.es/gazeta/dias/1816/10/17/pdfs/GMD-1816-130.pdf#page=1","Abrir facsímil")</f>
        <v>Abrir facsímil</v>
      </c>
      <c r="K3761" s="3" t="s">
        <v>23</v>
      </c>
    </row>
    <row r="3762" spans="1:11" ht="42" customHeight="1">
      <c r="A3762" s="2" t="s">
        <v>8737</v>
      </c>
      <c r="B3762" s="2" t="s">
        <v>8738</v>
      </c>
      <c r="C3762" s="2" t="s">
        <v>34</v>
      </c>
      <c r="D3762" s="2" t="s">
        <v>35</v>
      </c>
      <c r="E3762" s="5">
        <v>-30592</v>
      </c>
      <c r="F3762" s="3" t="s">
        <v>236</v>
      </c>
      <c r="G3762" s="3" t="s">
        <v>606</v>
      </c>
      <c r="H3762" s="2" t="s">
        <v>21</v>
      </c>
      <c r="I3762" s="2" t="s">
        <v>8739</v>
      </c>
      <c r="J3762" s="3" t="str">
        <f>HYPERLINK("https://www.boe.es/gazeta/dias/1816/03/28/pdfs/GMD-1816-41.pdf#page=12","Abrir facsímil")</f>
        <v>Abrir facsímil</v>
      </c>
      <c r="K3762" s="3" t="s">
        <v>23</v>
      </c>
    </row>
    <row r="3763" spans="1:11" ht="42" customHeight="1">
      <c r="A3763" s="2" t="s">
        <v>8740</v>
      </c>
      <c r="B3763" s="2" t="s">
        <v>8741</v>
      </c>
      <c r="C3763" s="2" t="s">
        <v>17</v>
      </c>
      <c r="D3763" s="2" t="s">
        <v>18</v>
      </c>
      <c r="E3763" s="5">
        <v>-30375</v>
      </c>
      <c r="F3763" s="3" t="s">
        <v>404</v>
      </c>
      <c r="G3763" s="3" t="s">
        <v>3038</v>
      </c>
      <c r="H3763" s="2" t="s">
        <v>29</v>
      </c>
      <c r="I3763" s="2" t="s">
        <v>8742</v>
      </c>
      <c r="J3763" s="3" t="str">
        <f>HYPERLINK("https://www.boe.es/gazeta/dias/1816/10/31/pdfs/GMD-1816-136.pdf#page=8","Abrir facsímil")</f>
        <v>Abrir facsímil</v>
      </c>
      <c r="K3763" s="3" t="s">
        <v>31</v>
      </c>
    </row>
    <row r="3764" spans="1:11" ht="42" customHeight="1">
      <c r="A3764" s="2" t="s">
        <v>8743</v>
      </c>
      <c r="B3764" s="2" t="s">
        <v>8744</v>
      </c>
      <c r="C3764" s="2" t="s">
        <v>34</v>
      </c>
      <c r="D3764" s="2" t="s">
        <v>35</v>
      </c>
      <c r="E3764" s="5">
        <v>-30499</v>
      </c>
      <c r="F3764" s="3" t="s">
        <v>971</v>
      </c>
      <c r="G3764" s="3" t="s">
        <v>4907</v>
      </c>
      <c r="H3764" s="2" t="s">
        <v>21</v>
      </c>
      <c r="I3764" s="2" t="s">
        <v>8745</v>
      </c>
      <c r="J3764" s="3" t="str">
        <f>HYPERLINK("https://www.boe.es/gazeta/dias/1816/06/29/pdfs/GMD-1816-81.pdf#page=8","Abrir facsímil")</f>
        <v>Abrir facsímil</v>
      </c>
      <c r="K3764" s="3" t="s">
        <v>23</v>
      </c>
    </row>
    <row r="3765" spans="1:11" ht="42" customHeight="1">
      <c r="A3765" s="2" t="s">
        <v>8746</v>
      </c>
      <c r="B3765" s="2" t="s">
        <v>8747</v>
      </c>
      <c r="C3765" s="2" t="s">
        <v>41</v>
      </c>
      <c r="D3765" s="2" t="s">
        <v>18</v>
      </c>
      <c r="E3765" s="5">
        <v>-30632</v>
      </c>
      <c r="F3765" s="3" t="s">
        <v>89</v>
      </c>
      <c r="G3765" s="3" t="s">
        <v>42</v>
      </c>
      <c r="H3765" s="2" t="s">
        <v>21</v>
      </c>
      <c r="I3765" s="2" t="s">
        <v>8748</v>
      </c>
      <c r="J3765" s="3" t="str">
        <f>HYPERLINK("https://www.boe.es/gazeta/dias/1816/02/17/pdfs/GMD-1816-22.pdf#page=8","Abrir facsímil")</f>
        <v>Abrir facsímil</v>
      </c>
      <c r="K3765" s="3" t="s">
        <v>23</v>
      </c>
    </row>
    <row r="3766" spans="1:11" ht="42" customHeight="1">
      <c r="A3766" s="2" t="s">
        <v>8746</v>
      </c>
      <c r="B3766" s="2" t="s">
        <v>8747</v>
      </c>
      <c r="C3766" s="2" t="s">
        <v>111</v>
      </c>
      <c r="D3766" s="2" t="s">
        <v>112</v>
      </c>
      <c r="E3766" s="5">
        <v>-30597</v>
      </c>
      <c r="F3766" s="3" t="s">
        <v>696</v>
      </c>
      <c r="G3766" s="3" t="s">
        <v>5227</v>
      </c>
      <c r="H3766" s="2" t="s">
        <v>21</v>
      </c>
      <c r="I3766" s="2" t="s">
        <v>8749</v>
      </c>
      <c r="J3766" s="3" t="str">
        <f>HYPERLINK("https://www.boe.es/gazeta/dias/1816/03/23/pdfs/GMD-1816-39.pdf#page=8","Abrir facsímil")</f>
        <v>Abrir facsímil</v>
      </c>
      <c r="K3766" s="3" t="s">
        <v>23</v>
      </c>
    </row>
    <row r="3767" spans="1:11" ht="42" customHeight="1">
      <c r="A3767" s="2" t="s">
        <v>8746</v>
      </c>
      <c r="B3767" s="2" t="s">
        <v>8747</v>
      </c>
      <c r="C3767" s="2" t="s">
        <v>34</v>
      </c>
      <c r="D3767" s="2" t="s">
        <v>35</v>
      </c>
      <c r="E3767" s="5">
        <v>-30594</v>
      </c>
      <c r="F3767" s="3" t="s">
        <v>234</v>
      </c>
      <c r="G3767" s="3" t="s">
        <v>184</v>
      </c>
      <c r="H3767" s="2" t="s">
        <v>21</v>
      </c>
      <c r="I3767" s="2" t="s">
        <v>8750</v>
      </c>
      <c r="J3767" s="3" t="str">
        <f>HYPERLINK("https://www.boe.es/gazeta/dias/1816/03/26/pdfs/GMD-1816-40.pdf#page=3","Abrir facsímil")</f>
        <v>Abrir facsímil</v>
      </c>
      <c r="K3767" s="3" t="s">
        <v>23</v>
      </c>
    </row>
    <row r="3768" spans="1:11" ht="42" customHeight="1">
      <c r="A3768" s="2" t="s">
        <v>8746</v>
      </c>
      <c r="B3768" s="2" t="s">
        <v>8747</v>
      </c>
      <c r="C3768" s="2" t="s">
        <v>34</v>
      </c>
      <c r="D3768" s="2" t="s">
        <v>35</v>
      </c>
      <c r="E3768" s="5">
        <v>-30317</v>
      </c>
      <c r="F3768" s="3" t="s">
        <v>1030</v>
      </c>
      <c r="G3768" s="3" t="s">
        <v>4521</v>
      </c>
      <c r="H3768" s="2" t="s">
        <v>21</v>
      </c>
      <c r="I3768" s="2" t="s">
        <v>8751</v>
      </c>
      <c r="J3768" s="3" t="str">
        <f>HYPERLINK("https://www.boe.es/gazeta/dias/1816/12/28/pdfs/GMD-1816-161.pdf#page=4","Abrir facsímil")</f>
        <v>Abrir facsímil</v>
      </c>
      <c r="K3768" s="3" t="s">
        <v>23</v>
      </c>
    </row>
    <row r="3769" spans="1:11" ht="42" customHeight="1">
      <c r="A3769" s="2" t="s">
        <v>8752</v>
      </c>
      <c r="B3769" s="2" t="s">
        <v>8753</v>
      </c>
      <c r="C3769" s="2" t="s">
        <v>26</v>
      </c>
      <c r="D3769" s="2" t="s">
        <v>18</v>
      </c>
      <c r="E3769" s="5">
        <v>-30431</v>
      </c>
      <c r="F3769" s="3" t="s">
        <v>756</v>
      </c>
      <c r="G3769" s="3" t="s">
        <v>28</v>
      </c>
      <c r="H3769" s="2" t="s">
        <v>21</v>
      </c>
      <c r="I3769" s="2" t="s">
        <v>8754</v>
      </c>
      <c r="J3769" s="3" t="str">
        <f>HYPERLINK("https://www.boe.es/gazeta/dias/1816/09/05/pdfs/GMD-1816-110.pdf#page=6","Abrir facsímil")</f>
        <v>Abrir facsímil</v>
      </c>
      <c r="K3769" s="3" t="s">
        <v>23</v>
      </c>
    </row>
    <row r="3770" spans="1:11" ht="42" customHeight="1">
      <c r="A3770" s="2" t="s">
        <v>8752</v>
      </c>
      <c r="B3770" s="2" t="s">
        <v>8753</v>
      </c>
      <c r="C3770" s="2" t="s">
        <v>26</v>
      </c>
      <c r="D3770" s="2" t="s">
        <v>18</v>
      </c>
      <c r="E3770" s="5">
        <v>-30389</v>
      </c>
      <c r="F3770" s="3" t="s">
        <v>522</v>
      </c>
      <c r="G3770" s="3" t="s">
        <v>28</v>
      </c>
      <c r="H3770" s="2" t="s">
        <v>21</v>
      </c>
      <c r="I3770" s="2" t="s">
        <v>8755</v>
      </c>
      <c r="J3770" s="3" t="str">
        <f>HYPERLINK("https://www.boe.es/gazeta/dias/1816/10/17/pdfs/GMD-1816-130.pdf#page=6","Abrir facsímil")</f>
        <v>Abrir facsímil</v>
      </c>
      <c r="K3770" s="3" t="s">
        <v>23</v>
      </c>
    </row>
    <row r="3771" spans="1:11" ht="42" customHeight="1">
      <c r="A3771" s="2" t="s">
        <v>8756</v>
      </c>
      <c r="B3771" s="2" t="s">
        <v>8757</v>
      </c>
      <c r="C3771" s="2" t="s">
        <v>26</v>
      </c>
      <c r="D3771" s="2" t="s">
        <v>18</v>
      </c>
      <c r="E3771" s="5">
        <v>-30424</v>
      </c>
      <c r="F3771" s="3" t="s">
        <v>142</v>
      </c>
      <c r="G3771" s="3" t="s">
        <v>175</v>
      </c>
      <c r="H3771" s="2" t="s">
        <v>21</v>
      </c>
      <c r="I3771" s="2" t="s">
        <v>8758</v>
      </c>
      <c r="J3771" s="3" t="str">
        <f>HYPERLINK("https://www.boe.es/gazeta/dias/1816/09/12/pdfs/GMD-1816-113.pdf#page=11","Abrir facsímil")</f>
        <v>Abrir facsímil</v>
      </c>
      <c r="K3771" s="3" t="s">
        <v>23</v>
      </c>
    </row>
    <row r="3772" spans="1:11" ht="42" customHeight="1">
      <c r="A3772" s="2" t="s">
        <v>8759</v>
      </c>
      <c r="B3772" s="2" t="s">
        <v>8760</v>
      </c>
      <c r="C3772" s="2" t="s">
        <v>26</v>
      </c>
      <c r="D3772" s="2" t="s">
        <v>18</v>
      </c>
      <c r="E3772" s="5">
        <v>-30398</v>
      </c>
      <c r="F3772" s="3" t="s">
        <v>447</v>
      </c>
      <c r="G3772" s="3" t="s">
        <v>42</v>
      </c>
      <c r="H3772" s="2" t="s">
        <v>21</v>
      </c>
      <c r="I3772" s="2" t="s">
        <v>8761</v>
      </c>
      <c r="J3772" s="3" t="str">
        <f>HYPERLINK("https://www.boe.es/gazeta/dias/1816/10/08/pdfs/GMD-1816-125.pdf#page=8","Abrir facsímil")</f>
        <v>Abrir facsímil</v>
      </c>
      <c r="K3772" s="3" t="s">
        <v>23</v>
      </c>
    </row>
    <row r="3773" spans="1:11" ht="42" customHeight="1">
      <c r="A3773" s="2" t="s">
        <v>8762</v>
      </c>
      <c r="B3773" s="2" t="s">
        <v>8763</v>
      </c>
      <c r="C3773" s="2" t="s">
        <v>67</v>
      </c>
      <c r="D3773" s="2" t="s">
        <v>18</v>
      </c>
      <c r="E3773" s="5">
        <v>-30461</v>
      </c>
      <c r="F3773" s="3" t="s">
        <v>912</v>
      </c>
      <c r="G3773" s="3" t="s">
        <v>42</v>
      </c>
      <c r="H3773" s="2" t="s">
        <v>21</v>
      </c>
      <c r="I3773" s="2" t="s">
        <v>8764</v>
      </c>
      <c r="J3773" s="3" t="str">
        <f>HYPERLINK("https://www.boe.es/gazeta/dias/1816/08/06/pdfs/GMD-1816-97.pdf#page=8","Abrir facsímil")</f>
        <v>Abrir facsímil</v>
      </c>
      <c r="K3773" s="3" t="s">
        <v>23</v>
      </c>
    </row>
    <row r="3774" spans="1:11" ht="42" customHeight="1">
      <c r="A3774" s="2" t="s">
        <v>8765</v>
      </c>
      <c r="B3774" s="2" t="s">
        <v>8766</v>
      </c>
      <c r="C3774" s="2" t="s">
        <v>111</v>
      </c>
      <c r="D3774" s="2" t="s">
        <v>112</v>
      </c>
      <c r="E3774" s="5">
        <v>-30524</v>
      </c>
      <c r="F3774" s="3" t="s">
        <v>98</v>
      </c>
      <c r="G3774" s="3" t="s">
        <v>1209</v>
      </c>
      <c r="H3774" s="2" t="s">
        <v>21</v>
      </c>
      <c r="I3774" s="2" t="s">
        <v>8767</v>
      </c>
      <c r="J3774" s="3" t="str">
        <f>HYPERLINK("https://www.boe.es/gazeta/dias/1816/06/04/pdfs/GMD-1816-70.pdf#page=8","Abrir facsímil")</f>
        <v>Abrir facsímil</v>
      </c>
      <c r="K3774" s="3" t="s">
        <v>23</v>
      </c>
    </row>
    <row r="3775" spans="1:11" ht="42" customHeight="1">
      <c r="A3775" s="2" t="s">
        <v>8768</v>
      </c>
      <c r="B3775" s="2" t="s">
        <v>8768</v>
      </c>
      <c r="C3775" s="2" t="s">
        <v>111</v>
      </c>
      <c r="D3775" s="2" t="s">
        <v>112</v>
      </c>
      <c r="E3775" s="5">
        <v>-30576</v>
      </c>
      <c r="F3775" s="3" t="s">
        <v>353</v>
      </c>
      <c r="G3775" s="3" t="s">
        <v>47</v>
      </c>
      <c r="H3775" s="2" t="s">
        <v>21</v>
      </c>
      <c r="I3775" s="2" t="s">
        <v>8769</v>
      </c>
      <c r="J3775" s="3" t="str">
        <f>HYPERLINK("https://www.boe.es/gazeta/dias/1816/04/13/pdfs/GMD-1816-48.pdf#page=5","Abrir facsímil")</f>
        <v>Abrir facsímil</v>
      </c>
      <c r="K3775" s="3" t="s">
        <v>23</v>
      </c>
    </row>
    <row r="3776" spans="1:11" ht="42" customHeight="1">
      <c r="A3776" s="2" t="s">
        <v>8768</v>
      </c>
      <c r="B3776" s="2" t="s">
        <v>8768</v>
      </c>
      <c r="C3776" s="2" t="s">
        <v>26</v>
      </c>
      <c r="D3776" s="2" t="s">
        <v>18</v>
      </c>
      <c r="E3776" s="5">
        <v>-30478</v>
      </c>
      <c r="F3776" s="3" t="s">
        <v>123</v>
      </c>
      <c r="G3776" s="3" t="s">
        <v>2092</v>
      </c>
      <c r="H3776" s="2" t="s">
        <v>21</v>
      </c>
      <c r="I3776" s="2" t="s">
        <v>8770</v>
      </c>
      <c r="J3776" s="3" t="str">
        <f>HYPERLINK("https://www.boe.es/gazeta/dias/1816/07/20/pdfs/GMD-1816-90.pdf#page=5","Abrir facsímil")</f>
        <v>Abrir facsímil</v>
      </c>
      <c r="K3776" s="3" t="s">
        <v>23</v>
      </c>
    </row>
    <row r="3777" spans="1:11" ht="42" customHeight="1">
      <c r="A3777" s="2" t="s">
        <v>8768</v>
      </c>
      <c r="B3777" s="2" t="s">
        <v>8768</v>
      </c>
      <c r="C3777" s="2" t="s">
        <v>34</v>
      </c>
      <c r="D3777" s="2" t="s">
        <v>35</v>
      </c>
      <c r="E3777" s="5">
        <v>-30436</v>
      </c>
      <c r="F3777" s="3" t="s">
        <v>102</v>
      </c>
      <c r="G3777" s="3" t="s">
        <v>72</v>
      </c>
      <c r="H3777" s="2" t="s">
        <v>21</v>
      </c>
      <c r="I3777" s="2" t="s">
        <v>8771</v>
      </c>
      <c r="J3777" s="3" t="str">
        <f>HYPERLINK("https://www.boe.es/gazeta/dias/1816/08/31/pdfs/GMD-1816-108.pdf#page=7","Abrir facsímil")</f>
        <v>Abrir facsímil</v>
      </c>
      <c r="K3777" s="3" t="s">
        <v>23</v>
      </c>
    </row>
    <row r="3778" spans="1:11" ht="42" customHeight="1">
      <c r="A3778" s="2" t="s">
        <v>8768</v>
      </c>
      <c r="B3778" s="2" t="s">
        <v>8768</v>
      </c>
      <c r="C3778" s="2" t="s">
        <v>26</v>
      </c>
      <c r="D3778" s="2" t="s">
        <v>18</v>
      </c>
      <c r="E3778" s="5">
        <v>-30391</v>
      </c>
      <c r="F3778" s="3" t="s">
        <v>482</v>
      </c>
      <c r="G3778" s="3" t="s">
        <v>72</v>
      </c>
      <c r="H3778" s="2" t="s">
        <v>21</v>
      </c>
      <c r="I3778" s="2" t="s">
        <v>8772</v>
      </c>
      <c r="J3778" s="3" t="str">
        <f>HYPERLINK("https://www.boe.es/gazeta/dias/1816/10/15/pdfs/GMD-1816-129.pdf#page=7","Abrir facsímil")</f>
        <v>Abrir facsímil</v>
      </c>
      <c r="K3778" s="3" t="s">
        <v>23</v>
      </c>
    </row>
    <row r="3779" spans="1:11" ht="42" customHeight="1">
      <c r="A3779" s="2" t="s">
        <v>8773</v>
      </c>
      <c r="B3779" s="2" t="s">
        <v>8774</v>
      </c>
      <c r="C3779" s="2" t="s">
        <v>26</v>
      </c>
      <c r="D3779" s="2" t="s">
        <v>18</v>
      </c>
      <c r="E3779" s="5">
        <v>-30436</v>
      </c>
      <c r="F3779" s="3" t="s">
        <v>102</v>
      </c>
      <c r="G3779" s="3" t="s">
        <v>175</v>
      </c>
      <c r="H3779" s="2" t="s">
        <v>21</v>
      </c>
      <c r="I3779" s="2" t="s">
        <v>8775</v>
      </c>
      <c r="J3779" s="3" t="str">
        <f>HYPERLINK("https://www.boe.es/gazeta/dias/1816/08/31/pdfs/GMD-1816-108.pdf#page=11","Abrir facsímil")</f>
        <v>Abrir facsímil</v>
      </c>
      <c r="K3779" s="3" t="s">
        <v>23</v>
      </c>
    </row>
    <row r="3780" spans="1:11" ht="42" customHeight="1">
      <c r="A3780" s="2" t="s">
        <v>8776</v>
      </c>
      <c r="B3780" s="2" t="s">
        <v>8777</v>
      </c>
      <c r="C3780" s="2" t="s">
        <v>17</v>
      </c>
      <c r="D3780" s="2" t="s">
        <v>18</v>
      </c>
      <c r="E3780" s="5">
        <v>-30412</v>
      </c>
      <c r="F3780" s="3" t="s">
        <v>388</v>
      </c>
      <c r="G3780" s="3" t="s">
        <v>72</v>
      </c>
      <c r="H3780" s="2" t="s">
        <v>21</v>
      </c>
      <c r="I3780" s="2" t="s">
        <v>8778</v>
      </c>
      <c r="J3780" s="3" t="str">
        <f>HYPERLINK("https://www.boe.es/gazeta/dias/1816/09/24/pdfs/GMD-1816-118.pdf#page=7","Abrir facsímil")</f>
        <v>Abrir facsímil</v>
      </c>
      <c r="K3780" s="3" t="s">
        <v>23</v>
      </c>
    </row>
    <row r="3781" spans="1:11" ht="42" customHeight="1">
      <c r="A3781" s="2" t="s">
        <v>8779</v>
      </c>
      <c r="B3781" s="2" t="s">
        <v>8779</v>
      </c>
      <c r="C3781" s="2" t="s">
        <v>81</v>
      </c>
      <c r="D3781" s="2" t="s">
        <v>18</v>
      </c>
      <c r="E3781" s="5">
        <v>-30345</v>
      </c>
      <c r="F3781" s="3" t="s">
        <v>1382</v>
      </c>
      <c r="G3781" s="3" t="s">
        <v>72</v>
      </c>
      <c r="H3781" s="2" t="s">
        <v>21</v>
      </c>
      <c r="I3781" s="2" t="s">
        <v>8780</v>
      </c>
      <c r="J3781" s="3" t="str">
        <f>HYPERLINK("https://www.boe.es/gazeta/dias/1816/11/30/pdfs/GMD-1816-149.pdf#page=7","Abrir facsímil")</f>
        <v>Abrir facsímil</v>
      </c>
      <c r="K3781" s="3" t="s">
        <v>23</v>
      </c>
    </row>
    <row r="3782" spans="1:11" ht="42" customHeight="1">
      <c r="A3782" s="2" t="s">
        <v>8779</v>
      </c>
      <c r="B3782" s="2" t="s">
        <v>8779</v>
      </c>
      <c r="C3782" s="2" t="s">
        <v>111</v>
      </c>
      <c r="D3782" s="2" t="s">
        <v>112</v>
      </c>
      <c r="E3782" s="5">
        <v>-30335</v>
      </c>
      <c r="F3782" s="3" t="s">
        <v>468</v>
      </c>
      <c r="G3782" s="3" t="s">
        <v>103</v>
      </c>
      <c r="H3782" s="2" t="s">
        <v>21</v>
      </c>
      <c r="I3782" s="2" t="s">
        <v>8781</v>
      </c>
      <c r="J3782" s="3" t="str">
        <f>HYPERLINK("https://www.boe.es/gazeta/dias/1816/12/10/pdfs/GMD-1816-153.pdf#page=4","Abrir facsímil")</f>
        <v>Abrir facsímil</v>
      </c>
      <c r="K3782" s="3" t="s">
        <v>23</v>
      </c>
    </row>
    <row r="3783" spans="1:11" ht="42" customHeight="1">
      <c r="A3783" s="2" t="s">
        <v>8782</v>
      </c>
      <c r="B3783" s="2" t="s">
        <v>8783</v>
      </c>
      <c r="C3783" s="2" t="s">
        <v>67</v>
      </c>
      <c r="D3783" s="2" t="s">
        <v>56</v>
      </c>
      <c r="E3783" s="5">
        <v>-30393</v>
      </c>
      <c r="F3783" s="3" t="s">
        <v>202</v>
      </c>
      <c r="G3783" s="3" t="s">
        <v>58</v>
      </c>
      <c r="H3783" s="2" t="s">
        <v>21</v>
      </c>
      <c r="I3783" s="2" t="s">
        <v>8784</v>
      </c>
      <c r="J3783" s="3" t="str">
        <f>HYPERLINK("https://www.boe.es/gazeta/dias/1816/10/13/pdfs/GMD-1816-128E.pdf#page=1","Abrir facsímil")</f>
        <v>Abrir facsímil</v>
      </c>
      <c r="K3783" s="3" t="s">
        <v>23</v>
      </c>
    </row>
    <row r="3784" spans="1:11" ht="42" customHeight="1">
      <c r="A3784" s="2" t="s">
        <v>8785</v>
      </c>
      <c r="B3784" s="2" t="s">
        <v>8786</v>
      </c>
      <c r="C3784" s="2" t="s">
        <v>34</v>
      </c>
      <c r="D3784" s="2" t="s">
        <v>35</v>
      </c>
      <c r="E3784" s="5">
        <v>-30548</v>
      </c>
      <c r="F3784" s="3" t="s">
        <v>472</v>
      </c>
      <c r="G3784" s="3" t="s">
        <v>28</v>
      </c>
      <c r="H3784" s="2" t="s">
        <v>21</v>
      </c>
      <c r="I3784" s="2" t="s">
        <v>8787</v>
      </c>
      <c r="J3784" s="3" t="str">
        <f>HYPERLINK("https://www.boe.es/gazeta/dias/1816/05/11/pdfs/GMD-1816-60.pdf#page=6","Abrir facsímil")</f>
        <v>Abrir facsímil</v>
      </c>
      <c r="K3784" s="3" t="s">
        <v>23</v>
      </c>
    </row>
    <row r="3785" spans="1:11" ht="42" customHeight="1">
      <c r="A3785" s="2" t="s">
        <v>8788</v>
      </c>
      <c r="B3785" s="2" t="s">
        <v>8788</v>
      </c>
      <c r="C3785" s="2" t="s">
        <v>111</v>
      </c>
      <c r="D3785" s="2" t="s">
        <v>112</v>
      </c>
      <c r="E3785" s="5">
        <v>-30655</v>
      </c>
      <c r="F3785" s="3" t="s">
        <v>170</v>
      </c>
      <c r="G3785" s="3" t="s">
        <v>72</v>
      </c>
      <c r="H3785" s="2" t="s">
        <v>21</v>
      </c>
      <c r="I3785" s="2" t="s">
        <v>8789</v>
      </c>
      <c r="J3785" s="3" t="str">
        <f>HYPERLINK("https://www.boe.es/gazeta/dias/1816/01/25/pdfs/GMD-1816-11.pdf#page=7","Abrir facsímil")</f>
        <v>Abrir facsímil</v>
      </c>
      <c r="K3785" s="3" t="s">
        <v>23</v>
      </c>
    </row>
    <row r="3786" spans="1:11" ht="42" customHeight="1">
      <c r="A3786" s="2" t="s">
        <v>8788</v>
      </c>
      <c r="B3786" s="2" t="s">
        <v>8788</v>
      </c>
      <c r="C3786" s="2" t="s">
        <v>34</v>
      </c>
      <c r="D3786" s="2" t="s">
        <v>35</v>
      </c>
      <c r="E3786" s="5">
        <v>-30641</v>
      </c>
      <c r="F3786" s="3" t="s">
        <v>192</v>
      </c>
      <c r="G3786" s="3" t="s">
        <v>47</v>
      </c>
      <c r="H3786" s="2" t="s">
        <v>21</v>
      </c>
      <c r="I3786" s="2" t="s">
        <v>8790</v>
      </c>
      <c r="J3786" s="3" t="str">
        <f>HYPERLINK("https://www.boe.es/gazeta/dias/1816/02/08/pdfs/GMD-1816-18.pdf#page=5","Abrir facsímil")</f>
        <v>Abrir facsímil</v>
      </c>
      <c r="K3786" s="3" t="s">
        <v>23</v>
      </c>
    </row>
    <row r="3787" spans="1:11" ht="42" customHeight="1">
      <c r="A3787" s="2" t="s">
        <v>8788</v>
      </c>
      <c r="B3787" s="2" t="s">
        <v>8788</v>
      </c>
      <c r="C3787" s="2" t="s">
        <v>34</v>
      </c>
      <c r="D3787" s="2" t="s">
        <v>35</v>
      </c>
      <c r="E3787" s="5">
        <v>-30622</v>
      </c>
      <c r="F3787" s="3" t="s">
        <v>27</v>
      </c>
      <c r="G3787" s="3" t="s">
        <v>47</v>
      </c>
      <c r="H3787" s="2" t="s">
        <v>21</v>
      </c>
      <c r="I3787" s="2" t="s">
        <v>8791</v>
      </c>
      <c r="J3787" s="3" t="str">
        <f>HYPERLINK("https://www.boe.es/gazeta/dias/1816/02/27/pdfs/GMD-1816-26.pdf#page=5","Abrir facsímil")</f>
        <v>Abrir facsímil</v>
      </c>
      <c r="K3787" s="3" t="s">
        <v>23</v>
      </c>
    </row>
    <row r="3788" spans="1:11" ht="42" customHeight="1">
      <c r="A3788" s="2" t="s">
        <v>8788</v>
      </c>
      <c r="B3788" s="2" t="s">
        <v>8788</v>
      </c>
      <c r="C3788" s="2" t="s">
        <v>34</v>
      </c>
      <c r="D3788" s="2" t="s">
        <v>35</v>
      </c>
      <c r="E3788" s="5">
        <v>-30599</v>
      </c>
      <c r="F3788" s="3" t="s">
        <v>552</v>
      </c>
      <c r="G3788" s="3" t="s">
        <v>47</v>
      </c>
      <c r="H3788" s="2" t="s">
        <v>21</v>
      </c>
      <c r="I3788" s="2" t="s">
        <v>8792</v>
      </c>
      <c r="J3788" s="3" t="str">
        <f>HYPERLINK("https://www.boe.es/gazeta/dias/1816/03/21/pdfs/GMD-1816-38.pdf#page=5","Abrir facsímil")</f>
        <v>Abrir facsímil</v>
      </c>
      <c r="K3788" s="3" t="s">
        <v>23</v>
      </c>
    </row>
    <row r="3789" spans="1:11" ht="42" customHeight="1">
      <c r="A3789" s="2" t="s">
        <v>8788</v>
      </c>
      <c r="B3789" s="2" t="s">
        <v>8788</v>
      </c>
      <c r="C3789" s="2" t="s">
        <v>34</v>
      </c>
      <c r="D3789" s="2" t="s">
        <v>35</v>
      </c>
      <c r="E3789" s="5">
        <v>-30464</v>
      </c>
      <c r="F3789" s="3" t="s">
        <v>215</v>
      </c>
      <c r="G3789" s="3" t="s">
        <v>28</v>
      </c>
      <c r="H3789" s="2" t="s">
        <v>21</v>
      </c>
      <c r="I3789" s="2" t="s">
        <v>8793</v>
      </c>
      <c r="J3789" s="3" t="str">
        <f>HYPERLINK("https://www.boe.es/gazeta/dias/1816/08/03/pdfs/GMD-1816-96.pdf#page=6","Abrir facsímil")</f>
        <v>Abrir facsímil</v>
      </c>
      <c r="K3789" s="3" t="s">
        <v>23</v>
      </c>
    </row>
    <row r="3790" spans="1:11" ht="42" customHeight="1">
      <c r="A3790" s="2" t="s">
        <v>8788</v>
      </c>
      <c r="B3790" s="2" t="s">
        <v>8788</v>
      </c>
      <c r="C3790" s="2" t="s">
        <v>26</v>
      </c>
      <c r="D3790" s="2" t="s">
        <v>18</v>
      </c>
      <c r="E3790" s="5">
        <v>-30394</v>
      </c>
      <c r="F3790" s="3" t="s">
        <v>589</v>
      </c>
      <c r="G3790" s="3" t="s">
        <v>72</v>
      </c>
      <c r="H3790" s="2" t="s">
        <v>21</v>
      </c>
      <c r="I3790" s="2" t="s">
        <v>8794</v>
      </c>
      <c r="J3790" s="3" t="str">
        <f>HYPERLINK("https://www.boe.es/gazeta/dias/1816/10/12/pdfs/GMD-1816-127.pdf#page=7","Abrir facsímil")</f>
        <v>Abrir facsímil</v>
      </c>
      <c r="K3790" s="3" t="s">
        <v>23</v>
      </c>
    </row>
    <row r="3791" spans="1:11" ht="42" customHeight="1">
      <c r="A3791" s="2" t="s">
        <v>8788</v>
      </c>
      <c r="B3791" s="2" t="s">
        <v>8788</v>
      </c>
      <c r="C3791" s="2" t="s">
        <v>111</v>
      </c>
      <c r="D3791" s="2" t="s">
        <v>112</v>
      </c>
      <c r="E3791" s="5">
        <v>-30359</v>
      </c>
      <c r="F3791" s="3" t="s">
        <v>812</v>
      </c>
      <c r="G3791" s="3" t="s">
        <v>72</v>
      </c>
      <c r="H3791" s="2" t="s">
        <v>21</v>
      </c>
      <c r="I3791" s="2" t="s">
        <v>8795</v>
      </c>
      <c r="J3791" s="3" t="str">
        <f>HYPERLINK("https://www.boe.es/gazeta/dias/1816/11/16/pdfs/GMD-1816-143.pdf#page=7","Abrir facsímil")</f>
        <v>Abrir facsímil</v>
      </c>
      <c r="K3791" s="3" t="s">
        <v>23</v>
      </c>
    </row>
    <row r="3792" spans="1:11" ht="42" customHeight="1">
      <c r="A3792" s="2" t="s">
        <v>8796</v>
      </c>
      <c r="B3792" s="2" t="s">
        <v>8797</v>
      </c>
      <c r="C3792" s="2" t="s">
        <v>111</v>
      </c>
      <c r="D3792" s="2" t="s">
        <v>112</v>
      </c>
      <c r="E3792" s="5">
        <v>-30655</v>
      </c>
      <c r="F3792" s="3" t="s">
        <v>170</v>
      </c>
      <c r="G3792" s="3" t="s">
        <v>850</v>
      </c>
      <c r="H3792" s="2" t="s">
        <v>21</v>
      </c>
      <c r="I3792" s="2" t="s">
        <v>8798</v>
      </c>
      <c r="J3792" s="3" t="str">
        <f>HYPERLINK("https://www.boe.es/gazeta/dias/1816/01/25/pdfs/GMD-1816-11.pdf#page=6","Abrir facsímil")</f>
        <v>Abrir facsímil</v>
      </c>
      <c r="K3792" s="3" t="s">
        <v>23</v>
      </c>
    </row>
    <row r="3793" spans="1:11" ht="42" customHeight="1">
      <c r="A3793" s="2" t="s">
        <v>8799</v>
      </c>
      <c r="B3793" s="2" t="s">
        <v>8800</v>
      </c>
      <c r="C3793" s="2" t="s">
        <v>387</v>
      </c>
      <c r="D3793" s="2" t="s">
        <v>18</v>
      </c>
      <c r="E3793" s="5">
        <v>-30424</v>
      </c>
      <c r="F3793" s="3" t="s">
        <v>142</v>
      </c>
      <c r="G3793" s="3" t="s">
        <v>175</v>
      </c>
      <c r="H3793" s="2" t="s">
        <v>21</v>
      </c>
      <c r="I3793" s="2" t="s">
        <v>8801</v>
      </c>
      <c r="J3793" s="3" t="str">
        <f>HYPERLINK("https://www.boe.es/gazeta/dias/1816/09/12/pdfs/GMD-1816-113.pdf#page=11","Abrir facsímil")</f>
        <v>Abrir facsímil</v>
      </c>
      <c r="K3793" s="3" t="s">
        <v>23</v>
      </c>
    </row>
    <row r="3794" spans="1:11" ht="42" customHeight="1">
      <c r="A3794" s="2" t="s">
        <v>8802</v>
      </c>
      <c r="B3794" s="2" t="s">
        <v>8802</v>
      </c>
      <c r="C3794" s="2" t="s">
        <v>111</v>
      </c>
      <c r="D3794" s="2" t="s">
        <v>112</v>
      </c>
      <c r="E3794" s="5">
        <v>-30573</v>
      </c>
      <c r="F3794" s="3" t="s">
        <v>840</v>
      </c>
      <c r="G3794" s="3" t="s">
        <v>184</v>
      </c>
      <c r="H3794" s="2" t="s">
        <v>21</v>
      </c>
      <c r="I3794" s="2" t="s">
        <v>8803</v>
      </c>
      <c r="J3794" s="3" t="str">
        <f>HYPERLINK("https://www.boe.es/gazeta/dias/1816/04/16/pdfs/GMD-1816-49.pdf#page=3","Abrir facsímil")</f>
        <v>Abrir facsímil</v>
      </c>
      <c r="K3794" s="3" t="s">
        <v>23</v>
      </c>
    </row>
    <row r="3795" spans="1:11" ht="42" customHeight="1">
      <c r="A3795" s="2" t="s">
        <v>8804</v>
      </c>
      <c r="B3795" s="2" t="s">
        <v>8805</v>
      </c>
      <c r="C3795" s="2" t="s">
        <v>111</v>
      </c>
      <c r="D3795" s="2" t="s">
        <v>112</v>
      </c>
      <c r="E3795" s="5">
        <v>-30338</v>
      </c>
      <c r="F3795" s="3" t="s">
        <v>464</v>
      </c>
      <c r="G3795" s="3" t="s">
        <v>28</v>
      </c>
      <c r="H3795" s="2" t="s">
        <v>21</v>
      </c>
      <c r="I3795" s="2" t="s">
        <v>8806</v>
      </c>
      <c r="J3795" s="3" t="str">
        <f>HYPERLINK("https://www.boe.es/gazeta/dias/1816/12/07/pdfs/GMD-1816-152.pdf#page=6","Abrir facsímil")</f>
        <v>Abrir facsímil</v>
      </c>
      <c r="K3795" s="3" t="s">
        <v>23</v>
      </c>
    </row>
    <row r="3796" spans="1:11" ht="42" customHeight="1">
      <c r="A3796" s="2" t="s">
        <v>8807</v>
      </c>
      <c r="B3796" s="2" t="s">
        <v>8808</v>
      </c>
      <c r="C3796" s="2" t="s">
        <v>17</v>
      </c>
      <c r="D3796" s="2" t="s">
        <v>18</v>
      </c>
      <c r="E3796" s="5">
        <v>-30639</v>
      </c>
      <c r="F3796" s="3" t="s">
        <v>87</v>
      </c>
      <c r="G3796" s="3" t="s">
        <v>42</v>
      </c>
      <c r="H3796" s="2" t="s">
        <v>21</v>
      </c>
      <c r="I3796" s="2" t="s">
        <v>8809</v>
      </c>
      <c r="J3796" s="3" t="str">
        <f>HYPERLINK("https://www.boe.es/gazeta/dias/1816/02/10/pdfs/GMD-1816-19.pdf#page=8","Abrir facsímil")</f>
        <v>Abrir facsímil</v>
      </c>
      <c r="K3796" s="3" t="s">
        <v>23</v>
      </c>
    </row>
    <row r="3797" spans="1:11" ht="42" customHeight="1">
      <c r="A3797" s="2" t="s">
        <v>8810</v>
      </c>
      <c r="B3797" s="2" t="s">
        <v>8810</v>
      </c>
      <c r="C3797" s="2" t="s">
        <v>26</v>
      </c>
      <c r="D3797" s="2" t="s">
        <v>18</v>
      </c>
      <c r="E3797" s="5">
        <v>-30548</v>
      </c>
      <c r="F3797" s="3" t="s">
        <v>472</v>
      </c>
      <c r="G3797" s="3" t="s">
        <v>270</v>
      </c>
      <c r="H3797" s="2" t="s">
        <v>21</v>
      </c>
      <c r="I3797" s="2" t="s">
        <v>8811</v>
      </c>
      <c r="J3797" s="3" t="str">
        <f>HYPERLINK("https://www.boe.es/gazeta/dias/1816/05/11/pdfs/GMD-1816-60.pdf#page=2","Abrir facsímil")</f>
        <v>Abrir facsímil</v>
      </c>
      <c r="K3797" s="3" t="s">
        <v>23</v>
      </c>
    </row>
    <row r="3798" spans="1:11" ht="42" customHeight="1">
      <c r="A3798" s="2" t="s">
        <v>8812</v>
      </c>
      <c r="B3798" s="2" t="s">
        <v>8812</v>
      </c>
      <c r="C3798" s="2" t="s">
        <v>387</v>
      </c>
      <c r="D3798" s="2" t="s">
        <v>18</v>
      </c>
      <c r="E3798" s="5">
        <v>-30457</v>
      </c>
      <c r="F3798" s="3" t="s">
        <v>539</v>
      </c>
      <c r="G3798" s="3" t="s">
        <v>270</v>
      </c>
      <c r="H3798" s="2" t="s">
        <v>21</v>
      </c>
      <c r="I3798" s="2" t="s">
        <v>8813</v>
      </c>
      <c r="J3798" s="3" t="str">
        <f>HYPERLINK("https://www.boe.es/gazeta/dias/1816/08/10/pdfs/GMD-1816-99.pdf#page=2","Abrir facsímil")</f>
        <v>Abrir facsímil</v>
      </c>
      <c r="K3798" s="3" t="s">
        <v>23</v>
      </c>
    </row>
    <row r="3799" spans="1:11" ht="42" customHeight="1">
      <c r="A3799" s="2" t="s">
        <v>8812</v>
      </c>
      <c r="B3799" s="2" t="s">
        <v>8812</v>
      </c>
      <c r="C3799" s="2" t="s">
        <v>26</v>
      </c>
      <c r="D3799" s="2" t="s">
        <v>18</v>
      </c>
      <c r="E3799" s="5">
        <v>-30424</v>
      </c>
      <c r="F3799" s="3" t="s">
        <v>142</v>
      </c>
      <c r="G3799" s="3" t="s">
        <v>180</v>
      </c>
      <c r="H3799" s="2" t="s">
        <v>21</v>
      </c>
      <c r="I3799" s="2" t="s">
        <v>8814</v>
      </c>
      <c r="J3799" s="3" t="str">
        <f>HYPERLINK("https://www.boe.es/gazeta/dias/1816/09/12/pdfs/GMD-1816-113.pdf#page=10","Abrir facsímil")</f>
        <v>Abrir facsímil</v>
      </c>
      <c r="K3799" s="3" t="s">
        <v>23</v>
      </c>
    </row>
    <row r="3800" spans="1:11" ht="42" customHeight="1">
      <c r="A3800" s="2" t="s">
        <v>8815</v>
      </c>
      <c r="B3800" s="2" t="s">
        <v>8816</v>
      </c>
      <c r="C3800" s="2" t="s">
        <v>26</v>
      </c>
      <c r="D3800" s="2" t="s">
        <v>56</v>
      </c>
      <c r="E3800" s="5">
        <v>-30393</v>
      </c>
      <c r="F3800" s="3" t="s">
        <v>202</v>
      </c>
      <c r="G3800" s="3" t="s">
        <v>203</v>
      </c>
      <c r="H3800" s="2" t="s">
        <v>21</v>
      </c>
      <c r="I3800" s="2" t="s">
        <v>8817</v>
      </c>
      <c r="J3800" s="3" t="str">
        <f>HYPERLINK("https://www.boe.es/gazeta/dias/1816/10/13/pdfs/GMD-1816-128E.pdf#page=7","Abrir facsímil")</f>
        <v>Abrir facsímil</v>
      </c>
      <c r="K3800" s="3" t="s">
        <v>23</v>
      </c>
    </row>
    <row r="3801" spans="1:11" ht="42" customHeight="1">
      <c r="A3801" s="2" t="s">
        <v>8818</v>
      </c>
      <c r="B3801" s="2" t="s">
        <v>8819</v>
      </c>
      <c r="C3801" s="2" t="s">
        <v>34</v>
      </c>
      <c r="D3801" s="2" t="s">
        <v>35</v>
      </c>
      <c r="E3801" s="5">
        <v>-30445</v>
      </c>
      <c r="F3801" s="3" t="s">
        <v>51</v>
      </c>
      <c r="G3801" s="3" t="s">
        <v>180</v>
      </c>
      <c r="H3801" s="2" t="s">
        <v>21</v>
      </c>
      <c r="I3801" s="2" t="s">
        <v>8820</v>
      </c>
      <c r="J3801" s="3" t="str">
        <f>HYPERLINK("https://www.boe.es/gazeta/dias/1816/08/22/pdfs/GMD-1816-104.pdf#page=10","Abrir facsímil")</f>
        <v>Abrir facsímil</v>
      </c>
      <c r="K3801" s="3" t="s">
        <v>23</v>
      </c>
    </row>
    <row r="3802" spans="1:11" ht="42" customHeight="1">
      <c r="A3802" s="2" t="s">
        <v>8821</v>
      </c>
      <c r="B3802" s="2" t="s">
        <v>8822</v>
      </c>
      <c r="C3802" s="2" t="s">
        <v>111</v>
      </c>
      <c r="D3802" s="2" t="s">
        <v>112</v>
      </c>
      <c r="E3802" s="5">
        <v>-30485</v>
      </c>
      <c r="F3802" s="3" t="s">
        <v>156</v>
      </c>
      <c r="G3802" s="3" t="s">
        <v>42</v>
      </c>
      <c r="H3802" s="2" t="s">
        <v>21</v>
      </c>
      <c r="I3802" s="2" t="s">
        <v>8823</v>
      </c>
      <c r="J3802" s="3" t="str">
        <f>HYPERLINK("https://www.boe.es/gazeta/dias/1816/07/13/pdfs/GMD-1816-87.pdf#page=8","Abrir facsímil")</f>
        <v>Abrir facsímil</v>
      </c>
      <c r="K3802" s="3" t="s">
        <v>23</v>
      </c>
    </row>
    <row r="3803" spans="1:11" ht="42" customHeight="1">
      <c r="A3803" s="2" t="s">
        <v>8824</v>
      </c>
      <c r="B3803" s="2" t="s">
        <v>8824</v>
      </c>
      <c r="C3803" s="2" t="s">
        <v>34</v>
      </c>
      <c r="D3803" s="2" t="s">
        <v>35</v>
      </c>
      <c r="E3803" s="5">
        <v>-30405</v>
      </c>
      <c r="F3803" s="3" t="s">
        <v>587</v>
      </c>
      <c r="G3803" s="3" t="s">
        <v>270</v>
      </c>
      <c r="H3803" s="2" t="s">
        <v>21</v>
      </c>
      <c r="I3803" s="2" t="s">
        <v>8825</v>
      </c>
      <c r="J3803" s="3" t="str">
        <f>HYPERLINK("https://www.boe.es/gazeta/dias/1816/10/01/pdfs/GMD-1816-121.pdf#page=2","Abrir facsímil")</f>
        <v>Abrir facsímil</v>
      </c>
      <c r="K3803" s="3" t="s">
        <v>23</v>
      </c>
    </row>
    <row r="3804" spans="1:11" ht="42" customHeight="1">
      <c r="A3804" s="2" t="s">
        <v>8826</v>
      </c>
      <c r="B3804" s="2" t="s">
        <v>8827</v>
      </c>
      <c r="C3804" s="2" t="s">
        <v>81</v>
      </c>
      <c r="D3804" s="2" t="s">
        <v>18</v>
      </c>
      <c r="E3804" s="5">
        <v>-30559</v>
      </c>
      <c r="F3804" s="3" t="s">
        <v>165</v>
      </c>
      <c r="G3804" s="3" t="s">
        <v>42</v>
      </c>
      <c r="H3804" s="2" t="s">
        <v>21</v>
      </c>
      <c r="I3804" s="2" t="s">
        <v>8828</v>
      </c>
      <c r="J3804" s="3" t="str">
        <f>HYPERLINK("https://www.boe.es/gazeta/dias/1816/04/30/pdfs/GMD-1816-55.pdf#page=8","Abrir facsímil")</f>
        <v>Abrir facsímil</v>
      </c>
      <c r="K3804" s="3" t="s">
        <v>23</v>
      </c>
    </row>
    <row r="3805" spans="1:11" ht="42" customHeight="1">
      <c r="A3805" s="2" t="s">
        <v>8829</v>
      </c>
      <c r="B3805" s="2" t="s">
        <v>8830</v>
      </c>
      <c r="C3805" s="2" t="s">
        <v>34</v>
      </c>
      <c r="D3805" s="2" t="s">
        <v>35</v>
      </c>
      <c r="E3805" s="5">
        <v>-30405</v>
      </c>
      <c r="F3805" s="3" t="s">
        <v>587</v>
      </c>
      <c r="G3805" s="3" t="s">
        <v>47</v>
      </c>
      <c r="H3805" s="2" t="s">
        <v>21</v>
      </c>
      <c r="I3805" s="2" t="s">
        <v>8831</v>
      </c>
      <c r="J3805" s="3" t="str">
        <f>HYPERLINK("https://www.boe.es/gazeta/dias/1816/10/01/pdfs/GMD-1816-121.pdf#page=5","Abrir facsímil")</f>
        <v>Abrir facsímil</v>
      </c>
      <c r="K3805" s="3" t="s">
        <v>23</v>
      </c>
    </row>
    <row r="3806" spans="1:11" ht="42" customHeight="1">
      <c r="A3806" s="2" t="s">
        <v>8832</v>
      </c>
      <c r="B3806" s="2" t="s">
        <v>8833</v>
      </c>
      <c r="C3806" s="2" t="s">
        <v>67</v>
      </c>
      <c r="D3806" s="2" t="s">
        <v>18</v>
      </c>
      <c r="E3806" s="5">
        <v>-30457</v>
      </c>
      <c r="F3806" s="3" t="s">
        <v>539</v>
      </c>
      <c r="G3806" s="3" t="s">
        <v>47</v>
      </c>
      <c r="H3806" s="2" t="s">
        <v>21</v>
      </c>
      <c r="I3806" s="2" t="s">
        <v>8834</v>
      </c>
      <c r="J3806" s="3" t="str">
        <f>HYPERLINK("https://www.boe.es/gazeta/dias/1816/08/10/pdfs/GMD-1816-99.pdf#page=5","Abrir facsímil")</f>
        <v>Abrir facsímil</v>
      </c>
      <c r="K3806" s="3" t="s">
        <v>23</v>
      </c>
    </row>
    <row r="3807" spans="1:11" ht="42" customHeight="1">
      <c r="A3807" s="2" t="s">
        <v>8835</v>
      </c>
      <c r="B3807" s="2" t="s">
        <v>8836</v>
      </c>
      <c r="C3807" s="2" t="s">
        <v>26</v>
      </c>
      <c r="D3807" s="2" t="s">
        <v>18</v>
      </c>
      <c r="E3807" s="5">
        <v>-30606</v>
      </c>
      <c r="F3807" s="3" t="s">
        <v>761</v>
      </c>
      <c r="G3807" s="3" t="s">
        <v>103</v>
      </c>
      <c r="H3807" s="2" t="s">
        <v>21</v>
      </c>
      <c r="I3807" s="2" t="s">
        <v>8837</v>
      </c>
      <c r="J3807" s="3" t="str">
        <f>HYPERLINK("https://www.boe.es/gazeta/dias/1816/03/14/pdfs/GMD-1816-34.pdf#page=4","Abrir facsímil")</f>
        <v>Abrir facsímil</v>
      </c>
      <c r="K3807" s="3" t="s">
        <v>23</v>
      </c>
    </row>
    <row r="3808" spans="1:11" ht="42" customHeight="1">
      <c r="A3808" s="2" t="s">
        <v>8838</v>
      </c>
      <c r="B3808" s="2" t="s">
        <v>8839</v>
      </c>
      <c r="C3808" s="2" t="s">
        <v>67</v>
      </c>
      <c r="D3808" s="2" t="s">
        <v>18</v>
      </c>
      <c r="E3808" s="5">
        <v>-30389</v>
      </c>
      <c r="F3808" s="3" t="s">
        <v>522</v>
      </c>
      <c r="G3808" s="3" t="s">
        <v>28</v>
      </c>
      <c r="H3808" s="2" t="s">
        <v>21</v>
      </c>
      <c r="I3808" s="2" t="s">
        <v>8840</v>
      </c>
      <c r="J3808" s="3" t="str">
        <f>HYPERLINK("https://www.boe.es/gazeta/dias/1816/10/17/pdfs/GMD-1816-130.pdf#page=6","Abrir facsímil")</f>
        <v>Abrir facsímil</v>
      </c>
      <c r="K3808" s="3" t="s">
        <v>23</v>
      </c>
    </row>
    <row r="3809" spans="1:11" ht="42" customHeight="1">
      <c r="A3809" s="2" t="s">
        <v>8841</v>
      </c>
      <c r="B3809" s="2" t="s">
        <v>8842</v>
      </c>
      <c r="C3809" s="2" t="s">
        <v>34</v>
      </c>
      <c r="D3809" s="2" t="s">
        <v>35</v>
      </c>
      <c r="E3809" s="5">
        <v>-30564</v>
      </c>
      <c r="F3809" s="3" t="s">
        <v>963</v>
      </c>
      <c r="G3809" s="3" t="s">
        <v>964</v>
      </c>
      <c r="H3809" s="2" t="s">
        <v>21</v>
      </c>
      <c r="I3809" s="2" t="s">
        <v>8843</v>
      </c>
      <c r="J3809" s="3" t="str">
        <f>HYPERLINK("https://www.boe.es/gazeta/dias/1816/04/25/pdfs/GMD-1816-53.pdf#page=6","Abrir facsímil")</f>
        <v>Abrir facsímil</v>
      </c>
      <c r="K3809" s="3" t="s">
        <v>23</v>
      </c>
    </row>
    <row r="3810" spans="1:11" ht="42" customHeight="1">
      <c r="A3810" s="2" t="s">
        <v>8844</v>
      </c>
      <c r="B3810" s="2" t="s">
        <v>8844</v>
      </c>
      <c r="C3810" s="2" t="s">
        <v>111</v>
      </c>
      <c r="D3810" s="2" t="s">
        <v>112</v>
      </c>
      <c r="E3810" s="5">
        <v>-30573</v>
      </c>
      <c r="F3810" s="3" t="s">
        <v>840</v>
      </c>
      <c r="G3810" s="3" t="s">
        <v>184</v>
      </c>
      <c r="H3810" s="2" t="s">
        <v>21</v>
      </c>
      <c r="I3810" s="2" t="s">
        <v>8845</v>
      </c>
      <c r="J3810" s="3" t="str">
        <f>HYPERLINK("https://www.boe.es/gazeta/dias/1816/04/16/pdfs/GMD-1816-49.pdf#page=3","Abrir facsímil")</f>
        <v>Abrir facsímil</v>
      </c>
      <c r="K3810" s="3" t="s">
        <v>23</v>
      </c>
    </row>
    <row r="3811" spans="1:11" ht="42" customHeight="1">
      <c r="A3811" s="2" t="s">
        <v>8846</v>
      </c>
      <c r="B3811" s="2" t="s">
        <v>8847</v>
      </c>
      <c r="C3811" s="2" t="s">
        <v>111</v>
      </c>
      <c r="D3811" s="2" t="s">
        <v>112</v>
      </c>
      <c r="E3811" s="5">
        <v>-30405</v>
      </c>
      <c r="F3811" s="3" t="s">
        <v>587</v>
      </c>
      <c r="G3811" s="3" t="s">
        <v>42</v>
      </c>
      <c r="H3811" s="2" t="s">
        <v>21</v>
      </c>
      <c r="I3811" s="2" t="s">
        <v>8848</v>
      </c>
      <c r="J3811" s="3" t="str">
        <f>HYPERLINK("https://www.boe.es/gazeta/dias/1816/10/01/pdfs/GMD-1816-121.pdf#page=8","Abrir facsímil")</f>
        <v>Abrir facsímil</v>
      </c>
      <c r="K3811" s="3" t="s">
        <v>23</v>
      </c>
    </row>
    <row r="3812" spans="1:11" ht="42" customHeight="1">
      <c r="A3812" s="2" t="s">
        <v>8849</v>
      </c>
      <c r="B3812" s="2" t="s">
        <v>8850</v>
      </c>
      <c r="C3812" s="2" t="s">
        <v>17</v>
      </c>
      <c r="D3812" s="2" t="s">
        <v>18</v>
      </c>
      <c r="E3812" s="5">
        <v>-30632</v>
      </c>
      <c r="F3812" s="3" t="s">
        <v>89</v>
      </c>
      <c r="G3812" s="3" t="s">
        <v>72</v>
      </c>
      <c r="H3812" s="2" t="s">
        <v>21</v>
      </c>
      <c r="I3812" s="2" t="s">
        <v>8851</v>
      </c>
      <c r="J3812" s="3" t="str">
        <f>HYPERLINK("https://www.boe.es/gazeta/dias/1816/02/17/pdfs/GMD-1816-22.pdf#page=7","Abrir facsímil")</f>
        <v>Abrir facsímil</v>
      </c>
      <c r="K3812" s="3" t="s">
        <v>23</v>
      </c>
    </row>
    <row r="3813" spans="1:11" ht="42" customHeight="1">
      <c r="A3813" s="2" t="s">
        <v>8852</v>
      </c>
      <c r="B3813" s="2" t="s">
        <v>8853</v>
      </c>
      <c r="C3813" s="2" t="s">
        <v>26</v>
      </c>
      <c r="D3813" s="2" t="s">
        <v>18</v>
      </c>
      <c r="E3813" s="5">
        <v>-30445</v>
      </c>
      <c r="F3813" s="3" t="s">
        <v>51</v>
      </c>
      <c r="G3813" s="3" t="s">
        <v>47</v>
      </c>
      <c r="H3813" s="2" t="s">
        <v>21</v>
      </c>
      <c r="I3813" s="2" t="s">
        <v>8854</v>
      </c>
      <c r="J3813" s="3" t="str">
        <f>HYPERLINK("https://www.boe.es/gazeta/dias/1816/08/22/pdfs/GMD-1816-104.pdf#page=5","Abrir facsímil")</f>
        <v>Abrir facsímil</v>
      </c>
      <c r="K3813" s="3" t="s">
        <v>23</v>
      </c>
    </row>
    <row r="3814" spans="1:11" ht="42" customHeight="1">
      <c r="A3814" s="2" t="s">
        <v>8855</v>
      </c>
      <c r="B3814" s="2" t="s">
        <v>8856</v>
      </c>
      <c r="C3814" s="2" t="s">
        <v>26</v>
      </c>
      <c r="D3814" s="2" t="s">
        <v>56</v>
      </c>
      <c r="E3814" s="5">
        <v>-30393</v>
      </c>
      <c r="F3814" s="3" t="s">
        <v>202</v>
      </c>
      <c r="G3814" s="3" t="s">
        <v>203</v>
      </c>
      <c r="H3814" s="2" t="s">
        <v>21</v>
      </c>
      <c r="I3814" s="2" t="s">
        <v>8857</v>
      </c>
      <c r="J3814" s="3" t="str">
        <f>HYPERLINK("https://www.boe.es/gazeta/dias/1816/10/13/pdfs/GMD-1816-128E.pdf#page=7","Abrir facsímil")</f>
        <v>Abrir facsímil</v>
      </c>
      <c r="K3814" s="3" t="s">
        <v>23</v>
      </c>
    </row>
    <row r="3815" spans="1:11" ht="42" customHeight="1">
      <c r="A3815" s="2" t="s">
        <v>8858</v>
      </c>
      <c r="B3815" s="2" t="s">
        <v>8859</v>
      </c>
      <c r="C3815" s="2" t="s">
        <v>26</v>
      </c>
      <c r="D3815" s="2" t="s">
        <v>18</v>
      </c>
      <c r="E3815" s="5">
        <v>-30354</v>
      </c>
      <c r="F3815" s="3" t="s">
        <v>68</v>
      </c>
      <c r="G3815" s="3" t="s">
        <v>72</v>
      </c>
      <c r="H3815" s="2" t="s">
        <v>21</v>
      </c>
      <c r="I3815" s="2" t="s">
        <v>8860</v>
      </c>
      <c r="J3815" s="3" t="str">
        <f>HYPERLINK("https://www.boe.es/gazeta/dias/1816/11/21/pdfs/GMD-1816-145.pdf#page=7","Abrir facsímil")</f>
        <v>Abrir facsímil</v>
      </c>
      <c r="K3815" s="3" t="s">
        <v>23</v>
      </c>
    </row>
    <row r="3816" spans="1:11" ht="42" customHeight="1">
      <c r="A3816" s="2" t="s">
        <v>8861</v>
      </c>
      <c r="B3816" s="2" t="s">
        <v>8862</v>
      </c>
      <c r="C3816" s="2" t="s">
        <v>111</v>
      </c>
      <c r="D3816" s="2" t="s">
        <v>112</v>
      </c>
      <c r="E3816" s="5">
        <v>-30508</v>
      </c>
      <c r="F3816" s="3" t="s">
        <v>36</v>
      </c>
      <c r="G3816" s="3" t="s">
        <v>37</v>
      </c>
      <c r="H3816" s="2" t="s">
        <v>21</v>
      </c>
      <c r="I3816" s="2" t="s">
        <v>8863</v>
      </c>
      <c r="J3816" s="3" t="str">
        <f>HYPERLINK("https://www.boe.es/gazeta/dias/1816/06/20/pdfs/GMD-1816-77.pdf#page=7","Abrir facsímil")</f>
        <v>Abrir facsímil</v>
      </c>
      <c r="K3816" s="3" t="s">
        <v>23</v>
      </c>
    </row>
    <row r="3817" spans="1:11" ht="42" customHeight="1">
      <c r="A3817" s="2" t="s">
        <v>8864</v>
      </c>
      <c r="B3817" s="2" t="s">
        <v>8865</v>
      </c>
      <c r="C3817" s="2" t="s">
        <v>34</v>
      </c>
      <c r="D3817" s="2" t="s">
        <v>35</v>
      </c>
      <c r="E3817" s="5">
        <v>-30564</v>
      </c>
      <c r="F3817" s="3" t="s">
        <v>963</v>
      </c>
      <c r="G3817" s="3" t="s">
        <v>47</v>
      </c>
      <c r="H3817" s="2" t="s">
        <v>21</v>
      </c>
      <c r="I3817" s="2" t="s">
        <v>8866</v>
      </c>
      <c r="J3817" s="3" t="str">
        <f>HYPERLINK("https://www.boe.es/gazeta/dias/1816/04/25/pdfs/GMD-1816-53.pdf#page=5","Abrir facsímil")</f>
        <v>Abrir facsímil</v>
      </c>
      <c r="K3817" s="3" t="s">
        <v>23</v>
      </c>
    </row>
    <row r="3818" spans="1:11" ht="42" customHeight="1">
      <c r="A3818" s="2" t="s">
        <v>8867</v>
      </c>
      <c r="B3818" s="2" t="s">
        <v>8868</v>
      </c>
      <c r="C3818" s="2" t="s">
        <v>81</v>
      </c>
      <c r="D3818" s="2" t="s">
        <v>18</v>
      </c>
      <c r="E3818" s="5">
        <v>-30319</v>
      </c>
      <c r="F3818" s="3" t="s">
        <v>131</v>
      </c>
      <c r="G3818" s="3" t="s">
        <v>42</v>
      </c>
      <c r="H3818" s="2" t="s">
        <v>21</v>
      </c>
      <c r="I3818" s="2" t="s">
        <v>8869</v>
      </c>
      <c r="J3818" s="3" t="str">
        <f>HYPERLINK("https://www.boe.es/gazeta/dias/1816/12/26/pdfs/GMD-1816-160.pdf#page=8","Abrir facsímil")</f>
        <v>Abrir facsímil</v>
      </c>
      <c r="K3818" s="3" t="s">
        <v>23</v>
      </c>
    </row>
    <row r="3819" spans="1:11" ht="42" customHeight="1">
      <c r="A3819" s="2" t="s">
        <v>8870</v>
      </c>
      <c r="B3819" s="2" t="s">
        <v>8871</v>
      </c>
      <c r="C3819" s="2" t="s">
        <v>26</v>
      </c>
      <c r="D3819" s="2" t="s">
        <v>18</v>
      </c>
      <c r="E3819" s="5">
        <v>-30387</v>
      </c>
      <c r="F3819" s="3" t="s">
        <v>224</v>
      </c>
      <c r="G3819" s="3" t="s">
        <v>28</v>
      </c>
      <c r="H3819" s="2" t="s">
        <v>21</v>
      </c>
      <c r="I3819" s="2" t="s">
        <v>8872</v>
      </c>
      <c r="J3819" s="3" t="str">
        <f>HYPERLINK("https://www.boe.es/gazeta/dias/1816/10/19/pdfs/GMD-1816-131.pdf#page=6","Abrir facsímil")</f>
        <v>Abrir facsímil</v>
      </c>
      <c r="K3819" s="3" t="s">
        <v>23</v>
      </c>
    </row>
    <row r="3820" spans="1:11" ht="42" customHeight="1">
      <c r="A3820" s="2" t="s">
        <v>8873</v>
      </c>
      <c r="B3820" s="2" t="s">
        <v>8874</v>
      </c>
      <c r="C3820" s="2" t="s">
        <v>81</v>
      </c>
      <c r="D3820" s="2" t="s">
        <v>18</v>
      </c>
      <c r="E3820" s="5">
        <v>-30636</v>
      </c>
      <c r="F3820" s="3" t="s">
        <v>82</v>
      </c>
      <c r="G3820" s="3" t="s">
        <v>83</v>
      </c>
      <c r="H3820" s="2" t="s">
        <v>21</v>
      </c>
      <c r="I3820" s="2" t="s">
        <v>8875</v>
      </c>
      <c r="J3820" s="3" t="str">
        <f>HYPERLINK("https://www.boe.es/gazeta/dias/1816/02/13/pdfs/GMD-1816-20.pdf#page=8","Abrir facsímil")</f>
        <v>Abrir facsímil</v>
      </c>
      <c r="K3820" s="3" t="s">
        <v>23</v>
      </c>
    </row>
    <row r="3821" spans="1:11" ht="42" customHeight="1">
      <c r="A3821" s="2" t="s">
        <v>8876</v>
      </c>
      <c r="B3821" s="2" t="s">
        <v>8877</v>
      </c>
      <c r="C3821" s="2" t="s">
        <v>67</v>
      </c>
      <c r="D3821" s="2" t="s">
        <v>18</v>
      </c>
      <c r="E3821" s="5">
        <v>-30492</v>
      </c>
      <c r="F3821" s="3" t="s">
        <v>248</v>
      </c>
      <c r="G3821" s="3" t="s">
        <v>103</v>
      </c>
      <c r="H3821" s="2" t="s">
        <v>29</v>
      </c>
      <c r="I3821" s="2" t="s">
        <v>8878</v>
      </c>
      <c r="J3821" s="3" t="str">
        <f>HYPERLINK("https://www.boe.es/gazeta/dias/1816/07/06/pdfs/GMD-1816-84.pdf#page=4","Abrir facsímil")</f>
        <v>Abrir facsímil</v>
      </c>
      <c r="K3821" s="3" t="s">
        <v>31</v>
      </c>
    </row>
    <row r="3822" spans="1:11" ht="42" customHeight="1">
      <c r="A3822" s="2" t="s">
        <v>8879</v>
      </c>
      <c r="B3822" s="2" t="s">
        <v>8880</v>
      </c>
      <c r="C3822" s="2" t="s">
        <v>26</v>
      </c>
      <c r="D3822" s="2" t="s">
        <v>18</v>
      </c>
      <c r="E3822" s="5">
        <v>-30424</v>
      </c>
      <c r="F3822" s="3" t="s">
        <v>142</v>
      </c>
      <c r="G3822" s="3" t="s">
        <v>175</v>
      </c>
      <c r="H3822" s="2" t="s">
        <v>21</v>
      </c>
      <c r="I3822" s="2" t="s">
        <v>8881</v>
      </c>
      <c r="J3822" s="3" t="str">
        <f>HYPERLINK("https://www.boe.es/gazeta/dias/1816/09/12/pdfs/GMD-1816-113.pdf#page=11","Abrir facsímil")</f>
        <v>Abrir facsímil</v>
      </c>
      <c r="K3822" s="3" t="s">
        <v>23</v>
      </c>
    </row>
    <row r="3823" spans="1:11" ht="42" customHeight="1">
      <c r="A3823" s="2" t="s">
        <v>8882</v>
      </c>
      <c r="B3823" s="2" t="s">
        <v>8883</v>
      </c>
      <c r="C3823" s="2" t="s">
        <v>26</v>
      </c>
      <c r="D3823" s="2" t="s">
        <v>18</v>
      </c>
      <c r="E3823" s="5">
        <v>-30398</v>
      </c>
      <c r="F3823" s="3" t="s">
        <v>447</v>
      </c>
      <c r="G3823" s="3" t="s">
        <v>42</v>
      </c>
      <c r="H3823" s="2" t="s">
        <v>21</v>
      </c>
      <c r="I3823" s="2" t="s">
        <v>8884</v>
      </c>
      <c r="J3823" s="3" t="str">
        <f>HYPERLINK("https://www.boe.es/gazeta/dias/1816/10/08/pdfs/GMD-1816-125.pdf#page=8","Abrir facsímil")</f>
        <v>Abrir facsímil</v>
      </c>
      <c r="K3823" s="3" t="s">
        <v>23</v>
      </c>
    </row>
    <row r="3824" spans="1:11" ht="42" customHeight="1">
      <c r="A3824" s="2" t="s">
        <v>8885</v>
      </c>
      <c r="B3824" s="2" t="s">
        <v>8886</v>
      </c>
      <c r="C3824" s="2" t="s">
        <v>26</v>
      </c>
      <c r="D3824" s="2" t="s">
        <v>18</v>
      </c>
      <c r="E3824" s="5">
        <v>-30391</v>
      </c>
      <c r="F3824" s="3" t="s">
        <v>482</v>
      </c>
      <c r="G3824" s="3" t="s">
        <v>28</v>
      </c>
      <c r="H3824" s="2" t="s">
        <v>21</v>
      </c>
      <c r="I3824" s="2" t="s">
        <v>8887</v>
      </c>
      <c r="J3824" s="3" t="str">
        <f>HYPERLINK("https://www.boe.es/gazeta/dias/1816/10/15/pdfs/GMD-1816-129.pdf#page=6","Abrir facsímil")</f>
        <v>Abrir facsímil</v>
      </c>
      <c r="K3824" s="3" t="s">
        <v>23</v>
      </c>
    </row>
    <row r="3825" spans="1:11" ht="42" customHeight="1">
      <c r="A3825" s="2" t="s">
        <v>8888</v>
      </c>
      <c r="B3825" s="2" t="s">
        <v>8889</v>
      </c>
      <c r="C3825" s="2" t="s">
        <v>26</v>
      </c>
      <c r="D3825" s="2" t="s">
        <v>18</v>
      </c>
      <c r="E3825" s="5">
        <v>-30445</v>
      </c>
      <c r="F3825" s="3" t="s">
        <v>51</v>
      </c>
      <c r="G3825" s="3" t="s">
        <v>47</v>
      </c>
      <c r="H3825" s="2" t="s">
        <v>21</v>
      </c>
      <c r="I3825" s="2" t="s">
        <v>8890</v>
      </c>
      <c r="J3825" s="3" t="str">
        <f>HYPERLINK("https://www.boe.es/gazeta/dias/1816/08/22/pdfs/GMD-1816-104.pdf#page=5","Abrir facsímil")</f>
        <v>Abrir facsímil</v>
      </c>
      <c r="K3825" s="3" t="s">
        <v>23</v>
      </c>
    </row>
    <row r="3826" spans="1:11" ht="42" customHeight="1">
      <c r="A3826" s="2" t="s">
        <v>8888</v>
      </c>
      <c r="B3826" s="2" t="s">
        <v>8889</v>
      </c>
      <c r="C3826" s="2" t="s">
        <v>34</v>
      </c>
      <c r="D3826" s="2" t="s">
        <v>35</v>
      </c>
      <c r="E3826" s="5">
        <v>-30391</v>
      </c>
      <c r="F3826" s="3" t="s">
        <v>482</v>
      </c>
      <c r="G3826" s="3" t="s">
        <v>28</v>
      </c>
      <c r="H3826" s="2" t="s">
        <v>21</v>
      </c>
      <c r="I3826" s="2" t="s">
        <v>8891</v>
      </c>
      <c r="J3826" s="3" t="str">
        <f>HYPERLINK("https://www.boe.es/gazeta/dias/1816/10/15/pdfs/GMD-1816-129.pdf#page=6","Abrir facsímil")</f>
        <v>Abrir facsímil</v>
      </c>
      <c r="K3826" s="3" t="s">
        <v>23</v>
      </c>
    </row>
    <row r="3827" spans="1:11" ht="42" customHeight="1">
      <c r="A3827" s="2" t="s">
        <v>8888</v>
      </c>
      <c r="B3827" s="2" t="s">
        <v>8889</v>
      </c>
      <c r="C3827" s="2" t="s">
        <v>26</v>
      </c>
      <c r="D3827" s="2" t="s">
        <v>18</v>
      </c>
      <c r="E3827" s="5">
        <v>-30354</v>
      </c>
      <c r="F3827" s="3" t="s">
        <v>68</v>
      </c>
      <c r="G3827" s="3" t="s">
        <v>72</v>
      </c>
      <c r="H3827" s="2" t="s">
        <v>21</v>
      </c>
      <c r="I3827" s="2" t="s">
        <v>8892</v>
      </c>
      <c r="J3827" s="3" t="str">
        <f>HYPERLINK("https://www.boe.es/gazeta/dias/1816/11/21/pdfs/GMD-1816-145.pdf#page=7","Abrir facsímil")</f>
        <v>Abrir facsímil</v>
      </c>
      <c r="K3827" s="3" t="s">
        <v>23</v>
      </c>
    </row>
    <row r="3828" spans="1:11" ht="42" customHeight="1">
      <c r="A3828" s="2" t="s">
        <v>8888</v>
      </c>
      <c r="B3828" s="2" t="s">
        <v>8889</v>
      </c>
      <c r="C3828" s="2" t="s">
        <v>26</v>
      </c>
      <c r="D3828" s="2" t="s">
        <v>18</v>
      </c>
      <c r="E3828" s="5">
        <v>-30354</v>
      </c>
      <c r="F3828" s="3" t="s">
        <v>68</v>
      </c>
      <c r="G3828" s="3" t="s">
        <v>42</v>
      </c>
      <c r="H3828" s="2" t="s">
        <v>21</v>
      </c>
      <c r="I3828" s="2" t="s">
        <v>8893</v>
      </c>
      <c r="J3828" s="3" t="str">
        <f>HYPERLINK("https://www.boe.es/gazeta/dias/1816/11/21/pdfs/GMD-1816-145.pdf#page=8","Abrir facsímil")</f>
        <v>Abrir facsímil</v>
      </c>
      <c r="K3828" s="3" t="s">
        <v>23</v>
      </c>
    </row>
    <row r="3829" spans="1:11" ht="42" customHeight="1">
      <c r="A3829" s="2" t="s">
        <v>8894</v>
      </c>
      <c r="B3829" s="2" t="s">
        <v>8895</v>
      </c>
      <c r="C3829" s="2" t="s">
        <v>111</v>
      </c>
      <c r="D3829" s="2" t="s">
        <v>112</v>
      </c>
      <c r="E3829" s="5">
        <v>-30529</v>
      </c>
      <c r="F3829" s="3" t="s">
        <v>432</v>
      </c>
      <c r="G3829" s="3" t="s">
        <v>72</v>
      </c>
      <c r="H3829" s="2" t="s">
        <v>21</v>
      </c>
      <c r="I3829" s="2" t="s">
        <v>8896</v>
      </c>
      <c r="J3829" s="3" t="str">
        <f>HYPERLINK("https://www.boe.es/gazeta/dias/1816/05/30/pdfs/GMD-1816-68.pdf#page=7","Abrir facsímil")</f>
        <v>Abrir facsímil</v>
      </c>
      <c r="K3829" s="3" t="s">
        <v>23</v>
      </c>
    </row>
    <row r="3830" spans="1:11" ht="42" customHeight="1">
      <c r="A3830" s="2" t="s">
        <v>8897</v>
      </c>
      <c r="B3830" s="2" t="s">
        <v>8898</v>
      </c>
      <c r="C3830" s="2" t="s">
        <v>111</v>
      </c>
      <c r="D3830" s="2" t="s">
        <v>112</v>
      </c>
      <c r="E3830" s="5">
        <v>-30389</v>
      </c>
      <c r="F3830" s="3" t="s">
        <v>522</v>
      </c>
      <c r="G3830" s="3" t="s">
        <v>1273</v>
      </c>
      <c r="H3830" s="2" t="s">
        <v>21</v>
      </c>
      <c r="I3830" s="2" t="s">
        <v>8899</v>
      </c>
      <c r="J3830" s="3" t="str">
        <f>HYPERLINK("https://www.boe.es/gazeta/dias/1816/10/17/pdfs/GMD-1816-130.pdf#page=4","Abrir facsímil")</f>
        <v>Abrir facsímil</v>
      </c>
      <c r="K3830" s="3" t="s">
        <v>23</v>
      </c>
    </row>
    <row r="3831" spans="1:11" ht="42" customHeight="1">
      <c r="A3831" s="2" t="s">
        <v>8900</v>
      </c>
      <c r="B3831" s="2" t="s">
        <v>8901</v>
      </c>
      <c r="C3831" s="2" t="s">
        <v>67</v>
      </c>
      <c r="D3831" s="2" t="s">
        <v>18</v>
      </c>
      <c r="E3831" s="5">
        <v>-30389</v>
      </c>
      <c r="F3831" s="3" t="s">
        <v>522</v>
      </c>
      <c r="G3831" s="3" t="s">
        <v>28</v>
      </c>
      <c r="H3831" s="2" t="s">
        <v>21</v>
      </c>
      <c r="I3831" s="2" t="s">
        <v>8902</v>
      </c>
      <c r="J3831" s="3" t="str">
        <f>HYPERLINK("https://www.boe.es/gazeta/dias/1816/10/17/pdfs/GMD-1816-130.pdf#page=6","Abrir facsímil")</f>
        <v>Abrir facsímil</v>
      </c>
      <c r="K3831" s="3" t="s">
        <v>23</v>
      </c>
    </row>
    <row r="3832" spans="1:11" ht="42" customHeight="1">
      <c r="A3832" s="2" t="s">
        <v>8903</v>
      </c>
      <c r="B3832" s="2" t="s">
        <v>8904</v>
      </c>
      <c r="C3832" s="2" t="s">
        <v>81</v>
      </c>
      <c r="D3832" s="2" t="s">
        <v>18</v>
      </c>
      <c r="E3832" s="5">
        <v>-30545</v>
      </c>
      <c r="F3832" s="3" t="s">
        <v>127</v>
      </c>
      <c r="G3832" s="3" t="s">
        <v>42</v>
      </c>
      <c r="H3832" s="2" t="s">
        <v>21</v>
      </c>
      <c r="I3832" s="2" t="s">
        <v>8905</v>
      </c>
      <c r="J3832" s="3" t="str">
        <f>HYPERLINK("https://www.boe.es/gazeta/dias/1816/05/14/pdfs/GMD-1816-61.pdf#page=8","Abrir facsímil")</f>
        <v>Abrir facsímil</v>
      </c>
      <c r="K3832" s="3" t="s">
        <v>23</v>
      </c>
    </row>
    <row r="3833" spans="1:11" ht="42" customHeight="1">
      <c r="A3833" s="2" t="s">
        <v>8906</v>
      </c>
      <c r="B3833" s="2" t="s">
        <v>8907</v>
      </c>
      <c r="C3833" s="2" t="s">
        <v>26</v>
      </c>
      <c r="D3833" s="2" t="s">
        <v>18</v>
      </c>
      <c r="E3833" s="5">
        <v>-30433</v>
      </c>
      <c r="F3833" s="3" t="s">
        <v>954</v>
      </c>
      <c r="G3833" s="3" t="s">
        <v>955</v>
      </c>
      <c r="H3833" s="2" t="s">
        <v>21</v>
      </c>
      <c r="I3833" s="2" t="s">
        <v>8908</v>
      </c>
      <c r="J3833" s="3" t="str">
        <f>HYPERLINK("https://www.boe.es/gazeta/dias/1816/09/03/pdfs/GMD-1816-109.pdf#page=7","Abrir facsímil")</f>
        <v>Abrir facsímil</v>
      </c>
      <c r="K3833" s="3" t="s">
        <v>23</v>
      </c>
    </row>
    <row r="3834" spans="1:11" ht="42" customHeight="1">
      <c r="A3834" s="2" t="s">
        <v>8909</v>
      </c>
      <c r="B3834" s="2" t="s">
        <v>8910</v>
      </c>
      <c r="C3834" s="2" t="s">
        <v>111</v>
      </c>
      <c r="D3834" s="2" t="s">
        <v>112</v>
      </c>
      <c r="E3834" s="5">
        <v>-30424</v>
      </c>
      <c r="F3834" s="3" t="s">
        <v>142</v>
      </c>
      <c r="G3834" s="3" t="s">
        <v>175</v>
      </c>
      <c r="H3834" s="2" t="s">
        <v>29</v>
      </c>
      <c r="I3834" s="2" t="s">
        <v>8911</v>
      </c>
      <c r="J3834" s="3" t="str">
        <f>HYPERLINK("https://www.boe.es/gazeta/dias/1816/09/12/pdfs/GMD-1816-113.pdf#page=11","Abrir facsímil")</f>
        <v>Abrir facsímil</v>
      </c>
      <c r="K3834" s="3" t="s">
        <v>31</v>
      </c>
    </row>
    <row r="3835" spans="1:11" ht="42" customHeight="1">
      <c r="A3835" s="2" t="s">
        <v>8912</v>
      </c>
      <c r="B3835" s="2" t="s">
        <v>8913</v>
      </c>
      <c r="C3835" s="2" t="s">
        <v>26</v>
      </c>
      <c r="D3835" s="2" t="s">
        <v>18</v>
      </c>
      <c r="E3835" s="5">
        <v>-30366</v>
      </c>
      <c r="F3835" s="3" t="s">
        <v>179</v>
      </c>
      <c r="G3835" s="3" t="s">
        <v>28</v>
      </c>
      <c r="H3835" s="2" t="s">
        <v>21</v>
      </c>
      <c r="I3835" s="2" t="s">
        <v>8914</v>
      </c>
      <c r="J3835" s="3" t="str">
        <f>HYPERLINK("https://www.boe.es/gazeta/dias/1816/11/09/pdfs/GMD-1816-140.pdf#page=6","Abrir facsímil")</f>
        <v>Abrir facsímil</v>
      </c>
      <c r="K3835" s="3" t="s">
        <v>23</v>
      </c>
    </row>
    <row r="3836" spans="1:11" ht="42" customHeight="1">
      <c r="A3836" s="2" t="s">
        <v>8915</v>
      </c>
      <c r="B3836" s="2" t="s">
        <v>8916</v>
      </c>
      <c r="C3836" s="2" t="s">
        <v>111</v>
      </c>
      <c r="D3836" s="2" t="s">
        <v>112</v>
      </c>
      <c r="E3836" s="5">
        <v>-30408</v>
      </c>
      <c r="F3836" s="3" t="s">
        <v>295</v>
      </c>
      <c r="G3836" s="3" t="s">
        <v>42</v>
      </c>
      <c r="H3836" s="2" t="s">
        <v>21</v>
      </c>
      <c r="I3836" s="2" t="s">
        <v>8917</v>
      </c>
      <c r="J3836" s="3" t="str">
        <f>HYPERLINK("https://www.boe.es/gazeta/dias/1816/09/28/pdfs/GMD-1816-120.pdf#page=8","Abrir facsímil")</f>
        <v>Abrir facsímil</v>
      </c>
      <c r="K3836" s="3" t="s">
        <v>23</v>
      </c>
    </row>
    <row r="3837" spans="1:11" ht="42" customHeight="1">
      <c r="A3837" s="2" t="s">
        <v>8918</v>
      </c>
      <c r="B3837" s="2" t="s">
        <v>8919</v>
      </c>
      <c r="C3837" s="2" t="s">
        <v>34</v>
      </c>
      <c r="D3837" s="2" t="s">
        <v>56</v>
      </c>
      <c r="E3837" s="5">
        <v>-30393</v>
      </c>
      <c r="F3837" s="3" t="s">
        <v>202</v>
      </c>
      <c r="G3837" s="3" t="s">
        <v>47</v>
      </c>
      <c r="H3837" s="2" t="s">
        <v>21</v>
      </c>
      <c r="I3837" s="2" t="s">
        <v>8920</v>
      </c>
      <c r="J3837" s="3" t="str">
        <f>HYPERLINK("https://www.boe.es/gazeta/dias/1816/10/13/pdfs/GMD-1816-128E.pdf#page=5","Abrir facsímil")</f>
        <v>Abrir facsímil</v>
      </c>
      <c r="K3837" s="3" t="s">
        <v>23</v>
      </c>
    </row>
    <row r="3838" spans="1:11" ht="42" customHeight="1">
      <c r="A3838" s="2" t="s">
        <v>8921</v>
      </c>
      <c r="B3838" s="2" t="s">
        <v>8921</v>
      </c>
      <c r="C3838" s="2" t="s">
        <v>34</v>
      </c>
      <c r="D3838" s="2" t="s">
        <v>35</v>
      </c>
      <c r="E3838" s="5">
        <v>-30333</v>
      </c>
      <c r="F3838" s="3" t="s">
        <v>1005</v>
      </c>
      <c r="G3838" s="3" t="s">
        <v>184</v>
      </c>
      <c r="H3838" s="2" t="s">
        <v>21</v>
      </c>
      <c r="I3838" s="2" t="s">
        <v>8922</v>
      </c>
      <c r="J3838" s="3" t="str">
        <f>HYPERLINK("https://www.boe.es/gazeta/dias/1816/12/12/pdfs/GMD-1816-154.pdf#page=3","Abrir facsímil")</f>
        <v>Abrir facsímil</v>
      </c>
      <c r="K3838" s="3" t="s">
        <v>23</v>
      </c>
    </row>
    <row r="3839" spans="1:11" ht="42" customHeight="1">
      <c r="A3839" s="2" t="s">
        <v>8923</v>
      </c>
      <c r="B3839" s="2" t="s">
        <v>8924</v>
      </c>
      <c r="C3839" s="2" t="s">
        <v>111</v>
      </c>
      <c r="D3839" s="2" t="s">
        <v>112</v>
      </c>
      <c r="E3839" s="5">
        <v>-30597</v>
      </c>
      <c r="F3839" s="3" t="s">
        <v>696</v>
      </c>
      <c r="G3839" s="3" t="s">
        <v>47</v>
      </c>
      <c r="H3839" s="2" t="s">
        <v>21</v>
      </c>
      <c r="I3839" s="2" t="s">
        <v>8925</v>
      </c>
      <c r="J3839" s="3" t="str">
        <f>HYPERLINK("https://www.boe.es/gazeta/dias/1816/03/23/pdfs/GMD-1816-39.pdf#page=5","Abrir facsímil")</f>
        <v>Abrir facsímil</v>
      </c>
      <c r="K3839" s="3" t="s">
        <v>23</v>
      </c>
    </row>
    <row r="3840" spans="1:11" ht="42" customHeight="1">
      <c r="A3840" s="2" t="s">
        <v>8926</v>
      </c>
      <c r="B3840" s="2" t="s">
        <v>8927</v>
      </c>
      <c r="C3840" s="2" t="s">
        <v>26</v>
      </c>
      <c r="D3840" s="2" t="s">
        <v>18</v>
      </c>
      <c r="E3840" s="5">
        <v>-30429</v>
      </c>
      <c r="F3840" s="3" t="s">
        <v>598</v>
      </c>
      <c r="G3840" s="3" t="s">
        <v>103</v>
      </c>
      <c r="H3840" s="2" t="s">
        <v>21</v>
      </c>
      <c r="I3840" s="2" t="s">
        <v>8928</v>
      </c>
      <c r="J3840" s="3" t="str">
        <f>HYPERLINK("https://www.boe.es/gazeta/dias/1816/09/07/pdfs/GMD-1816-111.pdf#page=4","Abrir facsímil")</f>
        <v>Abrir facsímil</v>
      </c>
      <c r="K3840" s="3" t="s">
        <v>23</v>
      </c>
    </row>
    <row r="3841" spans="1:11" ht="42" customHeight="1">
      <c r="A3841" s="2" t="s">
        <v>8929</v>
      </c>
      <c r="B3841" s="2" t="s">
        <v>8929</v>
      </c>
      <c r="C3841" s="2" t="s">
        <v>34</v>
      </c>
      <c r="D3841" s="2" t="s">
        <v>35</v>
      </c>
      <c r="E3841" s="5">
        <v>-30569</v>
      </c>
      <c r="F3841" s="3" t="s">
        <v>1859</v>
      </c>
      <c r="G3841" s="3" t="s">
        <v>72</v>
      </c>
      <c r="H3841" s="2" t="s">
        <v>21</v>
      </c>
      <c r="I3841" s="2" t="s">
        <v>8930</v>
      </c>
      <c r="J3841" s="3" t="str">
        <f>HYPERLINK("https://www.boe.es/gazeta/dias/1816/04/20/pdfs/GMD-1816-51.pdf#page=7","Abrir facsímil")</f>
        <v>Abrir facsímil</v>
      </c>
      <c r="K3841" s="3" t="s">
        <v>23</v>
      </c>
    </row>
    <row r="3842" spans="1:11" ht="42" customHeight="1">
      <c r="A3842" s="2" t="s">
        <v>8931</v>
      </c>
      <c r="B3842" s="2" t="s">
        <v>8931</v>
      </c>
      <c r="C3842" s="2" t="s">
        <v>34</v>
      </c>
      <c r="D3842" s="2" t="s">
        <v>35</v>
      </c>
      <c r="E3842" s="5">
        <v>-30552</v>
      </c>
      <c r="F3842" s="3" t="s">
        <v>1842</v>
      </c>
      <c r="G3842" s="3" t="s">
        <v>28</v>
      </c>
      <c r="H3842" s="2" t="s">
        <v>21</v>
      </c>
      <c r="I3842" s="2" t="s">
        <v>8932</v>
      </c>
      <c r="J3842" s="3" t="str">
        <f>HYPERLINK("https://www.boe.es/gazeta/dias/1816/05/07/pdfs/GMD-1816-58.pdf#page=6","Abrir facsímil")</f>
        <v>Abrir facsímil</v>
      </c>
      <c r="K3842" s="3" t="s">
        <v>23</v>
      </c>
    </row>
    <row r="3843" spans="1:11" ht="42" customHeight="1">
      <c r="A3843" s="2" t="s">
        <v>8933</v>
      </c>
      <c r="B3843" s="2" t="s">
        <v>8933</v>
      </c>
      <c r="C3843" s="2" t="s">
        <v>34</v>
      </c>
      <c r="D3843" s="2" t="s">
        <v>35</v>
      </c>
      <c r="E3843" s="5">
        <v>-30573</v>
      </c>
      <c r="F3843" s="3" t="s">
        <v>840</v>
      </c>
      <c r="G3843" s="3" t="s">
        <v>72</v>
      </c>
      <c r="H3843" s="2" t="s">
        <v>21</v>
      </c>
      <c r="I3843" s="2" t="s">
        <v>8934</v>
      </c>
      <c r="J3843" s="3" t="str">
        <f>HYPERLINK("https://www.boe.es/gazeta/dias/1816/04/16/pdfs/GMD-1816-49.pdf#page=7","Abrir facsímil")</f>
        <v>Abrir facsímil</v>
      </c>
      <c r="K3843" s="3" t="s">
        <v>23</v>
      </c>
    </row>
    <row r="3844" spans="1:11" ht="42" customHeight="1">
      <c r="A3844" s="2" t="s">
        <v>8933</v>
      </c>
      <c r="B3844" s="2" t="s">
        <v>8933</v>
      </c>
      <c r="C3844" s="2" t="s">
        <v>34</v>
      </c>
      <c r="D3844" s="2" t="s">
        <v>35</v>
      </c>
      <c r="E3844" s="5">
        <v>-30557</v>
      </c>
      <c r="F3844" s="3" t="s">
        <v>508</v>
      </c>
      <c r="G3844" s="3" t="s">
        <v>28</v>
      </c>
      <c r="H3844" s="2" t="s">
        <v>21</v>
      </c>
      <c r="I3844" s="2" t="s">
        <v>8935</v>
      </c>
      <c r="J3844" s="3" t="str">
        <f>HYPERLINK("https://www.boe.es/gazeta/dias/1816/05/02/pdfs/GMD-1816-56.pdf#page=6","Abrir facsímil")</f>
        <v>Abrir facsímil</v>
      </c>
      <c r="K3844" s="3" t="s">
        <v>23</v>
      </c>
    </row>
    <row r="3845" spans="1:11" ht="42" customHeight="1">
      <c r="A3845" s="2" t="s">
        <v>8933</v>
      </c>
      <c r="B3845" s="2" t="s">
        <v>8933</v>
      </c>
      <c r="C3845" s="2" t="s">
        <v>34</v>
      </c>
      <c r="D3845" s="2" t="s">
        <v>35</v>
      </c>
      <c r="E3845" s="5">
        <v>-30552</v>
      </c>
      <c r="F3845" s="3" t="s">
        <v>1842</v>
      </c>
      <c r="G3845" s="3" t="s">
        <v>72</v>
      </c>
      <c r="H3845" s="2" t="s">
        <v>21</v>
      </c>
      <c r="I3845" s="2" t="s">
        <v>8936</v>
      </c>
      <c r="J3845" s="3" t="str">
        <f>HYPERLINK("https://www.boe.es/gazeta/dias/1816/05/07/pdfs/GMD-1816-58.pdf#page=7","Abrir facsímil")</f>
        <v>Abrir facsímil</v>
      </c>
      <c r="K3845" s="3" t="s">
        <v>23</v>
      </c>
    </row>
    <row r="3846" spans="1:11" ht="42" customHeight="1">
      <c r="A3846" s="2" t="s">
        <v>8937</v>
      </c>
      <c r="B3846" s="2" t="s">
        <v>8937</v>
      </c>
      <c r="C3846" s="2" t="s">
        <v>34</v>
      </c>
      <c r="D3846" s="2" t="s">
        <v>35</v>
      </c>
      <c r="E3846" s="5">
        <v>-30562</v>
      </c>
      <c r="F3846" s="3" t="s">
        <v>1664</v>
      </c>
      <c r="G3846" s="3" t="s">
        <v>270</v>
      </c>
      <c r="H3846" s="2" t="s">
        <v>21</v>
      </c>
      <c r="I3846" s="2" t="s">
        <v>8938</v>
      </c>
      <c r="J3846" s="3" t="str">
        <f>HYPERLINK("https://www.boe.es/gazeta/dias/1816/04/27/pdfs/GMD-1816-54.pdf#page=2","Abrir facsímil")</f>
        <v>Abrir facsímil</v>
      </c>
      <c r="K3846" s="3" t="s">
        <v>23</v>
      </c>
    </row>
    <row r="3847" spans="1:11" ht="42" customHeight="1">
      <c r="A3847" s="2" t="s">
        <v>8939</v>
      </c>
      <c r="B3847" s="2" t="s">
        <v>8940</v>
      </c>
      <c r="C3847" s="2" t="s">
        <v>34</v>
      </c>
      <c r="D3847" s="2" t="s">
        <v>35</v>
      </c>
      <c r="E3847" s="5">
        <v>-30450</v>
      </c>
      <c r="F3847" s="3" t="s">
        <v>349</v>
      </c>
      <c r="G3847" s="3" t="s">
        <v>270</v>
      </c>
      <c r="H3847" s="2" t="s">
        <v>21</v>
      </c>
      <c r="I3847" s="2" t="s">
        <v>8941</v>
      </c>
      <c r="J3847" s="3" t="str">
        <f>HYPERLINK("https://www.boe.es/gazeta/dias/1816/08/17/pdfs/GMD-1816-102.pdf#page=2","Abrir facsímil")</f>
        <v>Abrir facsímil</v>
      </c>
      <c r="K3847" s="3" t="s">
        <v>23</v>
      </c>
    </row>
    <row r="3848" spans="1:11" ht="42" customHeight="1">
      <c r="A3848" s="2" t="s">
        <v>8942</v>
      </c>
      <c r="B3848" s="2" t="s">
        <v>8943</v>
      </c>
      <c r="C3848" s="2" t="s">
        <v>111</v>
      </c>
      <c r="D3848" s="2" t="s">
        <v>112</v>
      </c>
      <c r="E3848" s="5">
        <v>-30356</v>
      </c>
      <c r="F3848" s="3" t="s">
        <v>824</v>
      </c>
      <c r="G3848" s="3" t="s">
        <v>1826</v>
      </c>
      <c r="H3848" s="2" t="s">
        <v>29</v>
      </c>
      <c r="I3848" s="2" t="s">
        <v>8944</v>
      </c>
      <c r="J3848" s="3" t="str">
        <f>HYPERLINK("https://www.boe.es/gazeta/dias/1816/11/19/pdfs/GMD-1816-144.pdf#page=5","Abrir facsímil")</f>
        <v>Abrir facsímil</v>
      </c>
      <c r="K3848" s="3" t="s">
        <v>31</v>
      </c>
    </row>
    <row r="3849" spans="1:11" ht="42" customHeight="1">
      <c r="A3849" s="2" t="s">
        <v>8942</v>
      </c>
      <c r="B3849" s="2" t="s">
        <v>8943</v>
      </c>
      <c r="C3849" s="2" t="s">
        <v>111</v>
      </c>
      <c r="D3849" s="2" t="s">
        <v>112</v>
      </c>
      <c r="E3849" s="5">
        <v>-30352</v>
      </c>
      <c r="F3849" s="3" t="s">
        <v>407</v>
      </c>
      <c r="G3849" s="3" t="s">
        <v>42</v>
      </c>
      <c r="H3849" s="2" t="s">
        <v>29</v>
      </c>
      <c r="I3849" s="2" t="s">
        <v>8945</v>
      </c>
      <c r="J3849" s="3" t="str">
        <f>HYPERLINK("https://www.boe.es/gazeta/dias/1816/11/23/pdfs/GMD-1816-146.pdf#page=8","Abrir facsímil")</f>
        <v>Abrir facsímil</v>
      </c>
      <c r="K3849" s="3" t="s">
        <v>31</v>
      </c>
    </row>
    <row r="3850" spans="1:11" ht="42" customHeight="1">
      <c r="A3850" s="2" t="s">
        <v>8946</v>
      </c>
      <c r="B3850" s="2" t="s">
        <v>8947</v>
      </c>
      <c r="C3850" s="2" t="s">
        <v>111</v>
      </c>
      <c r="D3850" s="2" t="s">
        <v>112</v>
      </c>
      <c r="E3850" s="5">
        <v>-30384</v>
      </c>
      <c r="F3850" s="3" t="s">
        <v>460</v>
      </c>
      <c r="G3850" s="3" t="s">
        <v>103</v>
      </c>
      <c r="H3850" s="2" t="s">
        <v>21</v>
      </c>
      <c r="I3850" s="2" t="s">
        <v>8948</v>
      </c>
      <c r="J3850" s="3" t="str">
        <f>HYPERLINK("https://www.boe.es/gazeta/dias/1816/10/22/pdfs/GMD-1816-132.pdf#page=4","Abrir facsímil")</f>
        <v>Abrir facsímil</v>
      </c>
      <c r="K3850" s="3" t="s">
        <v>23</v>
      </c>
    </row>
    <row r="3851" spans="1:11" ht="42" customHeight="1">
      <c r="A3851" s="2" t="s">
        <v>8949</v>
      </c>
      <c r="B3851" s="2" t="s">
        <v>8950</v>
      </c>
      <c r="C3851" s="2" t="s">
        <v>34</v>
      </c>
      <c r="D3851" s="2" t="s">
        <v>35</v>
      </c>
      <c r="E3851" s="5">
        <v>-30338</v>
      </c>
      <c r="F3851" s="3" t="s">
        <v>464</v>
      </c>
      <c r="G3851" s="3" t="s">
        <v>42</v>
      </c>
      <c r="H3851" s="2" t="s">
        <v>21</v>
      </c>
      <c r="I3851" s="2" t="s">
        <v>8951</v>
      </c>
      <c r="J3851" s="3" t="str">
        <f>HYPERLINK("https://www.boe.es/gazeta/dias/1816/12/07/pdfs/GMD-1816-152.pdf#page=8","Abrir facsímil")</f>
        <v>Abrir facsímil</v>
      </c>
      <c r="K3851" s="3" t="s">
        <v>23</v>
      </c>
    </row>
    <row r="3852" spans="1:11" ht="42" customHeight="1">
      <c r="A3852" s="2" t="s">
        <v>8952</v>
      </c>
      <c r="B3852" s="2" t="s">
        <v>8953</v>
      </c>
      <c r="C3852" s="2" t="s">
        <v>34</v>
      </c>
      <c r="D3852" s="2" t="s">
        <v>35</v>
      </c>
      <c r="E3852" s="5">
        <v>-30594</v>
      </c>
      <c r="F3852" s="3" t="s">
        <v>234</v>
      </c>
      <c r="G3852" s="3" t="s">
        <v>42</v>
      </c>
      <c r="H3852" s="2" t="s">
        <v>21</v>
      </c>
      <c r="I3852" s="2" t="s">
        <v>8954</v>
      </c>
      <c r="J3852" s="3" t="str">
        <f>HYPERLINK("https://www.boe.es/gazeta/dias/1816/03/26/pdfs/GMD-1816-40.pdf#page=8","Abrir facsímil")</f>
        <v>Abrir facsímil</v>
      </c>
      <c r="K3852" s="3" t="s">
        <v>23</v>
      </c>
    </row>
    <row r="3853" spans="1:11" ht="42" customHeight="1">
      <c r="A3853" s="2" t="s">
        <v>8952</v>
      </c>
      <c r="B3853" s="2" t="s">
        <v>8953</v>
      </c>
      <c r="C3853" s="2" t="s">
        <v>34</v>
      </c>
      <c r="D3853" s="2" t="s">
        <v>35</v>
      </c>
      <c r="E3853" s="5">
        <v>-30580</v>
      </c>
      <c r="F3853" s="3" t="s">
        <v>107</v>
      </c>
      <c r="G3853" s="3" t="s">
        <v>72</v>
      </c>
      <c r="H3853" s="2" t="s">
        <v>21</v>
      </c>
      <c r="I3853" s="2" t="s">
        <v>8955</v>
      </c>
      <c r="J3853" s="3" t="str">
        <f>HYPERLINK("https://www.boe.es/gazeta/dias/1816/04/09/pdfs/GMD-1816-46.pdf#page=7","Abrir facsímil")</f>
        <v>Abrir facsímil</v>
      </c>
      <c r="K3853" s="3" t="s">
        <v>23</v>
      </c>
    </row>
    <row r="3854" spans="1:11" ht="42" customHeight="1">
      <c r="A3854" s="2" t="s">
        <v>8956</v>
      </c>
      <c r="B3854" s="2" t="s">
        <v>8957</v>
      </c>
      <c r="C3854" s="2" t="s">
        <v>111</v>
      </c>
      <c r="D3854" s="2" t="s">
        <v>112</v>
      </c>
      <c r="E3854" s="5">
        <v>-30317</v>
      </c>
      <c r="F3854" s="3" t="s">
        <v>1030</v>
      </c>
      <c r="G3854" s="3" t="s">
        <v>1409</v>
      </c>
      <c r="H3854" s="2" t="s">
        <v>21</v>
      </c>
      <c r="I3854" s="2" t="s">
        <v>8958</v>
      </c>
      <c r="J3854" s="3" t="str">
        <f>HYPERLINK("https://www.boe.es/gazeta/dias/1816/12/28/pdfs/GMD-1816-161.pdf#page=8","Abrir facsímil")</f>
        <v>Abrir facsímil</v>
      </c>
      <c r="K3854" s="3" t="s">
        <v>23</v>
      </c>
    </row>
    <row r="3855" spans="1:11" ht="42" customHeight="1">
      <c r="A3855" s="2" t="s">
        <v>8959</v>
      </c>
      <c r="B3855" s="2" t="s">
        <v>8960</v>
      </c>
      <c r="C3855" s="2" t="s">
        <v>67</v>
      </c>
      <c r="D3855" s="2" t="s">
        <v>18</v>
      </c>
      <c r="E3855" s="5">
        <v>-30492</v>
      </c>
      <c r="F3855" s="3" t="s">
        <v>248</v>
      </c>
      <c r="G3855" s="3" t="s">
        <v>103</v>
      </c>
      <c r="H3855" s="2" t="s">
        <v>21</v>
      </c>
      <c r="I3855" s="2" t="s">
        <v>8961</v>
      </c>
      <c r="J3855" s="3" t="str">
        <f>HYPERLINK("https://www.boe.es/gazeta/dias/1816/07/06/pdfs/GMD-1816-84.pdf#page=4","Abrir facsímil")</f>
        <v>Abrir facsímil</v>
      </c>
      <c r="K3855" s="3" t="s">
        <v>23</v>
      </c>
    </row>
    <row r="3856" spans="1:11" ht="42" customHeight="1">
      <c r="A3856" s="2" t="s">
        <v>8962</v>
      </c>
      <c r="B3856" s="2" t="s">
        <v>8963</v>
      </c>
      <c r="C3856" s="2" t="s">
        <v>34</v>
      </c>
      <c r="D3856" s="2" t="s">
        <v>35</v>
      </c>
      <c r="E3856" s="5">
        <v>-30410</v>
      </c>
      <c r="F3856" s="3" t="s">
        <v>1259</v>
      </c>
      <c r="G3856" s="3" t="s">
        <v>175</v>
      </c>
      <c r="H3856" s="2" t="s">
        <v>21</v>
      </c>
      <c r="I3856" s="2" t="s">
        <v>8964</v>
      </c>
      <c r="J3856" s="3" t="str">
        <f>HYPERLINK("https://www.boe.es/gazeta/dias/1816/09/26/pdfs/GMD-1816-119.pdf#page=11","Abrir facsímil")</f>
        <v>Abrir facsímil</v>
      </c>
      <c r="K3856" s="3" t="s">
        <v>23</v>
      </c>
    </row>
    <row r="3857" spans="1:11" ht="42" customHeight="1">
      <c r="A3857" s="2" t="s">
        <v>8965</v>
      </c>
      <c r="B3857" s="2" t="s">
        <v>8966</v>
      </c>
      <c r="C3857" s="2" t="s">
        <v>34</v>
      </c>
      <c r="D3857" s="2" t="s">
        <v>35</v>
      </c>
      <c r="E3857" s="5">
        <v>-30345</v>
      </c>
      <c r="F3857" s="3" t="s">
        <v>1382</v>
      </c>
      <c r="G3857" s="3" t="s">
        <v>103</v>
      </c>
      <c r="H3857" s="2" t="s">
        <v>21</v>
      </c>
      <c r="I3857" s="2" t="s">
        <v>8967</v>
      </c>
      <c r="J3857" s="3" t="str">
        <f>HYPERLINK("https://www.boe.es/gazeta/dias/1816/11/30/pdfs/GMD-1816-149.pdf#page=4","Abrir facsímil")</f>
        <v>Abrir facsímil</v>
      </c>
      <c r="K3857" s="3" t="s">
        <v>23</v>
      </c>
    </row>
    <row r="3858" spans="1:11" ht="42" customHeight="1">
      <c r="A3858" s="2" t="s">
        <v>8968</v>
      </c>
      <c r="B3858" s="2" t="s">
        <v>8969</v>
      </c>
      <c r="C3858" s="2" t="s">
        <v>111</v>
      </c>
      <c r="D3858" s="2" t="s">
        <v>112</v>
      </c>
      <c r="E3858" s="5">
        <v>-30391</v>
      </c>
      <c r="F3858" s="3" t="s">
        <v>482</v>
      </c>
      <c r="G3858" s="3" t="s">
        <v>3258</v>
      </c>
      <c r="H3858" s="2" t="s">
        <v>29</v>
      </c>
      <c r="I3858" s="2" t="s">
        <v>8970</v>
      </c>
      <c r="J3858" s="3" t="str">
        <f>HYPERLINK("https://www.boe.es/gazeta/dias/1816/10/15/pdfs/GMD-1816-129.pdf#page=8","Abrir facsímil")</f>
        <v>Abrir facsímil</v>
      </c>
      <c r="K3858" s="3" t="s">
        <v>31</v>
      </c>
    </row>
    <row r="3859" spans="1:11" ht="42" customHeight="1">
      <c r="A3859" s="2" t="s">
        <v>8971</v>
      </c>
      <c r="B3859" s="2" t="s">
        <v>8972</v>
      </c>
      <c r="C3859" s="2" t="s">
        <v>26</v>
      </c>
      <c r="D3859" s="2" t="s">
        <v>56</v>
      </c>
      <c r="E3859" s="5">
        <v>-30393</v>
      </c>
      <c r="F3859" s="3" t="s">
        <v>202</v>
      </c>
      <c r="G3859" s="3" t="s">
        <v>834</v>
      </c>
      <c r="H3859" s="2" t="s">
        <v>21</v>
      </c>
      <c r="I3859" s="2" t="s">
        <v>8973</v>
      </c>
      <c r="J3859" s="3" t="str">
        <f>HYPERLINK("https://www.boe.es/gazeta/dias/1816/10/13/pdfs/GMD-1816-128E.pdf#page=6","Abrir facsímil")</f>
        <v>Abrir facsímil</v>
      </c>
      <c r="K3859" s="3" t="s">
        <v>23</v>
      </c>
    </row>
    <row r="3860" spans="1:11" ht="42" customHeight="1">
      <c r="A3860" s="2" t="s">
        <v>8974</v>
      </c>
      <c r="B3860" s="2" t="s">
        <v>8975</v>
      </c>
      <c r="C3860" s="2" t="s">
        <v>26</v>
      </c>
      <c r="D3860" s="2" t="s">
        <v>56</v>
      </c>
      <c r="E3860" s="5">
        <v>-30393</v>
      </c>
      <c r="F3860" s="3" t="s">
        <v>202</v>
      </c>
      <c r="G3860" s="3" t="s">
        <v>203</v>
      </c>
      <c r="H3860" s="2" t="s">
        <v>21</v>
      </c>
      <c r="I3860" s="2" t="s">
        <v>8976</v>
      </c>
      <c r="J3860" s="3" t="str">
        <f>HYPERLINK("https://www.boe.es/gazeta/dias/1816/10/13/pdfs/GMD-1816-128E.pdf#page=7","Abrir facsímil")</f>
        <v>Abrir facsímil</v>
      </c>
      <c r="K3860" s="3" t="s">
        <v>23</v>
      </c>
    </row>
    <row r="3861" spans="1:11" ht="42" customHeight="1">
      <c r="A3861" s="2" t="s">
        <v>8977</v>
      </c>
      <c r="B3861" s="2" t="s">
        <v>8978</v>
      </c>
      <c r="C3861" s="2" t="s">
        <v>111</v>
      </c>
      <c r="D3861" s="2" t="s">
        <v>112</v>
      </c>
      <c r="E3861" s="5">
        <v>-30366</v>
      </c>
      <c r="F3861" s="3" t="s">
        <v>179</v>
      </c>
      <c r="G3861" s="3" t="s">
        <v>52</v>
      </c>
      <c r="H3861" s="2" t="s">
        <v>21</v>
      </c>
      <c r="I3861" s="2" t="s">
        <v>8979</v>
      </c>
      <c r="J3861" s="3" t="str">
        <f>HYPERLINK("https://www.boe.es/gazeta/dias/1816/11/09/pdfs/GMD-1816-140.pdf#page=12","Abrir facsímil")</f>
        <v>Abrir facsímil</v>
      </c>
      <c r="K3861" s="3" t="s">
        <v>23</v>
      </c>
    </row>
    <row r="3862" spans="1:11" ht="42" customHeight="1">
      <c r="A3862" s="2" t="s">
        <v>8980</v>
      </c>
      <c r="B3862" s="2" t="s">
        <v>8980</v>
      </c>
      <c r="C3862" s="2" t="s">
        <v>34</v>
      </c>
      <c r="D3862" s="2" t="s">
        <v>35</v>
      </c>
      <c r="E3862" s="5">
        <v>-30454</v>
      </c>
      <c r="F3862" s="3" t="s">
        <v>188</v>
      </c>
      <c r="G3862" s="3" t="s">
        <v>103</v>
      </c>
      <c r="H3862" s="2" t="s">
        <v>21</v>
      </c>
      <c r="I3862" s="2" t="s">
        <v>8981</v>
      </c>
      <c r="J3862" s="3" t="str">
        <f>HYPERLINK("https://www.boe.es/gazeta/dias/1816/08/13/pdfs/GMD-1816-100.pdf#page=4","Abrir facsímil")</f>
        <v>Abrir facsímil</v>
      </c>
      <c r="K3862" s="3" t="s">
        <v>23</v>
      </c>
    </row>
    <row r="3863" spans="1:11" ht="42" customHeight="1">
      <c r="A3863" s="2" t="s">
        <v>8982</v>
      </c>
      <c r="B3863" s="2" t="s">
        <v>8983</v>
      </c>
      <c r="C3863" s="2" t="s">
        <v>26</v>
      </c>
      <c r="D3863" s="2" t="s">
        <v>56</v>
      </c>
      <c r="E3863" s="5">
        <v>-30393</v>
      </c>
      <c r="F3863" s="3" t="s">
        <v>202</v>
      </c>
      <c r="G3863" s="3" t="s">
        <v>834</v>
      </c>
      <c r="H3863" s="2" t="s">
        <v>21</v>
      </c>
      <c r="I3863" s="2" t="s">
        <v>8984</v>
      </c>
      <c r="J3863" s="3" t="str">
        <f>HYPERLINK("https://www.boe.es/gazeta/dias/1816/10/13/pdfs/GMD-1816-128E.pdf#page=6","Abrir facsímil")</f>
        <v>Abrir facsímil</v>
      </c>
      <c r="K3863" s="3" t="s">
        <v>23</v>
      </c>
    </row>
    <row r="3864" spans="1:11" ht="42" customHeight="1">
      <c r="A3864" s="2" t="s">
        <v>8985</v>
      </c>
      <c r="B3864" s="2" t="s">
        <v>8986</v>
      </c>
      <c r="C3864" s="2" t="s">
        <v>34</v>
      </c>
      <c r="D3864" s="2" t="s">
        <v>35</v>
      </c>
      <c r="E3864" s="5">
        <v>-30573</v>
      </c>
      <c r="F3864" s="3" t="s">
        <v>840</v>
      </c>
      <c r="G3864" s="3" t="s">
        <v>4262</v>
      </c>
      <c r="H3864" s="2" t="s">
        <v>21</v>
      </c>
      <c r="I3864" s="2" t="s">
        <v>8987</v>
      </c>
      <c r="J3864" s="3" t="str">
        <f>HYPERLINK("https://www.boe.es/gazeta/dias/1816/04/16/pdfs/GMD-1816-49.pdf#page=6","Abrir facsímil")</f>
        <v>Abrir facsímil</v>
      </c>
      <c r="K3864" s="3" t="s">
        <v>23</v>
      </c>
    </row>
    <row r="3865" spans="1:11" ht="42" customHeight="1">
      <c r="A3865" s="2" t="s">
        <v>8985</v>
      </c>
      <c r="B3865" s="2" t="s">
        <v>8986</v>
      </c>
      <c r="C3865" s="2" t="s">
        <v>111</v>
      </c>
      <c r="D3865" s="2" t="s">
        <v>112</v>
      </c>
      <c r="E3865" s="5">
        <v>-30319</v>
      </c>
      <c r="F3865" s="3" t="s">
        <v>131</v>
      </c>
      <c r="G3865" s="3" t="s">
        <v>4599</v>
      </c>
      <c r="H3865" s="2" t="s">
        <v>21</v>
      </c>
      <c r="I3865" s="2" t="s">
        <v>8988</v>
      </c>
      <c r="J3865" s="3" t="str">
        <f>HYPERLINK("https://www.boe.es/gazeta/dias/1816/12/26/pdfs/GMD-1816-160.pdf#page=5","Abrir facsímil")</f>
        <v>Abrir facsímil</v>
      </c>
      <c r="K3865" s="3" t="s">
        <v>23</v>
      </c>
    </row>
    <row r="3866" spans="1:11" ht="42" customHeight="1">
      <c r="A3866" s="2" t="s">
        <v>8989</v>
      </c>
      <c r="B3866" s="2" t="s">
        <v>8990</v>
      </c>
      <c r="C3866" s="2" t="s">
        <v>111</v>
      </c>
      <c r="D3866" s="2" t="s">
        <v>112</v>
      </c>
      <c r="E3866" s="5">
        <v>-30655</v>
      </c>
      <c r="F3866" s="3" t="s">
        <v>170</v>
      </c>
      <c r="G3866" s="3" t="s">
        <v>42</v>
      </c>
      <c r="H3866" s="2" t="s">
        <v>21</v>
      </c>
      <c r="I3866" s="2" t="s">
        <v>8991</v>
      </c>
      <c r="J3866" s="3" t="str">
        <f>HYPERLINK("https://www.boe.es/gazeta/dias/1816/01/25/pdfs/GMD-1816-11.pdf#page=8","Abrir facsímil")</f>
        <v>Abrir facsímil</v>
      </c>
      <c r="K3866" s="3" t="s">
        <v>23</v>
      </c>
    </row>
    <row r="3867" spans="1:11" ht="42" customHeight="1">
      <c r="A3867" s="2" t="s">
        <v>8992</v>
      </c>
      <c r="B3867" s="2" t="s">
        <v>8993</v>
      </c>
      <c r="C3867" s="2" t="s">
        <v>34</v>
      </c>
      <c r="D3867" s="2" t="s">
        <v>35</v>
      </c>
      <c r="E3867" s="5">
        <v>-30580</v>
      </c>
      <c r="F3867" s="3" t="s">
        <v>107</v>
      </c>
      <c r="G3867" s="3" t="s">
        <v>28</v>
      </c>
      <c r="H3867" s="2" t="s">
        <v>21</v>
      </c>
      <c r="I3867" s="2" t="s">
        <v>8994</v>
      </c>
      <c r="J3867" s="3" t="str">
        <f>HYPERLINK("https://www.boe.es/gazeta/dias/1816/04/09/pdfs/GMD-1816-46.pdf#page=6","Abrir facsímil")</f>
        <v>Abrir facsímil</v>
      </c>
      <c r="K3867" s="3" t="s">
        <v>23</v>
      </c>
    </row>
    <row r="3868" spans="1:11" ht="42" customHeight="1">
      <c r="A3868" s="2" t="s">
        <v>8995</v>
      </c>
      <c r="B3868" s="2" t="s">
        <v>8995</v>
      </c>
      <c r="C3868" s="2" t="s">
        <v>34</v>
      </c>
      <c r="D3868" s="2" t="s">
        <v>35</v>
      </c>
      <c r="E3868" s="5">
        <v>-30571</v>
      </c>
      <c r="F3868" s="3" t="s">
        <v>738</v>
      </c>
      <c r="G3868" s="3" t="s">
        <v>72</v>
      </c>
      <c r="H3868" s="2" t="s">
        <v>21</v>
      </c>
      <c r="I3868" s="2" t="s">
        <v>8996</v>
      </c>
      <c r="J3868" s="3" t="str">
        <f>HYPERLINK("https://www.boe.es/gazeta/dias/1816/04/18/pdfs/GMD-1816-50.pdf#page=7","Abrir facsímil")</f>
        <v>Abrir facsímil</v>
      </c>
      <c r="K3868" s="3" t="s">
        <v>23</v>
      </c>
    </row>
    <row r="3869" spans="1:11" ht="42" customHeight="1">
      <c r="A3869" s="2" t="s">
        <v>8997</v>
      </c>
      <c r="B3869" s="2" t="s">
        <v>8997</v>
      </c>
      <c r="C3869" s="2" t="s">
        <v>26</v>
      </c>
      <c r="D3869" s="2" t="s">
        <v>18</v>
      </c>
      <c r="E3869" s="5">
        <v>-30571</v>
      </c>
      <c r="F3869" s="3" t="s">
        <v>738</v>
      </c>
      <c r="G3869" s="3" t="s">
        <v>72</v>
      </c>
      <c r="H3869" s="2" t="s">
        <v>21</v>
      </c>
      <c r="I3869" s="2" t="s">
        <v>8998</v>
      </c>
      <c r="J3869" s="3" t="str">
        <f>HYPERLINK("https://www.boe.es/gazeta/dias/1816/04/18/pdfs/GMD-1816-50.pdf#page=7","Abrir facsímil")</f>
        <v>Abrir facsímil</v>
      </c>
      <c r="K3869" s="3" t="s">
        <v>23</v>
      </c>
    </row>
    <row r="3870" spans="1:11" ht="42" customHeight="1">
      <c r="A3870" s="2" t="s">
        <v>8997</v>
      </c>
      <c r="B3870" s="2" t="s">
        <v>8997</v>
      </c>
      <c r="C3870" s="2" t="s">
        <v>34</v>
      </c>
      <c r="D3870" s="2" t="s">
        <v>35</v>
      </c>
      <c r="E3870" s="5">
        <v>-30566</v>
      </c>
      <c r="F3870" s="3" t="s">
        <v>113</v>
      </c>
      <c r="G3870" s="3" t="s">
        <v>42</v>
      </c>
      <c r="H3870" s="2" t="s">
        <v>21</v>
      </c>
      <c r="I3870" s="2" t="s">
        <v>8999</v>
      </c>
      <c r="J3870" s="3" t="str">
        <f>HYPERLINK("https://www.boe.es/gazeta/dias/1816/04/23/pdfs/GMD-1816-52.pdf#page=8","Abrir facsímil")</f>
        <v>Abrir facsímil</v>
      </c>
      <c r="K3870" s="3" t="s">
        <v>23</v>
      </c>
    </row>
    <row r="3871" spans="1:11" ht="42" customHeight="1">
      <c r="A3871" s="2" t="s">
        <v>8997</v>
      </c>
      <c r="B3871" s="2" t="s">
        <v>8997</v>
      </c>
      <c r="C3871" s="2" t="s">
        <v>34</v>
      </c>
      <c r="D3871" s="2" t="s">
        <v>35</v>
      </c>
      <c r="E3871" s="5">
        <v>-30541</v>
      </c>
      <c r="F3871" s="3" t="s">
        <v>96</v>
      </c>
      <c r="G3871" s="3" t="s">
        <v>42</v>
      </c>
      <c r="H3871" s="2" t="s">
        <v>21</v>
      </c>
      <c r="I3871" s="2" t="s">
        <v>9000</v>
      </c>
      <c r="J3871" s="3" t="str">
        <f>HYPERLINK("https://www.boe.es/gazeta/dias/1816/05/18/pdfs/GMD-1816-63.pdf#page=8","Abrir facsímil")</f>
        <v>Abrir facsímil</v>
      </c>
      <c r="K3871" s="3" t="s">
        <v>23</v>
      </c>
    </row>
    <row r="3872" spans="1:11" ht="42" customHeight="1">
      <c r="A3872" s="2" t="s">
        <v>9001</v>
      </c>
      <c r="B3872" s="2" t="s">
        <v>9002</v>
      </c>
      <c r="C3872" s="2" t="s">
        <v>17</v>
      </c>
      <c r="D3872" s="2" t="s">
        <v>18</v>
      </c>
      <c r="E3872" s="5">
        <v>-30450</v>
      </c>
      <c r="F3872" s="3" t="s">
        <v>349</v>
      </c>
      <c r="G3872" s="3" t="s">
        <v>42</v>
      </c>
      <c r="H3872" s="2" t="s">
        <v>21</v>
      </c>
      <c r="I3872" s="2" t="s">
        <v>9003</v>
      </c>
      <c r="J3872" s="3" t="str">
        <f>HYPERLINK("https://www.boe.es/gazeta/dias/1816/08/17/pdfs/GMD-1816-102.pdf#page=8","Abrir facsímil")</f>
        <v>Abrir facsímil</v>
      </c>
      <c r="K3872" s="3" t="s">
        <v>23</v>
      </c>
    </row>
    <row r="3873" spans="1:11" ht="42" customHeight="1">
      <c r="A3873" s="2" t="s">
        <v>9004</v>
      </c>
      <c r="B3873" s="2" t="s">
        <v>9005</v>
      </c>
      <c r="C3873" s="2" t="s">
        <v>34</v>
      </c>
      <c r="D3873" s="2" t="s">
        <v>35</v>
      </c>
      <c r="E3873" s="5">
        <v>-30405</v>
      </c>
      <c r="F3873" s="3" t="s">
        <v>587</v>
      </c>
      <c r="G3873" s="3" t="s">
        <v>47</v>
      </c>
      <c r="H3873" s="2" t="s">
        <v>21</v>
      </c>
      <c r="I3873" s="2" t="s">
        <v>9006</v>
      </c>
      <c r="J3873" s="3" t="str">
        <f>HYPERLINK("https://www.boe.es/gazeta/dias/1816/10/01/pdfs/GMD-1816-121.pdf#page=5","Abrir facsímil")</f>
        <v>Abrir facsímil</v>
      </c>
      <c r="K3873" s="3" t="s">
        <v>23</v>
      </c>
    </row>
    <row r="3874" spans="1:11" ht="42" customHeight="1">
      <c r="A3874" s="2" t="s">
        <v>9007</v>
      </c>
      <c r="B3874" s="2" t="s">
        <v>9008</v>
      </c>
      <c r="C3874" s="2" t="s">
        <v>34</v>
      </c>
      <c r="D3874" s="2" t="s">
        <v>56</v>
      </c>
      <c r="E3874" s="5">
        <v>-30393</v>
      </c>
      <c r="F3874" s="3" t="s">
        <v>202</v>
      </c>
      <c r="G3874" s="3" t="s">
        <v>184</v>
      </c>
      <c r="H3874" s="2" t="s">
        <v>29</v>
      </c>
      <c r="I3874" s="2" t="s">
        <v>9009</v>
      </c>
      <c r="J3874" s="3" t="str">
        <f>HYPERLINK("https://www.boe.es/gazeta/dias/1816/10/13/pdfs/GMD-1816-128E.pdf#page=3","Abrir facsímil")</f>
        <v>Abrir facsímil</v>
      </c>
      <c r="K3874" s="3" t="s">
        <v>31</v>
      </c>
    </row>
    <row r="3875" spans="1:11" ht="42" customHeight="1">
      <c r="A3875" s="2" t="s">
        <v>9010</v>
      </c>
      <c r="B3875" s="2" t="s">
        <v>9011</v>
      </c>
      <c r="C3875" s="2" t="s">
        <v>111</v>
      </c>
      <c r="D3875" s="2" t="s">
        <v>112</v>
      </c>
      <c r="E3875" s="5">
        <v>-30375</v>
      </c>
      <c r="F3875" s="3" t="s">
        <v>404</v>
      </c>
      <c r="G3875" s="3" t="s">
        <v>3038</v>
      </c>
      <c r="H3875" s="2" t="s">
        <v>29</v>
      </c>
      <c r="I3875" s="2" t="s">
        <v>9012</v>
      </c>
      <c r="J3875" s="3" t="str">
        <f>HYPERLINK("https://www.boe.es/gazeta/dias/1816/10/31/pdfs/GMD-1816-136.pdf#page=8","Abrir facsímil")</f>
        <v>Abrir facsímil</v>
      </c>
      <c r="K3875" s="3" t="s">
        <v>31</v>
      </c>
    </row>
    <row r="3876" spans="1:11" ht="42" customHeight="1">
      <c r="A3876" s="2" t="s">
        <v>9010</v>
      </c>
      <c r="B3876" s="2" t="s">
        <v>9011</v>
      </c>
      <c r="C3876" s="2" t="s">
        <v>26</v>
      </c>
      <c r="D3876" s="2" t="s">
        <v>18</v>
      </c>
      <c r="E3876" s="5">
        <v>-30317</v>
      </c>
      <c r="F3876" s="3" t="s">
        <v>1030</v>
      </c>
      <c r="G3876" s="3" t="s">
        <v>1031</v>
      </c>
      <c r="H3876" s="2" t="s">
        <v>29</v>
      </c>
      <c r="I3876" s="2" t="s">
        <v>9013</v>
      </c>
      <c r="J3876" s="3" t="str">
        <f>HYPERLINK("https://www.boe.es/gazeta/dias/1816/12/28/pdfs/GMD-1816-161.pdf#page=6","Abrir facsímil")</f>
        <v>Abrir facsímil</v>
      </c>
      <c r="K3876" s="3" t="s">
        <v>31</v>
      </c>
    </row>
    <row r="3877" spans="1:11" ht="42" customHeight="1">
      <c r="A3877" s="2" t="s">
        <v>9010</v>
      </c>
      <c r="B3877" s="2" t="s">
        <v>9011</v>
      </c>
      <c r="C3877" s="2" t="s">
        <v>111</v>
      </c>
      <c r="D3877" s="2" t="s">
        <v>112</v>
      </c>
      <c r="E3877" s="5">
        <v>-30314</v>
      </c>
      <c r="F3877" s="3" t="s">
        <v>1899</v>
      </c>
      <c r="G3877" s="3" t="s">
        <v>184</v>
      </c>
      <c r="H3877" s="2" t="s">
        <v>29</v>
      </c>
      <c r="I3877" s="2" t="s">
        <v>9014</v>
      </c>
      <c r="J3877" s="3" t="str">
        <f>HYPERLINK("https://www.boe.es/gazeta/dias/1816/12/31/pdfs/GMD-1816-162.pdf#page=3","Abrir facsímil")</f>
        <v>Abrir facsímil</v>
      </c>
      <c r="K3877" s="3" t="s">
        <v>31</v>
      </c>
    </row>
    <row r="3878" spans="1:11" ht="42" customHeight="1">
      <c r="A3878" s="2" t="s">
        <v>9015</v>
      </c>
      <c r="B3878" s="2" t="s">
        <v>9016</v>
      </c>
      <c r="C3878" s="2" t="s">
        <v>34</v>
      </c>
      <c r="D3878" s="2" t="s">
        <v>35</v>
      </c>
      <c r="E3878" s="5">
        <v>-30391</v>
      </c>
      <c r="F3878" s="3" t="s">
        <v>482</v>
      </c>
      <c r="G3878" s="3" t="s">
        <v>28</v>
      </c>
      <c r="H3878" s="2" t="s">
        <v>21</v>
      </c>
      <c r="I3878" s="2" t="s">
        <v>9017</v>
      </c>
      <c r="J3878" s="3" t="str">
        <f>HYPERLINK("https://www.boe.es/gazeta/dias/1816/10/15/pdfs/GMD-1816-129.pdf#page=6","Abrir facsímil")</f>
        <v>Abrir facsímil</v>
      </c>
      <c r="K3878" s="3" t="s">
        <v>23</v>
      </c>
    </row>
    <row r="3879" spans="1:11" ht="42" customHeight="1">
      <c r="A3879" s="2" t="s">
        <v>9018</v>
      </c>
      <c r="B3879" s="2" t="s">
        <v>9019</v>
      </c>
      <c r="C3879" s="2" t="s">
        <v>26</v>
      </c>
      <c r="D3879" s="2" t="s">
        <v>18</v>
      </c>
      <c r="E3879" s="5">
        <v>-30592</v>
      </c>
      <c r="F3879" s="3" t="s">
        <v>236</v>
      </c>
      <c r="G3879" s="3" t="s">
        <v>92</v>
      </c>
      <c r="H3879" s="2" t="s">
        <v>21</v>
      </c>
      <c r="I3879" s="2" t="s">
        <v>9020</v>
      </c>
      <c r="J3879" s="3" t="str">
        <f>HYPERLINK("https://www.boe.es/gazeta/dias/1816/03/28/pdfs/GMD-1816-41.pdf#page=9","Abrir facsímil")</f>
        <v>Abrir facsímil</v>
      </c>
      <c r="K3879" s="3" t="s">
        <v>23</v>
      </c>
    </row>
    <row r="3880" spans="1:11" ht="42" customHeight="1">
      <c r="A3880" s="2" t="s">
        <v>9021</v>
      </c>
      <c r="B3880" s="2" t="s">
        <v>9022</v>
      </c>
      <c r="C3880" s="2" t="s">
        <v>67</v>
      </c>
      <c r="D3880" s="2" t="s">
        <v>18</v>
      </c>
      <c r="E3880" s="5">
        <v>-30636</v>
      </c>
      <c r="F3880" s="3" t="s">
        <v>82</v>
      </c>
      <c r="G3880" s="3" t="s">
        <v>83</v>
      </c>
      <c r="H3880" s="2" t="s">
        <v>29</v>
      </c>
      <c r="I3880" s="2" t="s">
        <v>9023</v>
      </c>
      <c r="J3880" s="3" t="str">
        <f>HYPERLINK("https://www.boe.es/gazeta/dias/1816/02/13/pdfs/GMD-1816-20.pdf#page=8","Abrir facsímil")</f>
        <v>Abrir facsímil</v>
      </c>
      <c r="K3880" s="3" t="s">
        <v>31</v>
      </c>
    </row>
    <row r="3881" spans="1:11" ht="42" customHeight="1">
      <c r="A3881" s="2" t="s">
        <v>9024</v>
      </c>
      <c r="B3881" s="2" t="s">
        <v>9025</v>
      </c>
      <c r="C3881" s="2" t="s">
        <v>111</v>
      </c>
      <c r="D3881" s="2" t="s">
        <v>112</v>
      </c>
      <c r="E3881" s="5">
        <v>-30576</v>
      </c>
      <c r="F3881" s="3" t="s">
        <v>353</v>
      </c>
      <c r="G3881" s="3" t="s">
        <v>72</v>
      </c>
      <c r="H3881" s="2" t="s">
        <v>21</v>
      </c>
      <c r="I3881" s="2" t="s">
        <v>9026</v>
      </c>
      <c r="J3881" s="3" t="str">
        <f>HYPERLINK("https://www.boe.es/gazeta/dias/1816/04/13/pdfs/GMD-1816-48.pdf#page=7","Abrir facsímil")</f>
        <v>Abrir facsímil</v>
      </c>
      <c r="K3881" s="3" t="s">
        <v>23</v>
      </c>
    </row>
    <row r="3882" spans="1:11" ht="42" customHeight="1">
      <c r="A3882" s="2" t="s">
        <v>9027</v>
      </c>
      <c r="B3882" s="2" t="s">
        <v>9028</v>
      </c>
      <c r="C3882" s="2" t="s">
        <v>67</v>
      </c>
      <c r="D3882" s="2" t="s">
        <v>18</v>
      </c>
      <c r="E3882" s="5">
        <v>-30492</v>
      </c>
      <c r="F3882" s="3" t="s">
        <v>248</v>
      </c>
      <c r="G3882" s="3" t="s">
        <v>92</v>
      </c>
      <c r="H3882" s="2" t="s">
        <v>21</v>
      </c>
      <c r="I3882" s="2" t="s">
        <v>9029</v>
      </c>
      <c r="J3882" s="3" t="str">
        <f>HYPERLINK("https://www.boe.es/gazeta/dias/1816/07/06/pdfs/GMD-1816-84.pdf#page=9","Abrir facsímil")</f>
        <v>Abrir facsímil</v>
      </c>
      <c r="K3882" s="3" t="s">
        <v>23</v>
      </c>
    </row>
    <row r="3883" spans="1:11" ht="42" customHeight="1">
      <c r="A3883" s="2" t="s">
        <v>9030</v>
      </c>
      <c r="B3883" s="2" t="s">
        <v>9031</v>
      </c>
      <c r="C3883" s="2" t="s">
        <v>26</v>
      </c>
      <c r="D3883" s="2" t="s">
        <v>18</v>
      </c>
      <c r="E3883" s="5">
        <v>-30503</v>
      </c>
      <c r="F3883" s="3" t="s">
        <v>1600</v>
      </c>
      <c r="G3883" s="3" t="s">
        <v>42</v>
      </c>
      <c r="H3883" s="2" t="s">
        <v>21</v>
      </c>
      <c r="I3883" s="2" t="s">
        <v>9032</v>
      </c>
      <c r="J3883" s="3" t="str">
        <f>HYPERLINK("https://www.boe.es/gazeta/dias/1816/06/25/pdfs/GMD-1816-79.pdf#page=8","Abrir facsímil")</f>
        <v>Abrir facsímil</v>
      </c>
      <c r="K3883" s="3" t="s">
        <v>23</v>
      </c>
    </row>
    <row r="3884" spans="1:11" ht="42" customHeight="1">
      <c r="A3884" s="2" t="s">
        <v>9033</v>
      </c>
      <c r="B3884" s="2" t="s">
        <v>9034</v>
      </c>
      <c r="C3884" s="2" t="s">
        <v>34</v>
      </c>
      <c r="D3884" s="2" t="s">
        <v>35</v>
      </c>
      <c r="E3884" s="5">
        <v>-30527</v>
      </c>
      <c r="F3884" s="3" t="s">
        <v>304</v>
      </c>
      <c r="G3884" s="3" t="s">
        <v>42</v>
      </c>
      <c r="H3884" s="2" t="s">
        <v>29</v>
      </c>
      <c r="I3884" s="2" t="s">
        <v>9035</v>
      </c>
      <c r="J3884" s="3" t="str">
        <f>HYPERLINK("https://www.boe.es/gazeta/dias/1816/06/01/pdfs/GMD-1816-69.pdf#page=8","Abrir facsímil")</f>
        <v>Abrir facsímil</v>
      </c>
      <c r="K3884" s="3" t="s">
        <v>31</v>
      </c>
    </row>
    <row r="3885" spans="1:11" ht="42" customHeight="1">
      <c r="A3885" s="2" t="s">
        <v>9036</v>
      </c>
      <c r="B3885" s="2" t="s">
        <v>9037</v>
      </c>
      <c r="C3885" s="2" t="s">
        <v>111</v>
      </c>
      <c r="D3885" s="2" t="s">
        <v>112</v>
      </c>
      <c r="E3885" s="5">
        <v>-30419</v>
      </c>
      <c r="F3885" s="3" t="s">
        <v>1256</v>
      </c>
      <c r="G3885" s="3" t="s">
        <v>270</v>
      </c>
      <c r="H3885" s="2" t="s">
        <v>21</v>
      </c>
      <c r="I3885" s="2" t="s">
        <v>9038</v>
      </c>
      <c r="J3885" s="3" t="str">
        <f>HYPERLINK("https://www.boe.es/gazeta/dias/1816/09/17/pdfs/GMD-1816-115.pdf#page=2","Abrir facsímil")</f>
        <v>Abrir facsímil</v>
      </c>
      <c r="K3885" s="3" t="s">
        <v>23</v>
      </c>
    </row>
    <row r="3886" spans="1:11" ht="42" customHeight="1">
      <c r="A3886" s="2" t="s">
        <v>9039</v>
      </c>
      <c r="B3886" s="2" t="s">
        <v>9040</v>
      </c>
      <c r="C3886" s="2" t="s">
        <v>67</v>
      </c>
      <c r="D3886" s="2" t="s">
        <v>18</v>
      </c>
      <c r="E3886" s="5">
        <v>-30555</v>
      </c>
      <c r="F3886" s="3" t="s">
        <v>345</v>
      </c>
      <c r="G3886" s="3" t="s">
        <v>270</v>
      </c>
      <c r="H3886" s="2" t="s">
        <v>21</v>
      </c>
      <c r="I3886" s="2" t="s">
        <v>9041</v>
      </c>
      <c r="J3886" s="3" t="str">
        <f>HYPERLINK("https://www.boe.es/gazeta/dias/1816/05/04/pdfs/GMD-1816-57.pdf#page=2","Abrir facsímil")</f>
        <v>Abrir facsímil</v>
      </c>
      <c r="K3886" s="3" t="s">
        <v>23</v>
      </c>
    </row>
    <row r="3887" spans="1:11" ht="42" customHeight="1">
      <c r="A3887" s="2" t="s">
        <v>9042</v>
      </c>
      <c r="B3887" s="2" t="s">
        <v>9043</v>
      </c>
      <c r="C3887" s="2" t="s">
        <v>111</v>
      </c>
      <c r="D3887" s="2" t="s">
        <v>112</v>
      </c>
      <c r="E3887" s="5">
        <v>-30499</v>
      </c>
      <c r="F3887" s="3" t="s">
        <v>971</v>
      </c>
      <c r="G3887" s="3" t="s">
        <v>184</v>
      </c>
      <c r="H3887" s="2" t="s">
        <v>21</v>
      </c>
      <c r="I3887" s="2" t="s">
        <v>9044</v>
      </c>
      <c r="J3887" s="3" t="str">
        <f>HYPERLINK("https://www.boe.es/gazeta/dias/1816/06/29/pdfs/GMD-1816-81.pdf#page=3","Abrir facsímil")</f>
        <v>Abrir facsímil</v>
      </c>
      <c r="K3887" s="3" t="s">
        <v>23</v>
      </c>
    </row>
    <row r="3888" spans="1:11" ht="42" customHeight="1">
      <c r="A3888" s="2" t="s">
        <v>9045</v>
      </c>
      <c r="B3888" s="2" t="s">
        <v>9046</v>
      </c>
      <c r="C3888" s="2" t="s">
        <v>26</v>
      </c>
      <c r="D3888" s="2" t="s">
        <v>18</v>
      </c>
      <c r="E3888" s="5">
        <v>-30492</v>
      </c>
      <c r="F3888" s="3" t="s">
        <v>248</v>
      </c>
      <c r="G3888" s="3" t="s">
        <v>103</v>
      </c>
      <c r="H3888" s="2" t="s">
        <v>29</v>
      </c>
      <c r="I3888" s="2" t="s">
        <v>9047</v>
      </c>
      <c r="J3888" s="3" t="str">
        <f>HYPERLINK("https://www.boe.es/gazeta/dias/1816/07/06/pdfs/GMD-1816-84.pdf#page=4","Abrir facsímil")</f>
        <v>Abrir facsímil</v>
      </c>
      <c r="K3888" s="3" t="s">
        <v>31</v>
      </c>
    </row>
    <row r="3889" spans="1:11" ht="42" customHeight="1">
      <c r="A3889" s="2" t="s">
        <v>9048</v>
      </c>
      <c r="B3889" s="2" t="s">
        <v>9049</v>
      </c>
      <c r="C3889" s="2" t="s">
        <v>34</v>
      </c>
      <c r="D3889" s="2" t="s">
        <v>35</v>
      </c>
      <c r="E3889" s="5">
        <v>-30578</v>
      </c>
      <c r="F3889" s="3" t="s">
        <v>91</v>
      </c>
      <c r="G3889" s="3" t="s">
        <v>286</v>
      </c>
      <c r="H3889" s="2" t="s">
        <v>21</v>
      </c>
      <c r="I3889" s="2" t="s">
        <v>9050</v>
      </c>
      <c r="J3889" s="3" t="str">
        <f>HYPERLINK("https://www.boe.es/gazeta/dias/1816/04/11/pdfs/GMD-1816-47.pdf#page=11","Abrir facsímil")</f>
        <v>Abrir facsímil</v>
      </c>
      <c r="K3889" s="3" t="s">
        <v>23</v>
      </c>
    </row>
    <row r="3890" spans="1:11" ht="42" customHeight="1">
      <c r="A3890" s="2" t="s">
        <v>9051</v>
      </c>
      <c r="B3890" s="2" t="s">
        <v>9052</v>
      </c>
      <c r="C3890" s="2" t="s">
        <v>111</v>
      </c>
      <c r="D3890" s="2" t="s">
        <v>112</v>
      </c>
      <c r="E3890" s="5">
        <v>-30366</v>
      </c>
      <c r="F3890" s="3" t="s">
        <v>179</v>
      </c>
      <c r="G3890" s="3" t="s">
        <v>28</v>
      </c>
      <c r="H3890" s="2" t="s">
        <v>21</v>
      </c>
      <c r="I3890" s="2" t="s">
        <v>9053</v>
      </c>
      <c r="J3890" s="3" t="str">
        <f>HYPERLINK("https://www.boe.es/gazeta/dias/1816/11/09/pdfs/GMD-1816-140.pdf#page=6","Abrir facsímil")</f>
        <v>Abrir facsímil</v>
      </c>
      <c r="K3890" s="3" t="s">
        <v>23</v>
      </c>
    </row>
    <row r="3891" spans="1:11" ht="42" customHeight="1">
      <c r="A3891" s="2" t="s">
        <v>9054</v>
      </c>
      <c r="B3891" s="2" t="s">
        <v>9055</v>
      </c>
      <c r="C3891" s="2" t="s">
        <v>26</v>
      </c>
      <c r="D3891" s="2" t="s">
        <v>18</v>
      </c>
      <c r="E3891" s="5">
        <v>-30580</v>
      </c>
      <c r="F3891" s="3" t="s">
        <v>107</v>
      </c>
      <c r="G3891" s="3" t="s">
        <v>72</v>
      </c>
      <c r="H3891" s="2" t="s">
        <v>21</v>
      </c>
      <c r="I3891" s="2" t="s">
        <v>9056</v>
      </c>
      <c r="J3891" s="3" t="str">
        <f>HYPERLINK("https://www.boe.es/gazeta/dias/1816/04/09/pdfs/GMD-1816-46.pdf#page=7","Abrir facsímil")</f>
        <v>Abrir facsímil</v>
      </c>
      <c r="K3891" s="3" t="s">
        <v>23</v>
      </c>
    </row>
    <row r="3892" spans="1:11" ht="42" customHeight="1">
      <c r="A3892" s="2" t="s">
        <v>9057</v>
      </c>
      <c r="B3892" s="2" t="s">
        <v>9058</v>
      </c>
      <c r="C3892" s="2" t="s">
        <v>41</v>
      </c>
      <c r="D3892" s="2" t="s">
        <v>18</v>
      </c>
      <c r="E3892" s="5">
        <v>-30328</v>
      </c>
      <c r="F3892" s="3" t="s">
        <v>573</v>
      </c>
      <c r="G3892" s="3" t="s">
        <v>42</v>
      </c>
      <c r="H3892" s="2" t="s">
        <v>21</v>
      </c>
      <c r="I3892" s="2" t="s">
        <v>9059</v>
      </c>
      <c r="J3892" s="3" t="str">
        <f>HYPERLINK("https://www.boe.es/gazeta/dias/1816/12/17/pdfs/GMD-1816-156.pdf#page=8","Abrir facsímil")</f>
        <v>Abrir facsímil</v>
      </c>
      <c r="K3892" s="3" t="s">
        <v>23</v>
      </c>
    </row>
    <row r="3893" spans="1:11" ht="42" customHeight="1">
      <c r="A3893" s="2" t="s">
        <v>9060</v>
      </c>
      <c r="B3893" s="2" t="s">
        <v>9061</v>
      </c>
      <c r="C3893" s="2" t="s">
        <v>34</v>
      </c>
      <c r="D3893" s="2" t="s">
        <v>35</v>
      </c>
      <c r="E3893" s="5">
        <v>-30667</v>
      </c>
      <c r="F3893" s="3" t="s">
        <v>659</v>
      </c>
      <c r="G3893" s="3" t="s">
        <v>1733</v>
      </c>
      <c r="H3893" s="2" t="s">
        <v>21</v>
      </c>
      <c r="I3893" s="2" t="s">
        <v>9062</v>
      </c>
      <c r="J3893" s="3" t="str">
        <f>HYPERLINK("https://www.boe.es/gazeta/dias/1816/01/13/pdfs/GMD-1816-6.pdf#page=7","Abrir facsímil")</f>
        <v>Abrir facsímil</v>
      </c>
      <c r="K3893" s="3" t="s">
        <v>23</v>
      </c>
    </row>
    <row r="3894" spans="1:11" ht="42" customHeight="1">
      <c r="A3894" s="2" t="s">
        <v>9063</v>
      </c>
      <c r="B3894" s="2" t="s">
        <v>9064</v>
      </c>
      <c r="C3894" s="2" t="s">
        <v>67</v>
      </c>
      <c r="D3894" s="2" t="s">
        <v>18</v>
      </c>
      <c r="E3894" s="5">
        <v>-30599</v>
      </c>
      <c r="F3894" s="3" t="s">
        <v>552</v>
      </c>
      <c r="G3894" s="3" t="s">
        <v>184</v>
      </c>
      <c r="H3894" s="2" t="s">
        <v>29</v>
      </c>
      <c r="I3894" s="2" t="s">
        <v>9065</v>
      </c>
      <c r="J3894" s="3" t="str">
        <f>HYPERLINK("https://www.boe.es/gazeta/dias/1816/03/21/pdfs/GMD-1816-38.pdf#page=3","Abrir facsímil")</f>
        <v>Abrir facsímil</v>
      </c>
      <c r="K3894" s="3" t="s">
        <v>31</v>
      </c>
    </row>
    <row r="3895" spans="1:11" ht="42" customHeight="1">
      <c r="A3895" s="2" t="s">
        <v>9066</v>
      </c>
      <c r="B3895" s="2" t="s">
        <v>9067</v>
      </c>
      <c r="C3895" s="2" t="s">
        <v>34</v>
      </c>
      <c r="D3895" s="2" t="s">
        <v>35</v>
      </c>
      <c r="E3895" s="5">
        <v>-30590</v>
      </c>
      <c r="F3895" s="3" t="s">
        <v>195</v>
      </c>
      <c r="G3895" s="3" t="s">
        <v>6226</v>
      </c>
      <c r="H3895" s="2" t="s">
        <v>21</v>
      </c>
      <c r="I3895" s="2" t="s">
        <v>9068</v>
      </c>
      <c r="J3895" s="3" t="str">
        <f>HYPERLINK("https://www.boe.es/gazeta/dias/1816/03/30/pdfs/GMD-1816-42.pdf#page=7","Abrir facsímil")</f>
        <v>Abrir facsímil</v>
      </c>
      <c r="K3895" s="3" t="s">
        <v>23</v>
      </c>
    </row>
    <row r="3896" spans="1:11" ht="42" customHeight="1">
      <c r="A3896" s="2" t="s">
        <v>9069</v>
      </c>
      <c r="B3896" s="2" t="s">
        <v>9070</v>
      </c>
      <c r="C3896" s="2" t="s">
        <v>111</v>
      </c>
      <c r="D3896" s="2" t="s">
        <v>112</v>
      </c>
      <c r="E3896" s="5">
        <v>-30384</v>
      </c>
      <c r="F3896" s="3" t="s">
        <v>460</v>
      </c>
      <c r="G3896" s="3" t="s">
        <v>103</v>
      </c>
      <c r="H3896" s="2" t="s">
        <v>21</v>
      </c>
      <c r="I3896" s="2" t="s">
        <v>9071</v>
      </c>
      <c r="J3896" s="3" t="str">
        <f>HYPERLINK("https://www.boe.es/gazeta/dias/1816/10/22/pdfs/GMD-1816-132.pdf#page=4","Abrir facsímil")</f>
        <v>Abrir facsímil</v>
      </c>
      <c r="K3896" s="3" t="s">
        <v>23</v>
      </c>
    </row>
    <row r="3897" spans="1:11" ht="42" customHeight="1">
      <c r="A3897" s="2" t="s">
        <v>9072</v>
      </c>
      <c r="B3897" s="2" t="s">
        <v>9073</v>
      </c>
      <c r="C3897" s="2" t="s">
        <v>26</v>
      </c>
      <c r="D3897" s="2" t="s">
        <v>18</v>
      </c>
      <c r="E3897" s="5">
        <v>-30674</v>
      </c>
      <c r="F3897" s="3" t="s">
        <v>19</v>
      </c>
      <c r="G3897" s="3" t="s">
        <v>28</v>
      </c>
      <c r="H3897" s="2" t="s">
        <v>21</v>
      </c>
      <c r="I3897" s="2" t="s">
        <v>9074</v>
      </c>
      <c r="J3897" s="3" t="str">
        <f>HYPERLINK("https://www.boe.es/gazeta/dias/1816/01/06/pdfs/GMD-1816-3.pdf#page=6","Abrir facsímil")</f>
        <v>Abrir facsímil</v>
      </c>
      <c r="K3897" s="3" t="s">
        <v>23</v>
      </c>
    </row>
    <row r="3898" spans="1:11" ht="42" customHeight="1">
      <c r="A3898" s="2" t="s">
        <v>9075</v>
      </c>
      <c r="B3898" s="2" t="s">
        <v>9076</v>
      </c>
      <c r="C3898" s="2" t="s">
        <v>67</v>
      </c>
      <c r="D3898" s="2" t="s">
        <v>18</v>
      </c>
      <c r="E3898" s="5">
        <v>-30594</v>
      </c>
      <c r="F3898" s="3" t="s">
        <v>234</v>
      </c>
      <c r="G3898" s="3" t="s">
        <v>42</v>
      </c>
      <c r="H3898" s="2" t="s">
        <v>21</v>
      </c>
      <c r="I3898" s="2" t="s">
        <v>9077</v>
      </c>
      <c r="J3898" s="3" t="str">
        <f>HYPERLINK("https://www.boe.es/gazeta/dias/1816/03/26/pdfs/GMD-1816-40.pdf#page=8","Abrir facsímil")</f>
        <v>Abrir facsímil</v>
      </c>
      <c r="K3898" s="3" t="s">
        <v>23</v>
      </c>
    </row>
    <row r="3899" spans="1:11" ht="42" customHeight="1">
      <c r="A3899" s="2" t="s">
        <v>9078</v>
      </c>
      <c r="B3899" s="2" t="s">
        <v>9079</v>
      </c>
      <c r="C3899" s="2" t="s">
        <v>34</v>
      </c>
      <c r="D3899" s="2" t="s">
        <v>35</v>
      </c>
      <c r="E3899" s="5">
        <v>-30580</v>
      </c>
      <c r="F3899" s="3" t="s">
        <v>107</v>
      </c>
      <c r="G3899" s="3" t="s">
        <v>28</v>
      </c>
      <c r="H3899" s="2" t="s">
        <v>21</v>
      </c>
      <c r="I3899" s="2" t="s">
        <v>9080</v>
      </c>
      <c r="J3899" s="3" t="str">
        <f>HYPERLINK("https://www.boe.es/gazeta/dias/1816/04/09/pdfs/GMD-1816-46.pdf#page=6","Abrir facsímil")</f>
        <v>Abrir facsímil</v>
      </c>
      <c r="K3899" s="3" t="s">
        <v>23</v>
      </c>
    </row>
    <row r="3900" spans="1:11" ht="42" customHeight="1">
      <c r="A3900" s="2" t="s">
        <v>9081</v>
      </c>
      <c r="B3900" s="2" t="s">
        <v>9082</v>
      </c>
      <c r="C3900" s="2" t="s">
        <v>26</v>
      </c>
      <c r="D3900" s="2" t="s">
        <v>18</v>
      </c>
      <c r="E3900" s="5">
        <v>-30585</v>
      </c>
      <c r="F3900" s="3" t="s">
        <v>633</v>
      </c>
      <c r="G3900" s="3" t="s">
        <v>634</v>
      </c>
      <c r="H3900" s="2" t="s">
        <v>21</v>
      </c>
      <c r="I3900" s="2" t="s">
        <v>9083</v>
      </c>
      <c r="J3900" s="3" t="str">
        <f>HYPERLINK("https://www.boe.es/gazeta/dias/1816/04/04/pdfs/GMD-1816-44.pdf#page=6","Abrir facsímil")</f>
        <v>Abrir facsímil</v>
      </c>
      <c r="K3900" s="3" t="s">
        <v>23</v>
      </c>
    </row>
    <row r="3901" spans="1:11" ht="42" customHeight="1">
      <c r="A3901" s="2" t="s">
        <v>9084</v>
      </c>
      <c r="B3901" s="2" t="s">
        <v>9085</v>
      </c>
      <c r="C3901" s="2" t="s">
        <v>41</v>
      </c>
      <c r="D3901" s="2" t="s">
        <v>18</v>
      </c>
      <c r="E3901" s="5">
        <v>-30356</v>
      </c>
      <c r="F3901" s="3" t="s">
        <v>824</v>
      </c>
      <c r="G3901" s="3" t="s">
        <v>1826</v>
      </c>
      <c r="H3901" s="2" t="s">
        <v>29</v>
      </c>
      <c r="I3901" s="2" t="s">
        <v>9086</v>
      </c>
      <c r="J3901" s="3" t="str">
        <f>HYPERLINK("https://www.boe.es/gazeta/dias/1816/11/19/pdfs/GMD-1816-144.pdf#page=5","Abrir facsímil")</f>
        <v>Abrir facsímil</v>
      </c>
      <c r="K3901" s="3" t="s">
        <v>31</v>
      </c>
    </row>
    <row r="3902" spans="1:11" ht="42" customHeight="1">
      <c r="A3902" s="2" t="s">
        <v>9087</v>
      </c>
      <c r="B3902" s="2" t="s">
        <v>9088</v>
      </c>
      <c r="C3902" s="2" t="s">
        <v>34</v>
      </c>
      <c r="D3902" s="2" t="s">
        <v>35</v>
      </c>
      <c r="E3902" s="5">
        <v>-30564</v>
      </c>
      <c r="F3902" s="3" t="s">
        <v>963</v>
      </c>
      <c r="G3902" s="3" t="s">
        <v>47</v>
      </c>
      <c r="H3902" s="2" t="s">
        <v>21</v>
      </c>
      <c r="I3902" s="2" t="s">
        <v>9089</v>
      </c>
      <c r="J3902" s="3" t="str">
        <f>HYPERLINK("https://www.boe.es/gazeta/dias/1816/04/25/pdfs/GMD-1816-53.pdf#page=5","Abrir facsímil")</f>
        <v>Abrir facsímil</v>
      </c>
      <c r="K3902" s="3" t="s">
        <v>23</v>
      </c>
    </row>
    <row r="3903" spans="1:11" ht="42" customHeight="1">
      <c r="A3903" s="2" t="s">
        <v>9090</v>
      </c>
      <c r="B3903" s="2" t="s">
        <v>9091</v>
      </c>
      <c r="C3903" s="2" t="s">
        <v>34</v>
      </c>
      <c r="D3903" s="2" t="s">
        <v>35</v>
      </c>
      <c r="E3903" s="5">
        <v>-30405</v>
      </c>
      <c r="F3903" s="3" t="s">
        <v>587</v>
      </c>
      <c r="G3903" s="3" t="s">
        <v>47</v>
      </c>
      <c r="H3903" s="2" t="s">
        <v>21</v>
      </c>
      <c r="I3903" s="2" t="s">
        <v>9092</v>
      </c>
      <c r="J3903" s="3" t="str">
        <f>HYPERLINK("https://www.boe.es/gazeta/dias/1816/10/01/pdfs/GMD-1816-121.pdf#page=5","Abrir facsímil")</f>
        <v>Abrir facsímil</v>
      </c>
      <c r="K3903" s="3" t="s">
        <v>23</v>
      </c>
    </row>
    <row r="3904" spans="1:11" ht="42" customHeight="1">
      <c r="A3904" s="2" t="s">
        <v>9093</v>
      </c>
      <c r="B3904" s="2" t="s">
        <v>9094</v>
      </c>
      <c r="C3904" s="2" t="s">
        <v>26</v>
      </c>
      <c r="D3904" s="2" t="s">
        <v>56</v>
      </c>
      <c r="E3904" s="5">
        <v>-30393</v>
      </c>
      <c r="F3904" s="3" t="s">
        <v>202</v>
      </c>
      <c r="G3904" s="3" t="s">
        <v>47</v>
      </c>
      <c r="H3904" s="2" t="s">
        <v>29</v>
      </c>
      <c r="I3904" s="2" t="s">
        <v>9095</v>
      </c>
      <c r="J3904" s="3" t="str">
        <f>HYPERLINK("https://www.boe.es/gazeta/dias/1816/10/13/pdfs/GMD-1816-128E.pdf#page=5","Abrir facsímil")</f>
        <v>Abrir facsímil</v>
      </c>
      <c r="K3904" s="3" t="s">
        <v>31</v>
      </c>
    </row>
    <row r="3905" spans="1:11" ht="42" customHeight="1">
      <c r="A3905" s="2" t="s">
        <v>9096</v>
      </c>
      <c r="B3905" s="2" t="s">
        <v>9097</v>
      </c>
      <c r="C3905" s="2" t="s">
        <v>26</v>
      </c>
      <c r="D3905" s="2" t="s">
        <v>18</v>
      </c>
      <c r="E3905" s="5">
        <v>-30515</v>
      </c>
      <c r="F3905" s="3" t="s">
        <v>2452</v>
      </c>
      <c r="G3905" s="3" t="s">
        <v>47</v>
      </c>
      <c r="H3905" s="2" t="s">
        <v>21</v>
      </c>
      <c r="I3905" s="2" t="s">
        <v>9098</v>
      </c>
      <c r="J3905" s="3" t="str">
        <f>HYPERLINK("https://www.boe.es/gazeta/dias/1816/06/13/pdfs/GMD-1816-74.pdf#page=5","Abrir facsímil")</f>
        <v>Abrir facsímil</v>
      </c>
      <c r="K3905" s="3" t="s">
        <v>23</v>
      </c>
    </row>
    <row r="3906" spans="1:11" ht="42" customHeight="1">
      <c r="A3906" s="2" t="s">
        <v>9099</v>
      </c>
      <c r="B3906" s="2" t="s">
        <v>9100</v>
      </c>
      <c r="C3906" s="2" t="s">
        <v>34</v>
      </c>
      <c r="D3906" s="2" t="s">
        <v>35</v>
      </c>
      <c r="E3906" s="5">
        <v>-30501</v>
      </c>
      <c r="F3906" s="3" t="s">
        <v>475</v>
      </c>
      <c r="G3906" s="3" t="s">
        <v>28</v>
      </c>
      <c r="H3906" s="2" t="s">
        <v>21</v>
      </c>
      <c r="I3906" s="2" t="s">
        <v>9101</v>
      </c>
      <c r="J3906" s="3" t="str">
        <f>HYPERLINK("https://www.boe.es/gazeta/dias/1816/06/27/pdfs/GMD-1816-80.pdf#page=6","Abrir facsímil")</f>
        <v>Abrir facsímil</v>
      </c>
      <c r="K3906" s="3" t="s">
        <v>23</v>
      </c>
    </row>
    <row r="3907" spans="1:11" ht="42" customHeight="1">
      <c r="A3907" s="2" t="s">
        <v>9102</v>
      </c>
      <c r="B3907" s="2" t="s">
        <v>9103</v>
      </c>
      <c r="C3907" s="2" t="s">
        <v>26</v>
      </c>
      <c r="D3907" s="2" t="s">
        <v>18</v>
      </c>
      <c r="E3907" s="5">
        <v>-30496</v>
      </c>
      <c r="F3907" s="3" t="s">
        <v>290</v>
      </c>
      <c r="G3907" s="3" t="s">
        <v>47</v>
      </c>
      <c r="H3907" s="2" t="s">
        <v>21</v>
      </c>
      <c r="I3907" s="2" t="s">
        <v>9104</v>
      </c>
      <c r="J3907" s="3" t="str">
        <f>HYPERLINK("https://www.boe.es/gazeta/dias/1816/07/02/pdfs/GMD-1816-82.pdf#page=5","Abrir facsímil")</f>
        <v>Abrir facsímil</v>
      </c>
      <c r="K3907" s="3" t="s">
        <v>23</v>
      </c>
    </row>
    <row r="3908" spans="1:11" ht="42" customHeight="1">
      <c r="A3908" s="2" t="s">
        <v>9105</v>
      </c>
      <c r="B3908" s="2" t="s">
        <v>9106</v>
      </c>
      <c r="C3908" s="2" t="s">
        <v>387</v>
      </c>
      <c r="D3908" s="2" t="s">
        <v>18</v>
      </c>
      <c r="E3908" s="5">
        <v>-30492</v>
      </c>
      <c r="F3908" s="3" t="s">
        <v>248</v>
      </c>
      <c r="G3908" s="3" t="s">
        <v>28</v>
      </c>
      <c r="H3908" s="2" t="s">
        <v>21</v>
      </c>
      <c r="I3908" s="2" t="s">
        <v>9107</v>
      </c>
      <c r="J3908" s="3" t="str">
        <f>HYPERLINK("https://www.boe.es/gazeta/dias/1816/07/06/pdfs/GMD-1816-84.pdf#page=6","Abrir facsímil")</f>
        <v>Abrir facsímil</v>
      </c>
      <c r="K3908" s="3" t="s">
        <v>23</v>
      </c>
    </row>
    <row r="3909" spans="1:11" ht="42" customHeight="1">
      <c r="A3909" s="2" t="s">
        <v>9108</v>
      </c>
      <c r="B3909" s="2" t="s">
        <v>9109</v>
      </c>
      <c r="C3909" s="2" t="s">
        <v>111</v>
      </c>
      <c r="D3909" s="2" t="s">
        <v>112</v>
      </c>
      <c r="E3909" s="5">
        <v>-30676</v>
      </c>
      <c r="F3909" s="3" t="s">
        <v>1932</v>
      </c>
      <c r="G3909" s="3" t="s">
        <v>2724</v>
      </c>
      <c r="H3909" s="2" t="s">
        <v>21</v>
      </c>
      <c r="I3909" s="2" t="s">
        <v>9110</v>
      </c>
      <c r="J3909" s="3" t="str">
        <f>HYPERLINK("https://www.boe.es/gazeta/dias/1816/01/04/pdfs/GMD-1816-2.pdf#page=8","Abrir facsímil")</f>
        <v>Abrir facsímil</v>
      </c>
      <c r="K3909" s="3" t="s">
        <v>23</v>
      </c>
    </row>
    <row r="3910" spans="1:11" ht="42" customHeight="1">
      <c r="A3910" s="2" t="s">
        <v>9111</v>
      </c>
      <c r="B3910" s="2" t="s">
        <v>9112</v>
      </c>
      <c r="C3910" s="2" t="s">
        <v>26</v>
      </c>
      <c r="D3910" s="2" t="s">
        <v>18</v>
      </c>
      <c r="E3910" s="5">
        <v>-30524</v>
      </c>
      <c r="F3910" s="3" t="s">
        <v>98</v>
      </c>
      <c r="G3910" s="3" t="s">
        <v>1209</v>
      </c>
      <c r="H3910" s="2" t="s">
        <v>21</v>
      </c>
      <c r="I3910" s="2" t="s">
        <v>9113</v>
      </c>
      <c r="J3910" s="3" t="str">
        <f>HYPERLINK("https://www.boe.es/gazeta/dias/1816/06/04/pdfs/GMD-1816-70.pdf#page=8","Abrir facsímil")</f>
        <v>Abrir facsímil</v>
      </c>
      <c r="K3910" s="3" t="s">
        <v>23</v>
      </c>
    </row>
    <row r="3911" spans="1:11" ht="42" customHeight="1">
      <c r="A3911" s="2" t="s">
        <v>9111</v>
      </c>
      <c r="B3911" s="2" t="s">
        <v>9112</v>
      </c>
      <c r="C3911" s="2" t="s">
        <v>41</v>
      </c>
      <c r="D3911" s="2" t="s">
        <v>18</v>
      </c>
      <c r="E3911" s="5">
        <v>-30447</v>
      </c>
      <c r="F3911" s="3" t="s">
        <v>151</v>
      </c>
      <c r="G3911" s="3" t="s">
        <v>152</v>
      </c>
      <c r="H3911" s="2" t="s">
        <v>21</v>
      </c>
      <c r="I3911" s="2" t="s">
        <v>9114</v>
      </c>
      <c r="J3911" s="3" t="str">
        <f>HYPERLINK("https://www.boe.es/gazeta/dias/1816/08/20/pdfs/GMD-1816-103.pdf#page=8","Abrir facsímil")</f>
        <v>Abrir facsímil</v>
      </c>
      <c r="K3911" s="3" t="s">
        <v>23</v>
      </c>
    </row>
    <row r="3912" spans="1:11" ht="42" customHeight="1">
      <c r="A3912" s="2" t="s">
        <v>9111</v>
      </c>
      <c r="B3912" s="2" t="s">
        <v>9112</v>
      </c>
      <c r="C3912" s="2" t="s">
        <v>41</v>
      </c>
      <c r="D3912" s="2" t="s">
        <v>18</v>
      </c>
      <c r="E3912" s="5">
        <v>-30408</v>
      </c>
      <c r="F3912" s="3" t="s">
        <v>295</v>
      </c>
      <c r="G3912" s="3" t="s">
        <v>42</v>
      </c>
      <c r="H3912" s="2" t="s">
        <v>21</v>
      </c>
      <c r="I3912" s="2" t="s">
        <v>9115</v>
      </c>
      <c r="J3912" s="3" t="str">
        <f>HYPERLINK("https://www.boe.es/gazeta/dias/1816/09/28/pdfs/GMD-1816-120.pdf#page=8","Abrir facsímil")</f>
        <v>Abrir facsímil</v>
      </c>
      <c r="K3912" s="3" t="s">
        <v>23</v>
      </c>
    </row>
    <row r="3913" spans="1:11" ht="42" customHeight="1">
      <c r="A3913" s="2" t="s">
        <v>9116</v>
      </c>
      <c r="B3913" s="2" t="s">
        <v>9117</v>
      </c>
      <c r="C3913" s="2" t="s">
        <v>34</v>
      </c>
      <c r="D3913" s="2" t="s">
        <v>35</v>
      </c>
      <c r="E3913" s="5">
        <v>-30597</v>
      </c>
      <c r="F3913" s="3" t="s">
        <v>696</v>
      </c>
      <c r="G3913" s="3" t="s">
        <v>58</v>
      </c>
      <c r="H3913" s="2" t="s">
        <v>21</v>
      </c>
      <c r="I3913" s="2" t="s">
        <v>9118</v>
      </c>
      <c r="J3913" s="3" t="str">
        <f>HYPERLINK("https://www.boe.es/gazeta/dias/1816/03/23/pdfs/GMD-1816-39.pdf#page=1","Abrir facsímil")</f>
        <v>Abrir facsímil</v>
      </c>
      <c r="K3913" s="3" t="s">
        <v>23</v>
      </c>
    </row>
    <row r="3914" spans="1:11" ht="42" customHeight="1">
      <c r="A3914" s="2" t="s">
        <v>9119</v>
      </c>
      <c r="B3914" s="2" t="s">
        <v>9120</v>
      </c>
      <c r="C3914" s="2" t="s">
        <v>34</v>
      </c>
      <c r="D3914" s="2" t="s">
        <v>35</v>
      </c>
      <c r="E3914" s="5">
        <v>-30331</v>
      </c>
      <c r="F3914" s="3" t="s">
        <v>315</v>
      </c>
      <c r="G3914" s="3" t="s">
        <v>28</v>
      </c>
      <c r="H3914" s="2" t="s">
        <v>21</v>
      </c>
      <c r="I3914" s="2" t="s">
        <v>9121</v>
      </c>
      <c r="J3914" s="3" t="str">
        <f>HYPERLINK("https://www.boe.es/gazeta/dias/1816/12/14/pdfs/GMD-1816-155.pdf#page=6","Abrir facsímil")</f>
        <v>Abrir facsímil</v>
      </c>
      <c r="K3914" s="3" t="s">
        <v>23</v>
      </c>
    </row>
    <row r="3915" spans="1:11" ht="42" customHeight="1">
      <c r="A3915" s="2" t="s">
        <v>9122</v>
      </c>
      <c r="B3915" s="2" t="s">
        <v>9123</v>
      </c>
      <c r="C3915" s="2" t="s">
        <v>34</v>
      </c>
      <c r="D3915" s="2" t="s">
        <v>35</v>
      </c>
      <c r="E3915" s="5">
        <v>-30657</v>
      </c>
      <c r="F3915" s="3" t="s">
        <v>899</v>
      </c>
      <c r="G3915" s="3" t="s">
        <v>5210</v>
      </c>
      <c r="H3915" s="2" t="s">
        <v>21</v>
      </c>
      <c r="I3915" s="2" t="s">
        <v>9124</v>
      </c>
      <c r="J3915" s="3" t="str">
        <f>HYPERLINK("https://www.boe.es/gazeta/dias/1816/01/23/pdfs/GMD-1816-10.pdf#page=6","Abrir facsímil")</f>
        <v>Abrir facsímil</v>
      </c>
      <c r="K3915" s="3" t="s">
        <v>23</v>
      </c>
    </row>
    <row r="3916" spans="1:11" ht="42" customHeight="1">
      <c r="A3916" s="2" t="s">
        <v>9125</v>
      </c>
      <c r="B3916" s="2" t="s">
        <v>9126</v>
      </c>
      <c r="C3916" s="2" t="s">
        <v>111</v>
      </c>
      <c r="D3916" s="2" t="s">
        <v>112</v>
      </c>
      <c r="E3916" s="5">
        <v>-30550</v>
      </c>
      <c r="F3916" s="3" t="s">
        <v>435</v>
      </c>
      <c r="G3916" s="3" t="s">
        <v>103</v>
      </c>
      <c r="H3916" s="2" t="s">
        <v>21</v>
      </c>
      <c r="I3916" s="2" t="s">
        <v>9127</v>
      </c>
      <c r="J3916" s="3" t="str">
        <f>HYPERLINK("https://www.boe.es/gazeta/dias/1816/05/09/pdfs/GMD-1816-59.pdf#page=4","Abrir facsímil")</f>
        <v>Abrir facsímil</v>
      </c>
      <c r="K3916" s="3" t="s">
        <v>23</v>
      </c>
    </row>
    <row r="3917" spans="1:11" ht="42" customHeight="1">
      <c r="A3917" s="2" t="s">
        <v>9128</v>
      </c>
      <c r="B3917" s="2" t="s">
        <v>9129</v>
      </c>
      <c r="C3917" s="2" t="s">
        <v>26</v>
      </c>
      <c r="D3917" s="2" t="s">
        <v>18</v>
      </c>
      <c r="E3917" s="5">
        <v>-30331</v>
      </c>
      <c r="F3917" s="3" t="s">
        <v>315</v>
      </c>
      <c r="G3917" s="3" t="s">
        <v>103</v>
      </c>
      <c r="H3917" s="2" t="s">
        <v>21</v>
      </c>
      <c r="I3917" s="2" t="s">
        <v>9130</v>
      </c>
      <c r="J3917" s="3" t="str">
        <f>HYPERLINK("https://www.boe.es/gazeta/dias/1816/12/14/pdfs/GMD-1816-155.pdf#page=4","Abrir facsímil")</f>
        <v>Abrir facsímil</v>
      </c>
      <c r="K3917" s="3" t="s">
        <v>23</v>
      </c>
    </row>
    <row r="3918" spans="1:11" ht="42" customHeight="1">
      <c r="A3918" s="2" t="s">
        <v>9131</v>
      </c>
      <c r="B3918" s="2" t="s">
        <v>9132</v>
      </c>
      <c r="C3918" s="2" t="s">
        <v>111</v>
      </c>
      <c r="D3918" s="2" t="s">
        <v>112</v>
      </c>
      <c r="E3918" s="5">
        <v>-30578</v>
      </c>
      <c r="F3918" s="3" t="s">
        <v>91</v>
      </c>
      <c r="G3918" s="3" t="s">
        <v>52</v>
      </c>
      <c r="H3918" s="2" t="s">
        <v>21</v>
      </c>
      <c r="I3918" s="2" t="s">
        <v>9133</v>
      </c>
      <c r="J3918" s="3" t="str">
        <f>HYPERLINK("https://www.boe.es/gazeta/dias/1816/04/11/pdfs/GMD-1816-47.pdf#page=12","Abrir facsímil")</f>
        <v>Abrir facsímil</v>
      </c>
      <c r="K3918" s="3" t="s">
        <v>23</v>
      </c>
    </row>
    <row r="3919" spans="1:11" ht="42" customHeight="1">
      <c r="A3919" s="2" t="s">
        <v>9131</v>
      </c>
      <c r="B3919" s="2" t="s">
        <v>9132</v>
      </c>
      <c r="C3919" s="2" t="s">
        <v>111</v>
      </c>
      <c r="D3919" s="2" t="s">
        <v>112</v>
      </c>
      <c r="E3919" s="5">
        <v>-30496</v>
      </c>
      <c r="F3919" s="3" t="s">
        <v>290</v>
      </c>
      <c r="G3919" s="3" t="s">
        <v>42</v>
      </c>
      <c r="H3919" s="2" t="s">
        <v>21</v>
      </c>
      <c r="I3919" s="2" t="s">
        <v>9134</v>
      </c>
      <c r="J3919" s="3" t="str">
        <f>HYPERLINK("https://www.boe.es/gazeta/dias/1816/07/02/pdfs/GMD-1816-82.pdf#page=8","Abrir facsímil")</f>
        <v>Abrir facsímil</v>
      </c>
      <c r="K3919" s="3" t="s">
        <v>23</v>
      </c>
    </row>
    <row r="3920" spans="1:11" ht="42" customHeight="1">
      <c r="A3920" s="2" t="s">
        <v>9131</v>
      </c>
      <c r="B3920" s="2" t="s">
        <v>9132</v>
      </c>
      <c r="C3920" s="2" t="s">
        <v>111</v>
      </c>
      <c r="D3920" s="2" t="s">
        <v>112</v>
      </c>
      <c r="E3920" s="5">
        <v>-30457</v>
      </c>
      <c r="F3920" s="3" t="s">
        <v>539</v>
      </c>
      <c r="G3920" s="3" t="s">
        <v>42</v>
      </c>
      <c r="H3920" s="2" t="s">
        <v>21</v>
      </c>
      <c r="I3920" s="2" t="s">
        <v>9135</v>
      </c>
      <c r="J3920" s="3" t="str">
        <f>HYPERLINK("https://www.boe.es/gazeta/dias/1816/08/10/pdfs/GMD-1816-99.pdf#page=8","Abrir facsímil")</f>
        <v>Abrir facsímil</v>
      </c>
      <c r="K3920" s="3" t="s">
        <v>23</v>
      </c>
    </row>
    <row r="3921" spans="1:11" ht="42" customHeight="1">
      <c r="A3921" s="2" t="s">
        <v>9136</v>
      </c>
      <c r="B3921" s="2" t="s">
        <v>9137</v>
      </c>
      <c r="C3921" s="2" t="s">
        <v>111</v>
      </c>
      <c r="D3921" s="2" t="s">
        <v>56</v>
      </c>
      <c r="E3921" s="5">
        <v>-30393</v>
      </c>
      <c r="F3921" s="3" t="s">
        <v>202</v>
      </c>
      <c r="G3921" s="3" t="s">
        <v>58</v>
      </c>
      <c r="H3921" s="2" t="s">
        <v>21</v>
      </c>
      <c r="I3921" s="2" t="s">
        <v>9138</v>
      </c>
      <c r="J3921" s="3" t="str">
        <f>HYPERLINK("https://www.boe.es/gazeta/dias/1816/10/13/pdfs/GMD-1816-128E.pdf#page=1","Abrir facsímil")</f>
        <v>Abrir facsímil</v>
      </c>
      <c r="K3921" s="3" t="s">
        <v>23</v>
      </c>
    </row>
    <row r="3922" spans="1:11" ht="42" customHeight="1">
      <c r="A3922" s="2" t="s">
        <v>9139</v>
      </c>
      <c r="B3922" s="2" t="s">
        <v>9140</v>
      </c>
      <c r="C3922" s="2" t="s">
        <v>41</v>
      </c>
      <c r="D3922" s="2" t="s">
        <v>18</v>
      </c>
      <c r="E3922" s="5">
        <v>-30370</v>
      </c>
      <c r="F3922" s="3" t="s">
        <v>669</v>
      </c>
      <c r="G3922" s="3" t="s">
        <v>47</v>
      </c>
      <c r="H3922" s="2" t="s">
        <v>21</v>
      </c>
      <c r="I3922" s="2" t="s">
        <v>9141</v>
      </c>
      <c r="J3922" s="3" t="str">
        <f>HYPERLINK("https://www.boe.es/gazeta/dias/1816/11/05/pdfs/GMD-1816-138.pdf#page=5","Abrir facsímil")</f>
        <v>Abrir facsímil</v>
      </c>
      <c r="K3922" s="3" t="s">
        <v>23</v>
      </c>
    </row>
    <row r="3923" spans="1:11" ht="42" customHeight="1">
      <c r="A3923" s="2" t="s">
        <v>9142</v>
      </c>
      <c r="B3923" s="2" t="s">
        <v>9143</v>
      </c>
      <c r="C3923" s="2" t="s">
        <v>111</v>
      </c>
      <c r="D3923" s="2" t="s">
        <v>112</v>
      </c>
      <c r="E3923" s="5">
        <v>-30387</v>
      </c>
      <c r="F3923" s="3" t="s">
        <v>224</v>
      </c>
      <c r="G3923" s="3" t="s">
        <v>28</v>
      </c>
      <c r="H3923" s="2" t="s">
        <v>21</v>
      </c>
      <c r="I3923" s="2" t="s">
        <v>9144</v>
      </c>
      <c r="J3923" s="3" t="str">
        <f>HYPERLINK("https://www.boe.es/gazeta/dias/1816/10/19/pdfs/GMD-1816-131.pdf#page=6","Abrir facsímil")</f>
        <v>Abrir facsímil</v>
      </c>
      <c r="K3923" s="3" t="s">
        <v>23</v>
      </c>
    </row>
    <row r="3924" spans="1:11" ht="42" customHeight="1">
      <c r="A3924" s="2" t="s">
        <v>9145</v>
      </c>
      <c r="B3924" s="2" t="s">
        <v>9146</v>
      </c>
      <c r="C3924" s="2" t="s">
        <v>26</v>
      </c>
      <c r="D3924" s="2" t="s">
        <v>18</v>
      </c>
      <c r="E3924" s="5">
        <v>-30655</v>
      </c>
      <c r="F3924" s="3" t="s">
        <v>170</v>
      </c>
      <c r="G3924" s="3" t="s">
        <v>72</v>
      </c>
      <c r="H3924" s="2" t="s">
        <v>21</v>
      </c>
      <c r="I3924" s="2" t="s">
        <v>9147</v>
      </c>
      <c r="J3924" s="3" t="str">
        <f>HYPERLINK("https://www.boe.es/gazeta/dias/1816/01/25/pdfs/GMD-1816-11.pdf#page=7","Abrir facsímil")</f>
        <v>Abrir facsímil</v>
      </c>
      <c r="K3924" s="3" t="s">
        <v>23</v>
      </c>
    </row>
    <row r="3925" spans="1:11" ht="42" customHeight="1">
      <c r="A3925" s="2" t="s">
        <v>9148</v>
      </c>
      <c r="B3925" s="2" t="s">
        <v>9149</v>
      </c>
      <c r="C3925" s="2" t="s">
        <v>34</v>
      </c>
      <c r="D3925" s="2" t="s">
        <v>35</v>
      </c>
      <c r="E3925" s="5">
        <v>-30457</v>
      </c>
      <c r="F3925" s="3" t="s">
        <v>539</v>
      </c>
      <c r="G3925" s="3" t="s">
        <v>47</v>
      </c>
      <c r="H3925" s="2" t="s">
        <v>21</v>
      </c>
      <c r="I3925" s="2" t="s">
        <v>9150</v>
      </c>
      <c r="J3925" s="3" t="str">
        <f>HYPERLINK("https://www.boe.es/gazeta/dias/1816/08/10/pdfs/GMD-1816-99.pdf#page=5","Abrir facsímil")</f>
        <v>Abrir facsímil</v>
      </c>
      <c r="K3925" s="3" t="s">
        <v>23</v>
      </c>
    </row>
    <row r="3926" spans="1:11" ht="42" customHeight="1">
      <c r="A3926" s="2" t="s">
        <v>9151</v>
      </c>
      <c r="B3926" s="2" t="s">
        <v>9152</v>
      </c>
      <c r="C3926" s="2" t="s">
        <v>34</v>
      </c>
      <c r="D3926" s="2" t="s">
        <v>56</v>
      </c>
      <c r="E3926" s="5">
        <v>-30393</v>
      </c>
      <c r="F3926" s="3" t="s">
        <v>202</v>
      </c>
      <c r="G3926" s="3" t="s">
        <v>184</v>
      </c>
      <c r="H3926" s="2" t="s">
        <v>29</v>
      </c>
      <c r="I3926" s="2" t="s">
        <v>9153</v>
      </c>
      <c r="J3926" s="3" t="str">
        <f>HYPERLINK("https://www.boe.es/gazeta/dias/1816/10/13/pdfs/GMD-1816-128E.pdf#page=3","Abrir facsímil")</f>
        <v>Abrir facsímil</v>
      </c>
      <c r="K3926" s="3" t="s">
        <v>31</v>
      </c>
    </row>
    <row r="3927" spans="1:11" ht="42" customHeight="1">
      <c r="A3927" s="2" t="s">
        <v>9154</v>
      </c>
      <c r="B3927" s="2" t="s">
        <v>9155</v>
      </c>
      <c r="C3927" s="2" t="s">
        <v>26</v>
      </c>
      <c r="D3927" s="2" t="s">
        <v>18</v>
      </c>
      <c r="E3927" s="5">
        <v>-30387</v>
      </c>
      <c r="F3927" s="3" t="s">
        <v>224</v>
      </c>
      <c r="G3927" s="3" t="s">
        <v>28</v>
      </c>
      <c r="H3927" s="2" t="s">
        <v>21</v>
      </c>
      <c r="I3927" s="2" t="s">
        <v>9156</v>
      </c>
      <c r="J3927" s="3" t="str">
        <f>HYPERLINK("https://www.boe.es/gazeta/dias/1816/10/19/pdfs/GMD-1816-131.pdf#page=6","Abrir facsímil")</f>
        <v>Abrir facsímil</v>
      </c>
      <c r="K3927" s="3" t="s">
        <v>23</v>
      </c>
    </row>
    <row r="3928" spans="1:11" ht="42" customHeight="1">
      <c r="A3928" s="2" t="s">
        <v>9157</v>
      </c>
      <c r="B3928" s="2" t="s">
        <v>9158</v>
      </c>
      <c r="C3928" s="2" t="s">
        <v>111</v>
      </c>
      <c r="D3928" s="2" t="s">
        <v>112</v>
      </c>
      <c r="E3928" s="5">
        <v>-30342</v>
      </c>
      <c r="F3928" s="3" t="s">
        <v>116</v>
      </c>
      <c r="G3928" s="3" t="s">
        <v>47</v>
      </c>
      <c r="H3928" s="2" t="s">
        <v>21</v>
      </c>
      <c r="I3928" s="2" t="s">
        <v>9159</v>
      </c>
      <c r="J3928" s="3" t="str">
        <f>HYPERLINK("https://www.boe.es/gazeta/dias/1816/12/03/pdfs/GMD-1816-150.pdf#page=5","Abrir facsímil")</f>
        <v>Abrir facsímil</v>
      </c>
      <c r="K3928" s="3" t="s">
        <v>23</v>
      </c>
    </row>
    <row r="3929" spans="1:11" ht="42" customHeight="1">
      <c r="A3929" s="2" t="s">
        <v>9160</v>
      </c>
      <c r="B3929" s="2" t="s">
        <v>9161</v>
      </c>
      <c r="C3929" s="2" t="s">
        <v>111</v>
      </c>
      <c r="D3929" s="2" t="s">
        <v>112</v>
      </c>
      <c r="E3929" s="5">
        <v>-30676</v>
      </c>
      <c r="F3929" s="3" t="s">
        <v>1932</v>
      </c>
      <c r="G3929" s="3" t="s">
        <v>2724</v>
      </c>
      <c r="H3929" s="2" t="s">
        <v>29</v>
      </c>
      <c r="I3929" s="2" t="s">
        <v>9162</v>
      </c>
      <c r="J3929" s="3" t="str">
        <f>HYPERLINK("https://www.boe.es/gazeta/dias/1816/01/04/pdfs/GMD-1816-2.pdf#page=8","Abrir facsímil")</f>
        <v>Abrir facsímil</v>
      </c>
      <c r="K3929" s="3" t="s">
        <v>31</v>
      </c>
    </row>
    <row r="3930" spans="1:11" ht="42" customHeight="1">
      <c r="A3930" s="2" t="s">
        <v>9160</v>
      </c>
      <c r="B3930" s="2" t="s">
        <v>9161</v>
      </c>
      <c r="C3930" s="2" t="s">
        <v>34</v>
      </c>
      <c r="D3930" s="2" t="s">
        <v>35</v>
      </c>
      <c r="E3930" s="5">
        <v>-30671</v>
      </c>
      <c r="F3930" s="3" t="s">
        <v>2049</v>
      </c>
      <c r="G3930" s="3" t="s">
        <v>5367</v>
      </c>
      <c r="H3930" s="2" t="s">
        <v>29</v>
      </c>
      <c r="I3930" s="2" t="s">
        <v>9163</v>
      </c>
      <c r="J3930" s="3" t="str">
        <f>HYPERLINK("https://www.boe.es/gazeta/dias/1816/01/09/pdfs/GMD-1816-4.pdf#page=8","Abrir facsímil")</f>
        <v>Abrir facsímil</v>
      </c>
      <c r="K3930" s="3" t="s">
        <v>31</v>
      </c>
    </row>
    <row r="3931" spans="1:11" ht="42" customHeight="1">
      <c r="A3931" s="2" t="s">
        <v>9160</v>
      </c>
      <c r="B3931" s="2" t="s">
        <v>9161</v>
      </c>
      <c r="C3931" s="2" t="s">
        <v>34</v>
      </c>
      <c r="D3931" s="2" t="s">
        <v>35</v>
      </c>
      <c r="E3931" s="5">
        <v>-30604</v>
      </c>
      <c r="F3931" s="3" t="s">
        <v>488</v>
      </c>
      <c r="G3931" s="3" t="s">
        <v>42</v>
      </c>
      <c r="H3931" s="2" t="s">
        <v>29</v>
      </c>
      <c r="I3931" s="2" t="s">
        <v>9164</v>
      </c>
      <c r="J3931" s="3" t="str">
        <f>HYPERLINK("https://www.boe.es/gazeta/dias/1816/03/16/pdfs/GMD-1816-35.pdf#page=8","Abrir facsímil")</f>
        <v>Abrir facsímil</v>
      </c>
      <c r="K3931" s="3" t="s">
        <v>31</v>
      </c>
    </row>
    <row r="3932" spans="1:11" ht="42" customHeight="1">
      <c r="A3932" s="2" t="s">
        <v>9160</v>
      </c>
      <c r="B3932" s="2" t="s">
        <v>9161</v>
      </c>
      <c r="C3932" s="2" t="s">
        <v>111</v>
      </c>
      <c r="D3932" s="2" t="s">
        <v>112</v>
      </c>
      <c r="E3932" s="5">
        <v>-30487</v>
      </c>
      <c r="F3932" s="3" t="s">
        <v>397</v>
      </c>
      <c r="G3932" s="3" t="s">
        <v>52</v>
      </c>
      <c r="H3932" s="2" t="s">
        <v>29</v>
      </c>
      <c r="I3932" s="2" t="s">
        <v>9165</v>
      </c>
      <c r="J3932" s="3" t="str">
        <f>HYPERLINK("https://www.boe.es/gazeta/dias/1816/07/11/pdfs/GMD-1816-86.pdf#page=12","Abrir facsímil")</f>
        <v>Abrir facsímil</v>
      </c>
      <c r="K3932" s="3" t="s">
        <v>31</v>
      </c>
    </row>
    <row r="3933" spans="1:11" ht="42" customHeight="1">
      <c r="A3933" s="2" t="s">
        <v>9160</v>
      </c>
      <c r="B3933" s="2" t="s">
        <v>9161</v>
      </c>
      <c r="C3933" s="2" t="s">
        <v>111</v>
      </c>
      <c r="D3933" s="2" t="s">
        <v>112</v>
      </c>
      <c r="E3933" s="5">
        <v>-30412</v>
      </c>
      <c r="F3933" s="3" t="s">
        <v>388</v>
      </c>
      <c r="G3933" s="3" t="s">
        <v>42</v>
      </c>
      <c r="H3933" s="2" t="s">
        <v>29</v>
      </c>
      <c r="I3933" s="2" t="s">
        <v>9166</v>
      </c>
      <c r="J3933" s="3" t="str">
        <f>HYPERLINK("https://www.boe.es/gazeta/dias/1816/09/24/pdfs/GMD-1816-118.pdf#page=8","Abrir facsímil")</f>
        <v>Abrir facsímil</v>
      </c>
      <c r="K3933" s="3" t="s">
        <v>31</v>
      </c>
    </row>
    <row r="3934" spans="1:11" ht="42" customHeight="1">
      <c r="A3934" s="2" t="s">
        <v>9160</v>
      </c>
      <c r="B3934" s="2" t="s">
        <v>9161</v>
      </c>
      <c r="C3934" s="2" t="s">
        <v>111</v>
      </c>
      <c r="D3934" s="2" t="s">
        <v>112</v>
      </c>
      <c r="E3934" s="5">
        <v>-30398</v>
      </c>
      <c r="F3934" s="3" t="s">
        <v>447</v>
      </c>
      <c r="G3934" s="3" t="s">
        <v>42</v>
      </c>
      <c r="H3934" s="2" t="s">
        <v>29</v>
      </c>
      <c r="I3934" s="2" t="s">
        <v>9167</v>
      </c>
      <c r="J3934" s="3" t="str">
        <f>HYPERLINK("https://www.boe.es/gazeta/dias/1816/10/08/pdfs/GMD-1816-125.pdf#page=8","Abrir facsímil")</f>
        <v>Abrir facsímil</v>
      </c>
      <c r="K3934" s="3" t="s">
        <v>31</v>
      </c>
    </row>
    <row r="3935" spans="1:11" ht="42" customHeight="1">
      <c r="A3935" s="2" t="s">
        <v>9160</v>
      </c>
      <c r="B3935" s="2" t="s">
        <v>9161</v>
      </c>
      <c r="C3935" s="2" t="s">
        <v>111</v>
      </c>
      <c r="D3935" s="2" t="s">
        <v>112</v>
      </c>
      <c r="E3935" s="5">
        <v>-30389</v>
      </c>
      <c r="F3935" s="3" t="s">
        <v>522</v>
      </c>
      <c r="G3935" s="3" t="s">
        <v>72</v>
      </c>
      <c r="H3935" s="2" t="s">
        <v>29</v>
      </c>
      <c r="I3935" s="2" t="s">
        <v>9168</v>
      </c>
      <c r="J3935" s="3" t="str">
        <f>HYPERLINK("https://www.boe.es/gazeta/dias/1816/10/17/pdfs/GMD-1816-130.pdf#page=7","Abrir facsímil")</f>
        <v>Abrir facsímil</v>
      </c>
      <c r="K3935" s="3" t="s">
        <v>31</v>
      </c>
    </row>
    <row r="3936" spans="1:11" ht="42" customHeight="1">
      <c r="A3936" s="2" t="s">
        <v>9160</v>
      </c>
      <c r="B3936" s="2" t="s">
        <v>9161</v>
      </c>
      <c r="C3936" s="2" t="s">
        <v>111</v>
      </c>
      <c r="D3936" s="2" t="s">
        <v>112</v>
      </c>
      <c r="E3936" s="5">
        <v>-30319</v>
      </c>
      <c r="F3936" s="3" t="s">
        <v>131</v>
      </c>
      <c r="G3936" s="3" t="s">
        <v>42</v>
      </c>
      <c r="H3936" s="2" t="s">
        <v>29</v>
      </c>
      <c r="I3936" s="2" t="s">
        <v>9169</v>
      </c>
      <c r="J3936" s="3" t="str">
        <f>HYPERLINK("https://www.boe.es/gazeta/dias/1816/12/26/pdfs/GMD-1816-160.pdf#page=8","Abrir facsímil")</f>
        <v>Abrir facsímil</v>
      </c>
      <c r="K3936" s="3" t="s">
        <v>31</v>
      </c>
    </row>
    <row r="3937" spans="1:11" ht="42" customHeight="1">
      <c r="A3937" s="2" t="s">
        <v>9170</v>
      </c>
      <c r="B3937" s="2" t="s">
        <v>9171</v>
      </c>
      <c r="C3937" s="2" t="s">
        <v>111</v>
      </c>
      <c r="D3937" s="2" t="s">
        <v>112</v>
      </c>
      <c r="E3937" s="5">
        <v>-30368</v>
      </c>
      <c r="F3937" s="3" t="s">
        <v>531</v>
      </c>
      <c r="G3937" s="3" t="s">
        <v>72</v>
      </c>
      <c r="H3937" s="2" t="s">
        <v>29</v>
      </c>
      <c r="I3937" s="2" t="s">
        <v>9172</v>
      </c>
      <c r="J3937" s="3" t="str">
        <f>HYPERLINK("https://www.boe.es/gazeta/dias/1816/11/07/pdfs/GMD-1816-139.pdf#page=7","Abrir facsímil")</f>
        <v>Abrir facsímil</v>
      </c>
      <c r="K3937" s="3" t="s">
        <v>31</v>
      </c>
    </row>
    <row r="3938" spans="1:11" ht="42" customHeight="1">
      <c r="A3938" s="2" t="s">
        <v>9173</v>
      </c>
      <c r="B3938" s="2" t="s">
        <v>9174</v>
      </c>
      <c r="C3938" s="2" t="s">
        <v>41</v>
      </c>
      <c r="D3938" s="2" t="s">
        <v>18</v>
      </c>
      <c r="E3938" s="5">
        <v>-30671</v>
      </c>
      <c r="F3938" s="3" t="s">
        <v>2049</v>
      </c>
      <c r="G3938" s="3" t="s">
        <v>47</v>
      </c>
      <c r="H3938" s="2" t="s">
        <v>21</v>
      </c>
      <c r="I3938" s="2" t="s">
        <v>9175</v>
      </c>
      <c r="J3938" s="3" t="str">
        <f>HYPERLINK("https://www.boe.es/gazeta/dias/1816/01/09/pdfs/GMD-1816-4.pdf#page=5","Abrir facsímil")</f>
        <v>Abrir facsímil</v>
      </c>
      <c r="K3938" s="3" t="s">
        <v>23</v>
      </c>
    </row>
    <row r="3939" spans="1:11" ht="42" customHeight="1">
      <c r="A3939" s="2" t="s">
        <v>9176</v>
      </c>
      <c r="B3939" s="2" t="s">
        <v>9176</v>
      </c>
      <c r="C3939" s="2" t="s">
        <v>26</v>
      </c>
      <c r="D3939" s="2" t="s">
        <v>18</v>
      </c>
      <c r="E3939" s="5">
        <v>-30445</v>
      </c>
      <c r="F3939" s="3" t="s">
        <v>51</v>
      </c>
      <c r="G3939" s="3" t="s">
        <v>175</v>
      </c>
      <c r="H3939" s="2" t="s">
        <v>21</v>
      </c>
      <c r="I3939" s="2" t="s">
        <v>9177</v>
      </c>
      <c r="J3939" s="3" t="str">
        <f>HYPERLINK("https://www.boe.es/gazeta/dias/1816/08/22/pdfs/GMD-1816-104.pdf#page=11","Abrir facsímil")</f>
        <v>Abrir facsímil</v>
      </c>
      <c r="K3939" s="3" t="s">
        <v>23</v>
      </c>
    </row>
    <row r="3940" spans="1:11" ht="42" customHeight="1">
      <c r="A3940" s="2" t="s">
        <v>9178</v>
      </c>
      <c r="B3940" s="2" t="s">
        <v>9179</v>
      </c>
      <c r="C3940" s="2" t="s">
        <v>26</v>
      </c>
      <c r="D3940" s="2" t="s">
        <v>18</v>
      </c>
      <c r="E3940" s="5">
        <v>-30573</v>
      </c>
      <c r="F3940" s="3" t="s">
        <v>840</v>
      </c>
      <c r="G3940" s="3" t="s">
        <v>270</v>
      </c>
      <c r="H3940" s="2" t="s">
        <v>21</v>
      </c>
      <c r="I3940" s="2" t="s">
        <v>9180</v>
      </c>
      <c r="J3940" s="3" t="str">
        <f>HYPERLINK("https://www.boe.es/gazeta/dias/1816/04/16/pdfs/GMD-1816-49.pdf#page=2","Abrir facsímil")</f>
        <v>Abrir facsímil</v>
      </c>
      <c r="K3940" s="3" t="s">
        <v>23</v>
      </c>
    </row>
    <row r="3941" spans="1:11" ht="42" customHeight="1">
      <c r="A3941" s="2" t="s">
        <v>9181</v>
      </c>
      <c r="B3941" s="2" t="s">
        <v>9182</v>
      </c>
      <c r="C3941" s="2" t="s">
        <v>81</v>
      </c>
      <c r="D3941" s="2" t="s">
        <v>18</v>
      </c>
      <c r="E3941" s="5">
        <v>-30366</v>
      </c>
      <c r="F3941" s="3" t="s">
        <v>179</v>
      </c>
      <c r="G3941" s="3" t="s">
        <v>52</v>
      </c>
      <c r="H3941" s="2" t="s">
        <v>21</v>
      </c>
      <c r="I3941" s="2" t="s">
        <v>9183</v>
      </c>
      <c r="J3941" s="3" t="str">
        <f>HYPERLINK("https://www.boe.es/gazeta/dias/1816/11/09/pdfs/GMD-1816-140.pdf#page=12","Abrir facsímil")</f>
        <v>Abrir facsímil</v>
      </c>
      <c r="K3941" s="3" t="s">
        <v>23</v>
      </c>
    </row>
    <row r="3942" spans="1:11" ht="42" customHeight="1">
      <c r="A3942" s="2" t="s">
        <v>9184</v>
      </c>
      <c r="B3942" s="2" t="s">
        <v>9184</v>
      </c>
      <c r="C3942" s="2" t="s">
        <v>67</v>
      </c>
      <c r="D3942" s="2" t="s">
        <v>18</v>
      </c>
      <c r="E3942" s="5">
        <v>-30608</v>
      </c>
      <c r="F3942" s="3" t="s">
        <v>550</v>
      </c>
      <c r="G3942" s="3" t="s">
        <v>47</v>
      </c>
      <c r="H3942" s="2" t="s">
        <v>21</v>
      </c>
      <c r="I3942" s="2" t="s">
        <v>9185</v>
      </c>
      <c r="J3942" s="3" t="str">
        <f>HYPERLINK("https://www.boe.es/gazeta/dias/1816/03/12/pdfs/GMD-1816-33.pdf#page=5","Abrir facsímil")</f>
        <v>Abrir facsímil</v>
      </c>
      <c r="K3942" s="3" t="s">
        <v>23</v>
      </c>
    </row>
    <row r="3943" spans="1:11" ht="42" customHeight="1">
      <c r="A3943" s="2" t="s">
        <v>9184</v>
      </c>
      <c r="B3943" s="2" t="s">
        <v>9184</v>
      </c>
      <c r="C3943" s="2" t="s">
        <v>111</v>
      </c>
      <c r="D3943" s="2" t="s">
        <v>112</v>
      </c>
      <c r="E3943" s="5">
        <v>-30550</v>
      </c>
      <c r="F3943" s="3" t="s">
        <v>435</v>
      </c>
      <c r="G3943" s="3" t="s">
        <v>28</v>
      </c>
      <c r="H3943" s="2" t="s">
        <v>21</v>
      </c>
      <c r="I3943" s="2" t="s">
        <v>9186</v>
      </c>
      <c r="J3943" s="3" t="str">
        <f>HYPERLINK("https://www.boe.es/gazeta/dias/1816/05/09/pdfs/GMD-1816-59.pdf#page=6","Abrir facsímil")</f>
        <v>Abrir facsímil</v>
      </c>
      <c r="K3943" s="3" t="s">
        <v>23</v>
      </c>
    </row>
    <row r="3944" spans="1:11" ht="42" customHeight="1">
      <c r="A3944" s="2" t="s">
        <v>9184</v>
      </c>
      <c r="B3944" s="2" t="s">
        <v>9184</v>
      </c>
      <c r="C3944" s="2" t="s">
        <v>111</v>
      </c>
      <c r="D3944" s="2" t="s">
        <v>112</v>
      </c>
      <c r="E3944" s="5">
        <v>-30387</v>
      </c>
      <c r="F3944" s="3" t="s">
        <v>224</v>
      </c>
      <c r="G3944" s="3" t="s">
        <v>47</v>
      </c>
      <c r="H3944" s="2" t="s">
        <v>21</v>
      </c>
      <c r="I3944" s="2" t="s">
        <v>9187</v>
      </c>
      <c r="J3944" s="3" t="str">
        <f>HYPERLINK("https://www.boe.es/gazeta/dias/1816/10/19/pdfs/GMD-1816-131.pdf#page=5","Abrir facsímil")</f>
        <v>Abrir facsímil</v>
      </c>
      <c r="K3944" s="3" t="s">
        <v>23</v>
      </c>
    </row>
    <row r="3945" spans="1:11" ht="42" customHeight="1">
      <c r="A3945" s="2" t="s">
        <v>9184</v>
      </c>
      <c r="B3945" s="2" t="s">
        <v>9184</v>
      </c>
      <c r="C3945" s="2" t="s">
        <v>81</v>
      </c>
      <c r="D3945" s="2" t="s">
        <v>18</v>
      </c>
      <c r="E3945" s="5">
        <v>-30361</v>
      </c>
      <c r="F3945" s="3" t="s">
        <v>1741</v>
      </c>
      <c r="G3945" s="3" t="s">
        <v>47</v>
      </c>
      <c r="H3945" s="2" t="s">
        <v>21</v>
      </c>
      <c r="I3945" s="2" t="s">
        <v>9188</v>
      </c>
      <c r="J3945" s="3" t="str">
        <f>HYPERLINK("https://www.boe.es/gazeta/dias/1816/11/14/pdfs/GMD-1816-142.pdf#page=5","Abrir facsímil")</f>
        <v>Abrir facsímil</v>
      </c>
      <c r="K3945" s="3" t="s">
        <v>23</v>
      </c>
    </row>
    <row r="3946" spans="1:11" ht="42" customHeight="1">
      <c r="A3946" s="2" t="s">
        <v>9189</v>
      </c>
      <c r="B3946" s="2" t="s">
        <v>9190</v>
      </c>
      <c r="C3946" s="2" t="s">
        <v>111</v>
      </c>
      <c r="D3946" s="2" t="s">
        <v>112</v>
      </c>
      <c r="E3946" s="5">
        <v>-30580</v>
      </c>
      <c r="F3946" s="3" t="s">
        <v>107</v>
      </c>
      <c r="G3946" s="3" t="s">
        <v>47</v>
      </c>
      <c r="H3946" s="2" t="s">
        <v>21</v>
      </c>
      <c r="I3946" s="2" t="s">
        <v>9191</v>
      </c>
      <c r="J3946" s="3" t="str">
        <f>HYPERLINK("https://www.boe.es/gazeta/dias/1816/04/09/pdfs/GMD-1816-46.pdf#page=5","Abrir facsímil")</f>
        <v>Abrir facsímil</v>
      </c>
      <c r="K3946" s="3" t="s">
        <v>23</v>
      </c>
    </row>
    <row r="3947" spans="1:11" ht="42" customHeight="1">
      <c r="A3947" s="2" t="s">
        <v>9192</v>
      </c>
      <c r="B3947" s="2" t="s">
        <v>9193</v>
      </c>
      <c r="C3947" s="2" t="s">
        <v>26</v>
      </c>
      <c r="D3947" s="2" t="s">
        <v>18</v>
      </c>
      <c r="E3947" s="5">
        <v>-30655</v>
      </c>
      <c r="F3947" s="3" t="s">
        <v>170</v>
      </c>
      <c r="G3947" s="3" t="s">
        <v>72</v>
      </c>
      <c r="H3947" s="2" t="s">
        <v>21</v>
      </c>
      <c r="I3947" s="2" t="s">
        <v>9194</v>
      </c>
      <c r="J3947" s="3" t="str">
        <f>HYPERLINK("https://www.boe.es/gazeta/dias/1816/01/25/pdfs/GMD-1816-11.pdf#page=7","Abrir facsímil")</f>
        <v>Abrir facsímil</v>
      </c>
      <c r="K3947" s="3" t="s">
        <v>23</v>
      </c>
    </row>
    <row r="3948" spans="1:11" ht="42" customHeight="1">
      <c r="A3948" s="2" t="s">
        <v>9195</v>
      </c>
      <c r="B3948" s="2" t="s">
        <v>9196</v>
      </c>
      <c r="C3948" s="2" t="s">
        <v>26</v>
      </c>
      <c r="D3948" s="2" t="s">
        <v>18</v>
      </c>
      <c r="E3948" s="5">
        <v>-30391</v>
      </c>
      <c r="F3948" s="3" t="s">
        <v>482</v>
      </c>
      <c r="G3948" s="3" t="s">
        <v>72</v>
      </c>
      <c r="H3948" s="2" t="s">
        <v>21</v>
      </c>
      <c r="I3948" s="2" t="s">
        <v>9197</v>
      </c>
      <c r="J3948" s="3" t="str">
        <f>HYPERLINK("https://www.boe.es/gazeta/dias/1816/10/15/pdfs/GMD-1816-129.pdf#page=7","Abrir facsímil")</f>
        <v>Abrir facsímil</v>
      </c>
      <c r="K3948" s="3" t="s">
        <v>23</v>
      </c>
    </row>
    <row r="3949" spans="1:11" ht="42" customHeight="1">
      <c r="A3949" s="2" t="s">
        <v>9198</v>
      </c>
      <c r="B3949" s="2" t="s">
        <v>9199</v>
      </c>
      <c r="C3949" s="2" t="s">
        <v>26</v>
      </c>
      <c r="D3949" s="2" t="s">
        <v>56</v>
      </c>
      <c r="E3949" s="5">
        <v>-30393</v>
      </c>
      <c r="F3949" s="3" t="s">
        <v>202</v>
      </c>
      <c r="G3949" s="3" t="s">
        <v>42</v>
      </c>
      <c r="H3949" s="2" t="s">
        <v>21</v>
      </c>
      <c r="I3949" s="2" t="s">
        <v>9200</v>
      </c>
      <c r="J3949" s="3" t="str">
        <f>HYPERLINK("https://www.boe.es/gazeta/dias/1816/10/13/pdfs/GMD-1816-128E.pdf#page=8","Abrir facsímil")</f>
        <v>Abrir facsímil</v>
      </c>
      <c r="K3949" s="3" t="s">
        <v>23</v>
      </c>
    </row>
    <row r="3950" spans="1:11" ht="42" customHeight="1">
      <c r="A3950" s="2" t="s">
        <v>9201</v>
      </c>
      <c r="B3950" s="2" t="s">
        <v>9202</v>
      </c>
      <c r="C3950" s="2" t="s">
        <v>111</v>
      </c>
      <c r="D3950" s="2" t="s">
        <v>112</v>
      </c>
      <c r="E3950" s="5">
        <v>-30655</v>
      </c>
      <c r="F3950" s="3" t="s">
        <v>170</v>
      </c>
      <c r="G3950" s="3" t="s">
        <v>850</v>
      </c>
      <c r="H3950" s="2" t="s">
        <v>21</v>
      </c>
      <c r="I3950" s="2" t="s">
        <v>9203</v>
      </c>
      <c r="J3950" s="3" t="str">
        <f>HYPERLINK("https://www.boe.es/gazeta/dias/1816/01/25/pdfs/GMD-1816-11.pdf#page=6","Abrir facsímil")</f>
        <v>Abrir facsímil</v>
      </c>
      <c r="K3950" s="3" t="s">
        <v>23</v>
      </c>
    </row>
    <row r="3951" spans="1:11" ht="42" customHeight="1">
      <c r="A3951" s="2" t="s">
        <v>9204</v>
      </c>
      <c r="B3951" s="2" t="s">
        <v>9204</v>
      </c>
      <c r="C3951" s="2" t="s">
        <v>34</v>
      </c>
      <c r="D3951" s="2" t="s">
        <v>35</v>
      </c>
      <c r="E3951" s="5">
        <v>-30601</v>
      </c>
      <c r="F3951" s="3" t="s">
        <v>308</v>
      </c>
      <c r="G3951" s="3" t="s">
        <v>58</v>
      </c>
      <c r="H3951" s="2" t="s">
        <v>21</v>
      </c>
      <c r="I3951" s="2" t="s">
        <v>9205</v>
      </c>
      <c r="J3951" s="3" t="str">
        <f>HYPERLINK("https://www.boe.es/gazeta/dias/1816/03/19/pdfs/GMD-1816-37.pdf#page=1","Abrir facsímil")</f>
        <v>Abrir facsímil</v>
      </c>
      <c r="K3951" s="3" t="s">
        <v>23</v>
      </c>
    </row>
    <row r="3952" spans="1:11" ht="42" customHeight="1">
      <c r="A3952" s="2" t="s">
        <v>9206</v>
      </c>
      <c r="B3952" s="2" t="s">
        <v>9206</v>
      </c>
      <c r="C3952" s="2" t="s">
        <v>26</v>
      </c>
      <c r="D3952" s="2" t="s">
        <v>18</v>
      </c>
      <c r="E3952" s="5">
        <v>-30389</v>
      </c>
      <c r="F3952" s="3" t="s">
        <v>522</v>
      </c>
      <c r="G3952" s="3" t="s">
        <v>28</v>
      </c>
      <c r="H3952" s="2" t="s">
        <v>21</v>
      </c>
      <c r="I3952" s="2" t="s">
        <v>9207</v>
      </c>
      <c r="J3952" s="3" t="str">
        <f>HYPERLINK("https://www.boe.es/gazeta/dias/1816/10/17/pdfs/GMD-1816-130.pdf#page=6","Abrir facsímil")</f>
        <v>Abrir facsímil</v>
      </c>
      <c r="K3952" s="3" t="s">
        <v>23</v>
      </c>
    </row>
    <row r="3953" spans="1:11" ht="42" customHeight="1">
      <c r="A3953" s="2" t="s">
        <v>9208</v>
      </c>
      <c r="B3953" s="2" t="s">
        <v>9209</v>
      </c>
      <c r="C3953" s="2" t="s">
        <v>111</v>
      </c>
      <c r="D3953" s="2" t="s">
        <v>112</v>
      </c>
      <c r="E3953" s="5">
        <v>-30366</v>
      </c>
      <c r="F3953" s="3" t="s">
        <v>179</v>
      </c>
      <c r="G3953" s="3" t="s">
        <v>175</v>
      </c>
      <c r="H3953" s="2" t="s">
        <v>21</v>
      </c>
      <c r="I3953" s="2" t="s">
        <v>9210</v>
      </c>
      <c r="J3953" s="3" t="str">
        <f>HYPERLINK("https://www.boe.es/gazeta/dias/1816/11/09/pdfs/GMD-1816-140.pdf#page=11","Abrir facsímil")</f>
        <v>Abrir facsímil</v>
      </c>
      <c r="K3953" s="3" t="s">
        <v>23</v>
      </c>
    </row>
    <row r="3954" spans="1:11" ht="42" customHeight="1">
      <c r="A3954" s="2" t="s">
        <v>9211</v>
      </c>
      <c r="B3954" s="2" t="s">
        <v>9212</v>
      </c>
      <c r="C3954" s="2" t="s">
        <v>81</v>
      </c>
      <c r="D3954" s="2" t="s">
        <v>18</v>
      </c>
      <c r="E3954" s="5">
        <v>-30618</v>
      </c>
      <c r="F3954" s="3" t="s">
        <v>207</v>
      </c>
      <c r="G3954" s="3" t="s">
        <v>42</v>
      </c>
      <c r="H3954" s="2" t="s">
        <v>21</v>
      </c>
      <c r="I3954" s="2" t="s">
        <v>9213</v>
      </c>
      <c r="J3954" s="3" t="str">
        <f>HYPERLINK("https://www.boe.es/gazeta/dias/1816/03/02/pdfs/GMD-1816-29.pdf#page=8","Abrir facsímil")</f>
        <v>Abrir facsímil</v>
      </c>
      <c r="K3954" s="3" t="s">
        <v>23</v>
      </c>
    </row>
    <row r="3955" spans="1:11" ht="42" customHeight="1">
      <c r="A3955" s="2" t="s">
        <v>9214</v>
      </c>
      <c r="B3955" s="2" t="s">
        <v>9215</v>
      </c>
      <c r="C3955" s="2" t="s">
        <v>111</v>
      </c>
      <c r="D3955" s="2" t="s">
        <v>112</v>
      </c>
      <c r="E3955" s="5">
        <v>-30342</v>
      </c>
      <c r="F3955" s="3" t="s">
        <v>116</v>
      </c>
      <c r="G3955" s="3" t="s">
        <v>47</v>
      </c>
      <c r="H3955" s="2" t="s">
        <v>21</v>
      </c>
      <c r="I3955" s="2" t="s">
        <v>9216</v>
      </c>
      <c r="J3955" s="3" t="str">
        <f>HYPERLINK("https://www.boe.es/gazeta/dias/1816/12/03/pdfs/GMD-1816-150.pdf#page=5","Abrir facsímil")</f>
        <v>Abrir facsímil</v>
      </c>
      <c r="K3955" s="3" t="s">
        <v>23</v>
      </c>
    </row>
    <row r="3956" spans="1:11" ht="42" customHeight="1">
      <c r="A3956" s="2" t="s">
        <v>9217</v>
      </c>
      <c r="B3956" s="2" t="s">
        <v>9218</v>
      </c>
      <c r="C3956" s="2" t="s">
        <v>26</v>
      </c>
      <c r="D3956" s="2" t="s">
        <v>18</v>
      </c>
      <c r="E3956" s="5">
        <v>-30606</v>
      </c>
      <c r="F3956" s="3" t="s">
        <v>761</v>
      </c>
      <c r="G3956" s="3" t="s">
        <v>72</v>
      </c>
      <c r="H3956" s="2" t="s">
        <v>21</v>
      </c>
      <c r="I3956" s="2" t="s">
        <v>9219</v>
      </c>
      <c r="J3956" s="3" t="str">
        <f>HYPERLINK("https://www.boe.es/gazeta/dias/1816/03/14/pdfs/GMD-1816-34.pdf#page=7","Abrir facsímil")</f>
        <v>Abrir facsímil</v>
      </c>
      <c r="K3956" s="3" t="s">
        <v>23</v>
      </c>
    </row>
    <row r="3957" spans="1:11" ht="42" customHeight="1">
      <c r="A3957" s="2" t="s">
        <v>9220</v>
      </c>
      <c r="B3957" s="2" t="s">
        <v>9221</v>
      </c>
      <c r="C3957" s="2" t="s">
        <v>26</v>
      </c>
      <c r="D3957" s="2" t="s">
        <v>18</v>
      </c>
      <c r="E3957" s="5">
        <v>-30576</v>
      </c>
      <c r="F3957" s="3" t="s">
        <v>353</v>
      </c>
      <c r="G3957" s="3" t="s">
        <v>72</v>
      </c>
      <c r="H3957" s="2" t="s">
        <v>21</v>
      </c>
      <c r="I3957" s="2" t="s">
        <v>9222</v>
      </c>
      <c r="J3957" s="3" t="str">
        <f>HYPERLINK("https://www.boe.es/gazeta/dias/1816/04/13/pdfs/GMD-1816-48.pdf#page=7","Abrir facsímil")</f>
        <v>Abrir facsímil</v>
      </c>
      <c r="K3957" s="3" t="s">
        <v>23</v>
      </c>
    </row>
    <row r="3958" spans="1:11" ht="42" customHeight="1">
      <c r="A3958" s="2" t="s">
        <v>9223</v>
      </c>
      <c r="B3958" s="2" t="s">
        <v>9224</v>
      </c>
      <c r="C3958" s="2" t="s">
        <v>34</v>
      </c>
      <c r="D3958" s="2" t="s">
        <v>35</v>
      </c>
      <c r="E3958" s="5">
        <v>-30394</v>
      </c>
      <c r="F3958" s="3" t="s">
        <v>589</v>
      </c>
      <c r="G3958" s="3" t="s">
        <v>47</v>
      </c>
      <c r="H3958" s="2" t="s">
        <v>21</v>
      </c>
      <c r="I3958" s="2" t="s">
        <v>9225</v>
      </c>
      <c r="J3958" s="3" t="str">
        <f>HYPERLINK("https://www.boe.es/gazeta/dias/1816/10/12/pdfs/GMD-1816-127.pdf#page=5","Abrir facsímil")</f>
        <v>Abrir facsímil</v>
      </c>
      <c r="K3958" s="3" t="s">
        <v>23</v>
      </c>
    </row>
    <row r="3959" spans="1:11" ht="42" customHeight="1">
      <c r="A3959" s="2" t="s">
        <v>9226</v>
      </c>
      <c r="B3959" s="2" t="s">
        <v>9227</v>
      </c>
      <c r="C3959" s="2" t="s">
        <v>111</v>
      </c>
      <c r="D3959" s="2" t="s">
        <v>112</v>
      </c>
      <c r="E3959" s="5">
        <v>-30384</v>
      </c>
      <c r="F3959" s="3" t="s">
        <v>460</v>
      </c>
      <c r="G3959" s="3" t="s">
        <v>932</v>
      </c>
      <c r="H3959" s="2" t="s">
        <v>21</v>
      </c>
      <c r="I3959" s="2" t="s">
        <v>9228</v>
      </c>
      <c r="J3959" s="3" t="str">
        <f>HYPERLINK("https://www.boe.es/gazeta/dias/1816/10/22/pdfs/GMD-1816-132.pdf#page=7","Abrir facsímil")</f>
        <v>Abrir facsímil</v>
      </c>
      <c r="K3959" s="3" t="s">
        <v>23</v>
      </c>
    </row>
    <row r="3960" spans="1:11" ht="42" customHeight="1">
      <c r="A3960" s="2" t="s">
        <v>9229</v>
      </c>
      <c r="B3960" s="2" t="s">
        <v>9230</v>
      </c>
      <c r="C3960" s="2" t="s">
        <v>111</v>
      </c>
      <c r="D3960" s="2" t="s">
        <v>112</v>
      </c>
      <c r="E3960" s="5">
        <v>-30538</v>
      </c>
      <c r="F3960" s="3" t="s">
        <v>496</v>
      </c>
      <c r="G3960" s="3" t="s">
        <v>42</v>
      </c>
      <c r="H3960" s="2" t="s">
        <v>21</v>
      </c>
      <c r="I3960" s="2" t="s">
        <v>9231</v>
      </c>
      <c r="J3960" s="3" t="str">
        <f>HYPERLINK("https://www.boe.es/gazeta/dias/1816/05/21/pdfs/GMD-1816-64.pdf#page=8","Abrir facsímil")</f>
        <v>Abrir facsímil</v>
      </c>
      <c r="K3960" s="3" t="s">
        <v>23</v>
      </c>
    </row>
    <row r="3961" spans="1:11" ht="42" customHeight="1">
      <c r="A3961" s="2" t="s">
        <v>9232</v>
      </c>
      <c r="B3961" s="2" t="s">
        <v>9233</v>
      </c>
      <c r="C3961" s="2" t="s">
        <v>41</v>
      </c>
      <c r="D3961" s="2" t="s">
        <v>18</v>
      </c>
      <c r="E3961" s="5">
        <v>-30517</v>
      </c>
      <c r="F3961" s="3" t="s">
        <v>557</v>
      </c>
      <c r="G3961" s="3" t="s">
        <v>42</v>
      </c>
      <c r="H3961" s="2" t="s">
        <v>21</v>
      </c>
      <c r="I3961" s="2" t="s">
        <v>9234</v>
      </c>
      <c r="J3961" s="3" t="str">
        <f>HYPERLINK("https://www.boe.es/gazeta/dias/1816/06/11/pdfs/GMD-1816-73.pdf#page=8","Abrir facsímil")</f>
        <v>Abrir facsímil</v>
      </c>
      <c r="K3961" s="3" t="s">
        <v>23</v>
      </c>
    </row>
    <row r="3962" spans="1:11" ht="42" customHeight="1">
      <c r="A3962" s="2" t="s">
        <v>9235</v>
      </c>
      <c r="B3962" s="2" t="s">
        <v>9236</v>
      </c>
      <c r="C3962" s="2" t="s">
        <v>34</v>
      </c>
      <c r="D3962" s="2" t="s">
        <v>35</v>
      </c>
      <c r="E3962" s="5">
        <v>-30562</v>
      </c>
      <c r="F3962" s="3" t="s">
        <v>1664</v>
      </c>
      <c r="G3962" s="3" t="s">
        <v>42</v>
      </c>
      <c r="H3962" s="2" t="s">
        <v>29</v>
      </c>
      <c r="I3962" s="2" t="s">
        <v>9237</v>
      </c>
      <c r="J3962" s="3" t="str">
        <f>HYPERLINK("https://www.boe.es/gazeta/dias/1816/04/27/pdfs/GMD-1816-54.pdf#page=8","Abrir facsímil")</f>
        <v>Abrir facsímil</v>
      </c>
      <c r="K3962" s="3" t="s">
        <v>31</v>
      </c>
    </row>
    <row r="3963" spans="1:11" ht="42" customHeight="1">
      <c r="A3963" s="2" t="s">
        <v>9238</v>
      </c>
      <c r="B3963" s="2" t="s">
        <v>9239</v>
      </c>
      <c r="C3963" s="2" t="s">
        <v>26</v>
      </c>
      <c r="D3963" s="2" t="s">
        <v>18</v>
      </c>
      <c r="E3963" s="5">
        <v>-30445</v>
      </c>
      <c r="F3963" s="3" t="s">
        <v>51</v>
      </c>
      <c r="G3963" s="3" t="s">
        <v>47</v>
      </c>
      <c r="H3963" s="2" t="s">
        <v>21</v>
      </c>
      <c r="I3963" s="2" t="s">
        <v>9240</v>
      </c>
      <c r="J3963" s="3" t="str">
        <f>HYPERLINK("https://www.boe.es/gazeta/dias/1816/08/22/pdfs/GMD-1816-104.pdf#page=5","Abrir facsímil")</f>
        <v>Abrir facsímil</v>
      </c>
      <c r="K3963" s="3" t="s">
        <v>23</v>
      </c>
    </row>
    <row r="3964" spans="1:11" ht="42" customHeight="1">
      <c r="A3964" s="2" t="s">
        <v>9238</v>
      </c>
      <c r="B3964" s="2" t="s">
        <v>9239</v>
      </c>
      <c r="C3964" s="2" t="s">
        <v>26</v>
      </c>
      <c r="D3964" s="2" t="s">
        <v>18</v>
      </c>
      <c r="E3964" s="5">
        <v>-30354</v>
      </c>
      <c r="F3964" s="3" t="s">
        <v>68</v>
      </c>
      <c r="G3964" s="3" t="s">
        <v>42</v>
      </c>
      <c r="H3964" s="2" t="s">
        <v>21</v>
      </c>
      <c r="I3964" s="2" t="s">
        <v>9241</v>
      </c>
      <c r="J3964" s="3" t="str">
        <f>HYPERLINK("https://www.boe.es/gazeta/dias/1816/11/21/pdfs/GMD-1816-145.pdf#page=8","Abrir facsímil")</f>
        <v>Abrir facsímil</v>
      </c>
      <c r="K3964" s="3" t="s">
        <v>23</v>
      </c>
    </row>
    <row r="3965" spans="1:11" ht="42" customHeight="1">
      <c r="A3965" s="2" t="s">
        <v>9242</v>
      </c>
      <c r="B3965" s="2" t="s">
        <v>9243</v>
      </c>
      <c r="C3965" s="2" t="s">
        <v>26</v>
      </c>
      <c r="D3965" s="2" t="s">
        <v>18</v>
      </c>
      <c r="E3965" s="5">
        <v>-30354</v>
      </c>
      <c r="F3965" s="3" t="s">
        <v>68</v>
      </c>
      <c r="G3965" s="3" t="s">
        <v>42</v>
      </c>
      <c r="H3965" s="2" t="s">
        <v>21</v>
      </c>
      <c r="I3965" s="2" t="s">
        <v>9244</v>
      </c>
      <c r="J3965" s="3" t="str">
        <f>HYPERLINK("https://www.boe.es/gazeta/dias/1816/11/21/pdfs/GMD-1816-145.pdf#page=8","Abrir facsímil")</f>
        <v>Abrir facsímil</v>
      </c>
      <c r="K3965" s="3" t="s">
        <v>23</v>
      </c>
    </row>
    <row r="3966" spans="1:11" ht="42" customHeight="1">
      <c r="A3966" s="2" t="s">
        <v>9245</v>
      </c>
      <c r="B3966" s="2" t="s">
        <v>9246</v>
      </c>
      <c r="C3966" s="2" t="s">
        <v>34</v>
      </c>
      <c r="D3966" s="2" t="s">
        <v>35</v>
      </c>
      <c r="E3966" s="5">
        <v>-30431</v>
      </c>
      <c r="F3966" s="3" t="s">
        <v>756</v>
      </c>
      <c r="G3966" s="3" t="s">
        <v>72</v>
      </c>
      <c r="H3966" s="2" t="s">
        <v>21</v>
      </c>
      <c r="I3966" s="2" t="s">
        <v>9247</v>
      </c>
      <c r="J3966" s="3" t="str">
        <f>HYPERLINK("https://www.boe.es/gazeta/dias/1816/09/05/pdfs/GMD-1816-110.pdf#page=7","Abrir facsímil")</f>
        <v>Abrir facsímil</v>
      </c>
      <c r="K3966" s="3" t="s">
        <v>23</v>
      </c>
    </row>
    <row r="3967" spans="1:11" ht="42" customHeight="1">
      <c r="A3967" s="2" t="s">
        <v>9248</v>
      </c>
      <c r="B3967" s="2" t="s">
        <v>9249</v>
      </c>
      <c r="C3967" s="2" t="s">
        <v>26</v>
      </c>
      <c r="D3967" s="2" t="s">
        <v>18</v>
      </c>
      <c r="E3967" s="5">
        <v>-30436</v>
      </c>
      <c r="F3967" s="3" t="s">
        <v>102</v>
      </c>
      <c r="G3967" s="3" t="s">
        <v>184</v>
      </c>
      <c r="H3967" s="2" t="s">
        <v>21</v>
      </c>
      <c r="I3967" s="2" t="s">
        <v>9250</v>
      </c>
      <c r="J3967" s="3" t="str">
        <f>HYPERLINK("https://www.boe.es/gazeta/dias/1816/08/31/pdfs/GMD-1816-108.pdf#page=3","Abrir facsímil")</f>
        <v>Abrir facsímil</v>
      </c>
      <c r="K3967" s="3" t="s">
        <v>23</v>
      </c>
    </row>
    <row r="3968" spans="1:11" ht="42" customHeight="1">
      <c r="A3968" s="2" t="s">
        <v>9251</v>
      </c>
      <c r="B3968" s="2" t="s">
        <v>9252</v>
      </c>
      <c r="C3968" s="2" t="s">
        <v>41</v>
      </c>
      <c r="D3968" s="2" t="s">
        <v>18</v>
      </c>
      <c r="E3968" s="5">
        <v>-30559</v>
      </c>
      <c r="F3968" s="3" t="s">
        <v>165</v>
      </c>
      <c r="G3968" s="3" t="s">
        <v>166</v>
      </c>
      <c r="H3968" s="2" t="s">
        <v>21</v>
      </c>
      <c r="I3968" s="2" t="s">
        <v>9253</v>
      </c>
      <c r="J3968" s="3" t="str">
        <f>HYPERLINK("https://www.boe.es/gazeta/dias/1816/04/30/pdfs/GMD-1816-55.pdf#page=7","Abrir facsímil")</f>
        <v>Abrir facsímil</v>
      </c>
      <c r="K3968" s="3" t="s">
        <v>23</v>
      </c>
    </row>
    <row r="3969" spans="1:11" ht="42" customHeight="1">
      <c r="A3969" s="2" t="s">
        <v>9254</v>
      </c>
      <c r="B3969" s="2" t="s">
        <v>9255</v>
      </c>
      <c r="C3969" s="2" t="s">
        <v>111</v>
      </c>
      <c r="D3969" s="2" t="s">
        <v>112</v>
      </c>
      <c r="E3969" s="5">
        <v>-30366</v>
      </c>
      <c r="F3969" s="3" t="s">
        <v>179</v>
      </c>
      <c r="G3969" s="3" t="s">
        <v>52</v>
      </c>
      <c r="H3969" s="2" t="s">
        <v>29</v>
      </c>
      <c r="I3969" s="2" t="s">
        <v>9256</v>
      </c>
      <c r="J3969" s="3" t="str">
        <f>HYPERLINK("https://www.boe.es/gazeta/dias/1816/11/09/pdfs/GMD-1816-140.pdf#page=12","Abrir facsímil")</f>
        <v>Abrir facsímil</v>
      </c>
      <c r="K3969" s="3" t="s">
        <v>31</v>
      </c>
    </row>
    <row r="3970" spans="1:11" ht="42" customHeight="1">
      <c r="A3970" s="2" t="s">
        <v>9257</v>
      </c>
      <c r="B3970" s="2" t="s">
        <v>9258</v>
      </c>
      <c r="C3970" s="2" t="s">
        <v>34</v>
      </c>
      <c r="D3970" s="2" t="s">
        <v>56</v>
      </c>
      <c r="E3970" s="5">
        <v>-30393</v>
      </c>
      <c r="F3970" s="3" t="s">
        <v>202</v>
      </c>
      <c r="G3970" s="3" t="s">
        <v>184</v>
      </c>
      <c r="H3970" s="2" t="s">
        <v>21</v>
      </c>
      <c r="I3970" s="2" t="s">
        <v>9259</v>
      </c>
      <c r="J3970" s="3" t="str">
        <f>HYPERLINK("https://www.boe.es/gazeta/dias/1816/10/13/pdfs/GMD-1816-128E.pdf#page=3","Abrir facsímil")</f>
        <v>Abrir facsímil</v>
      </c>
      <c r="K3970" s="3" t="s">
        <v>23</v>
      </c>
    </row>
    <row r="3971" spans="1:11" ht="42" customHeight="1">
      <c r="A3971" s="2" t="s">
        <v>9260</v>
      </c>
      <c r="B3971" s="2" t="s">
        <v>9261</v>
      </c>
      <c r="C3971" s="2" t="s">
        <v>34</v>
      </c>
      <c r="D3971" s="2" t="s">
        <v>35</v>
      </c>
      <c r="E3971" s="5">
        <v>-30592</v>
      </c>
      <c r="F3971" s="3" t="s">
        <v>236</v>
      </c>
      <c r="G3971" s="3" t="s">
        <v>92</v>
      </c>
      <c r="H3971" s="2" t="s">
        <v>21</v>
      </c>
      <c r="I3971" s="2" t="s">
        <v>9262</v>
      </c>
      <c r="J3971" s="3" t="str">
        <f>HYPERLINK("https://www.boe.es/gazeta/dias/1816/03/28/pdfs/GMD-1816-41.pdf#page=9","Abrir facsímil")</f>
        <v>Abrir facsímil</v>
      </c>
      <c r="K3971" s="3" t="s">
        <v>23</v>
      </c>
    </row>
    <row r="3972" spans="1:11" ht="42" customHeight="1">
      <c r="A3972" s="2" t="s">
        <v>9260</v>
      </c>
      <c r="B3972" s="2" t="s">
        <v>9261</v>
      </c>
      <c r="C3972" s="2" t="s">
        <v>26</v>
      </c>
      <c r="D3972" s="2" t="s">
        <v>18</v>
      </c>
      <c r="E3972" s="5">
        <v>-30580</v>
      </c>
      <c r="F3972" s="3" t="s">
        <v>107</v>
      </c>
      <c r="G3972" s="3" t="s">
        <v>72</v>
      </c>
      <c r="H3972" s="2" t="s">
        <v>21</v>
      </c>
      <c r="I3972" s="2" t="s">
        <v>9263</v>
      </c>
      <c r="J3972" s="3" t="str">
        <f>HYPERLINK("https://www.boe.es/gazeta/dias/1816/04/09/pdfs/GMD-1816-46.pdf#page=7","Abrir facsímil")</f>
        <v>Abrir facsímil</v>
      </c>
      <c r="K3972" s="3" t="s">
        <v>23</v>
      </c>
    </row>
    <row r="3973" spans="1:11" ht="42" customHeight="1">
      <c r="A3973" s="2" t="s">
        <v>9264</v>
      </c>
      <c r="B3973" s="2" t="s">
        <v>9265</v>
      </c>
      <c r="C3973" s="2" t="s">
        <v>34</v>
      </c>
      <c r="D3973" s="2" t="s">
        <v>35</v>
      </c>
      <c r="E3973" s="5">
        <v>-30405</v>
      </c>
      <c r="F3973" s="3" t="s">
        <v>587</v>
      </c>
      <c r="G3973" s="3" t="s">
        <v>184</v>
      </c>
      <c r="H3973" s="2" t="s">
        <v>21</v>
      </c>
      <c r="I3973" s="2" t="s">
        <v>9266</v>
      </c>
      <c r="J3973" s="3" t="str">
        <f>HYPERLINK("https://www.boe.es/gazeta/dias/1816/10/01/pdfs/GMD-1816-121.pdf#page=3","Abrir facsímil")</f>
        <v>Abrir facsímil</v>
      </c>
      <c r="K3973" s="3" t="s">
        <v>23</v>
      </c>
    </row>
    <row r="3974" spans="1:11" ht="42" customHeight="1">
      <c r="A3974" s="2" t="s">
        <v>9267</v>
      </c>
      <c r="B3974" s="2" t="s">
        <v>9268</v>
      </c>
      <c r="C3974" s="2" t="s">
        <v>26</v>
      </c>
      <c r="D3974" s="2" t="s">
        <v>56</v>
      </c>
      <c r="E3974" s="5">
        <v>-30393</v>
      </c>
      <c r="F3974" s="3" t="s">
        <v>202</v>
      </c>
      <c r="G3974" s="3" t="s">
        <v>203</v>
      </c>
      <c r="H3974" s="2" t="s">
        <v>21</v>
      </c>
      <c r="I3974" s="2" t="s">
        <v>9269</v>
      </c>
      <c r="J3974" s="3" t="str">
        <f>HYPERLINK("https://www.boe.es/gazeta/dias/1816/10/13/pdfs/GMD-1816-128E.pdf#page=7","Abrir facsímil")</f>
        <v>Abrir facsímil</v>
      </c>
      <c r="K3974" s="3" t="s">
        <v>23</v>
      </c>
    </row>
    <row r="3975" spans="1:11" ht="42" customHeight="1">
      <c r="A3975" s="2" t="s">
        <v>9270</v>
      </c>
      <c r="B3975" s="2" t="s">
        <v>9271</v>
      </c>
      <c r="C3975" s="2" t="s">
        <v>17</v>
      </c>
      <c r="D3975" s="2" t="s">
        <v>18</v>
      </c>
      <c r="E3975" s="5">
        <v>-30485</v>
      </c>
      <c r="F3975" s="3" t="s">
        <v>156</v>
      </c>
      <c r="G3975" s="3" t="s">
        <v>42</v>
      </c>
      <c r="H3975" s="2" t="s">
        <v>29</v>
      </c>
      <c r="I3975" s="2" t="s">
        <v>9272</v>
      </c>
      <c r="J3975" s="3" t="str">
        <f>HYPERLINK("https://www.boe.es/gazeta/dias/1816/07/13/pdfs/GMD-1816-87.pdf#page=8","Abrir facsímil")</f>
        <v>Abrir facsímil</v>
      </c>
      <c r="K3975" s="3" t="s">
        <v>31</v>
      </c>
    </row>
    <row r="3976" spans="1:11" ht="42" customHeight="1">
      <c r="A3976" s="2" t="s">
        <v>9273</v>
      </c>
      <c r="B3976" s="2" t="s">
        <v>9274</v>
      </c>
      <c r="C3976" s="2" t="s">
        <v>26</v>
      </c>
      <c r="D3976" s="2" t="s">
        <v>18</v>
      </c>
      <c r="E3976" s="5">
        <v>-30655</v>
      </c>
      <c r="F3976" s="3" t="s">
        <v>170</v>
      </c>
      <c r="G3976" s="3" t="s">
        <v>72</v>
      </c>
      <c r="H3976" s="2" t="s">
        <v>21</v>
      </c>
      <c r="I3976" s="2" t="s">
        <v>9275</v>
      </c>
      <c r="J3976" s="3" t="str">
        <f>HYPERLINK("https://www.boe.es/gazeta/dias/1816/01/25/pdfs/GMD-1816-11.pdf#page=7","Abrir facsímil")</f>
        <v>Abrir facsímil</v>
      </c>
      <c r="K3976" s="3" t="s">
        <v>23</v>
      </c>
    </row>
    <row r="3977" spans="1:11" ht="42" customHeight="1">
      <c r="A3977" s="2" t="s">
        <v>9276</v>
      </c>
      <c r="B3977" s="2" t="s">
        <v>9277</v>
      </c>
      <c r="C3977" s="2" t="s">
        <v>26</v>
      </c>
      <c r="D3977" s="2" t="s">
        <v>18</v>
      </c>
      <c r="E3977" s="5">
        <v>-30494</v>
      </c>
      <c r="F3977" s="3" t="s">
        <v>174</v>
      </c>
      <c r="G3977" s="3" t="s">
        <v>175</v>
      </c>
      <c r="H3977" s="2" t="s">
        <v>21</v>
      </c>
      <c r="I3977" s="2" t="s">
        <v>9278</v>
      </c>
      <c r="J3977" s="3" t="str">
        <f>HYPERLINK("https://www.boe.es/gazeta/dias/1816/07/04/pdfs/GMD-1816-83.pdf#page=11","Abrir facsímil")</f>
        <v>Abrir facsímil</v>
      </c>
      <c r="K3977" s="3" t="s">
        <v>23</v>
      </c>
    </row>
    <row r="3978" spans="1:11" ht="42" customHeight="1">
      <c r="A3978" s="2" t="s">
        <v>9279</v>
      </c>
      <c r="B3978" s="2" t="s">
        <v>9280</v>
      </c>
      <c r="C3978" s="2" t="s">
        <v>34</v>
      </c>
      <c r="D3978" s="2" t="s">
        <v>35</v>
      </c>
      <c r="E3978" s="5">
        <v>-30657</v>
      </c>
      <c r="F3978" s="3" t="s">
        <v>899</v>
      </c>
      <c r="G3978" s="3" t="s">
        <v>5210</v>
      </c>
      <c r="H3978" s="2" t="s">
        <v>21</v>
      </c>
      <c r="I3978" s="2" t="s">
        <v>9281</v>
      </c>
      <c r="J3978" s="3" t="str">
        <f>HYPERLINK("https://www.boe.es/gazeta/dias/1816/01/23/pdfs/GMD-1816-10.pdf#page=6","Abrir facsímil")</f>
        <v>Abrir facsímil</v>
      </c>
      <c r="K3978" s="3" t="s">
        <v>23</v>
      </c>
    </row>
    <row r="3979" spans="1:11" ht="42" customHeight="1">
      <c r="A3979" s="2" t="s">
        <v>9282</v>
      </c>
      <c r="B3979" s="2" t="s">
        <v>9283</v>
      </c>
      <c r="C3979" s="2" t="s">
        <v>81</v>
      </c>
      <c r="D3979" s="2" t="s">
        <v>18</v>
      </c>
      <c r="E3979" s="5">
        <v>-30515</v>
      </c>
      <c r="F3979" s="3" t="s">
        <v>2452</v>
      </c>
      <c r="G3979" s="3" t="s">
        <v>42</v>
      </c>
      <c r="H3979" s="2" t="s">
        <v>21</v>
      </c>
      <c r="I3979" s="2" t="s">
        <v>9284</v>
      </c>
      <c r="J3979" s="3" t="str">
        <f>HYPERLINK("https://www.boe.es/gazeta/dias/1816/06/13/pdfs/GMD-1816-74.pdf#page=8","Abrir facsímil")</f>
        <v>Abrir facsímil</v>
      </c>
      <c r="K3979" s="3" t="s">
        <v>23</v>
      </c>
    </row>
    <row r="3980" spans="1:11" ht="42" customHeight="1">
      <c r="A3980" s="2" t="s">
        <v>9285</v>
      </c>
      <c r="B3980" s="2" t="s">
        <v>9286</v>
      </c>
      <c r="C3980" s="2" t="s">
        <v>34</v>
      </c>
      <c r="D3980" s="2" t="s">
        <v>35</v>
      </c>
      <c r="E3980" s="5">
        <v>-30496</v>
      </c>
      <c r="F3980" s="3" t="s">
        <v>290</v>
      </c>
      <c r="G3980" s="3" t="s">
        <v>291</v>
      </c>
      <c r="H3980" s="2" t="s">
        <v>21</v>
      </c>
      <c r="I3980" s="2" t="s">
        <v>9287</v>
      </c>
      <c r="J3980" s="3" t="str">
        <f>HYPERLINK("https://www.boe.es/gazeta/dias/1816/07/02/pdfs/GMD-1816-82.pdf#page=7","Abrir facsímil")</f>
        <v>Abrir facsímil</v>
      </c>
      <c r="K3980" s="3" t="s">
        <v>23</v>
      </c>
    </row>
    <row r="3981" spans="1:11" ht="42" customHeight="1">
      <c r="A3981" s="2" t="s">
        <v>9288</v>
      </c>
      <c r="B3981" s="2" t="s">
        <v>9288</v>
      </c>
      <c r="C3981" s="2" t="s">
        <v>387</v>
      </c>
      <c r="D3981" s="2" t="s">
        <v>18</v>
      </c>
      <c r="E3981" s="5">
        <v>-30576</v>
      </c>
      <c r="F3981" s="3" t="s">
        <v>353</v>
      </c>
      <c r="G3981" s="3" t="s">
        <v>42</v>
      </c>
      <c r="H3981" s="2" t="s">
        <v>21</v>
      </c>
      <c r="I3981" s="2" t="s">
        <v>9289</v>
      </c>
      <c r="J3981" s="3" t="str">
        <f>HYPERLINK("https://www.boe.es/gazeta/dias/1816/04/13/pdfs/GMD-1816-48.pdf#page=8","Abrir facsímil")</f>
        <v>Abrir facsímil</v>
      </c>
      <c r="K3981" s="3" t="s">
        <v>23</v>
      </c>
    </row>
    <row r="3982" spans="1:11" ht="42" customHeight="1">
      <c r="A3982" s="2" t="s">
        <v>9288</v>
      </c>
      <c r="B3982" s="2" t="s">
        <v>9288</v>
      </c>
      <c r="C3982" s="2" t="s">
        <v>67</v>
      </c>
      <c r="D3982" s="2" t="s">
        <v>18</v>
      </c>
      <c r="E3982" s="5">
        <v>-30387</v>
      </c>
      <c r="F3982" s="3" t="s">
        <v>224</v>
      </c>
      <c r="G3982" s="3" t="s">
        <v>42</v>
      </c>
      <c r="H3982" s="2" t="s">
        <v>21</v>
      </c>
      <c r="I3982" s="2" t="s">
        <v>9290</v>
      </c>
      <c r="J3982" s="3" t="str">
        <f>HYPERLINK("https://www.boe.es/gazeta/dias/1816/10/19/pdfs/GMD-1816-131.pdf#page=8","Abrir facsímil")</f>
        <v>Abrir facsímil</v>
      </c>
      <c r="K3982" s="3" t="s">
        <v>23</v>
      </c>
    </row>
    <row r="3983" spans="1:11" ht="42" customHeight="1">
      <c r="A3983" s="2" t="s">
        <v>9291</v>
      </c>
      <c r="B3983" s="2" t="s">
        <v>9292</v>
      </c>
      <c r="C3983" s="2" t="s">
        <v>17</v>
      </c>
      <c r="D3983" s="2" t="s">
        <v>18</v>
      </c>
      <c r="E3983" s="5">
        <v>-30438</v>
      </c>
      <c r="F3983" s="3" t="s">
        <v>299</v>
      </c>
      <c r="G3983" s="3" t="s">
        <v>92</v>
      </c>
      <c r="H3983" s="2" t="s">
        <v>21</v>
      </c>
      <c r="I3983" s="2" t="s">
        <v>9293</v>
      </c>
      <c r="J3983" s="3" t="str">
        <f>HYPERLINK("https://www.boe.es/gazeta/dias/1816/08/29/pdfs/GMD-1816-107.pdf#page=9","Abrir facsímil")</f>
        <v>Abrir facsímil</v>
      </c>
      <c r="K3983" s="3" t="s">
        <v>23</v>
      </c>
    </row>
    <row r="3984" spans="1:11" ht="42" customHeight="1">
      <c r="A3984" s="2" t="s">
        <v>9294</v>
      </c>
      <c r="B3984" s="2" t="s">
        <v>9295</v>
      </c>
      <c r="C3984" s="2" t="s">
        <v>26</v>
      </c>
      <c r="D3984" s="2" t="s">
        <v>18</v>
      </c>
      <c r="E3984" s="5">
        <v>-30494</v>
      </c>
      <c r="F3984" s="3" t="s">
        <v>174</v>
      </c>
      <c r="G3984" s="3" t="s">
        <v>175</v>
      </c>
      <c r="H3984" s="2" t="s">
        <v>21</v>
      </c>
      <c r="I3984" s="2" t="s">
        <v>9296</v>
      </c>
      <c r="J3984" s="3" t="str">
        <f>HYPERLINK("https://www.boe.es/gazeta/dias/1816/07/04/pdfs/GMD-1816-83.pdf#page=11","Abrir facsímil")</f>
        <v>Abrir facsímil</v>
      </c>
      <c r="K3984" s="3" t="s">
        <v>23</v>
      </c>
    </row>
    <row r="3985" spans="1:11" ht="42" customHeight="1">
      <c r="A3985" s="2" t="s">
        <v>9297</v>
      </c>
      <c r="B3985" s="2" t="s">
        <v>9298</v>
      </c>
      <c r="C3985" s="2" t="s">
        <v>34</v>
      </c>
      <c r="D3985" s="2" t="s">
        <v>35</v>
      </c>
      <c r="E3985" s="5">
        <v>-30340</v>
      </c>
      <c r="F3985" s="3" t="s">
        <v>1618</v>
      </c>
      <c r="G3985" s="3" t="s">
        <v>103</v>
      </c>
      <c r="H3985" s="2" t="s">
        <v>21</v>
      </c>
      <c r="I3985" s="2" t="s">
        <v>9299</v>
      </c>
      <c r="J3985" s="3" t="str">
        <f>HYPERLINK("https://www.boe.es/gazeta/dias/1816/12/05/pdfs/GMD-1816-151.pdf#page=4","Abrir facsímil")</f>
        <v>Abrir facsímil</v>
      </c>
      <c r="K3985" s="3" t="s">
        <v>23</v>
      </c>
    </row>
    <row r="3986" spans="1:11" ht="42" customHeight="1">
      <c r="A3986" s="2" t="s">
        <v>9300</v>
      </c>
      <c r="B3986" s="2" t="s">
        <v>9301</v>
      </c>
      <c r="C3986" s="2" t="s">
        <v>34</v>
      </c>
      <c r="D3986" s="2" t="s">
        <v>35</v>
      </c>
      <c r="E3986" s="5">
        <v>-30641</v>
      </c>
      <c r="F3986" s="3" t="s">
        <v>192</v>
      </c>
      <c r="G3986" s="3" t="s">
        <v>42</v>
      </c>
      <c r="H3986" s="2" t="s">
        <v>21</v>
      </c>
      <c r="I3986" s="2" t="s">
        <v>9302</v>
      </c>
      <c r="J3986" s="3" t="str">
        <f>HYPERLINK("https://www.boe.es/gazeta/dias/1816/02/08/pdfs/GMD-1816-18.pdf#page=8","Abrir facsímil")</f>
        <v>Abrir facsímil</v>
      </c>
      <c r="K3986" s="3" t="s">
        <v>23</v>
      </c>
    </row>
    <row r="3987" spans="1:11" ht="42" customHeight="1">
      <c r="A3987" s="2" t="s">
        <v>9303</v>
      </c>
      <c r="B3987" s="2" t="s">
        <v>9304</v>
      </c>
      <c r="C3987" s="2" t="s">
        <v>34</v>
      </c>
      <c r="D3987" s="2" t="s">
        <v>35</v>
      </c>
      <c r="E3987" s="5">
        <v>-30326</v>
      </c>
      <c r="F3987" s="3" t="s">
        <v>377</v>
      </c>
      <c r="G3987" s="3" t="s">
        <v>28</v>
      </c>
      <c r="H3987" s="2" t="s">
        <v>21</v>
      </c>
      <c r="I3987" s="2" t="s">
        <v>9305</v>
      </c>
      <c r="J3987" s="3" t="str">
        <f>HYPERLINK("https://www.boe.es/gazeta/dias/1816/12/19/pdfs/GMD-1816-157.pdf#page=6","Abrir facsímil")</f>
        <v>Abrir facsímil</v>
      </c>
      <c r="K3987" s="3" t="s">
        <v>23</v>
      </c>
    </row>
    <row r="3988" spans="1:11" ht="42" customHeight="1">
      <c r="A3988" s="2" t="s">
        <v>9306</v>
      </c>
      <c r="B3988" s="2" t="s">
        <v>9307</v>
      </c>
      <c r="C3988" s="2" t="s">
        <v>67</v>
      </c>
      <c r="D3988" s="2" t="s">
        <v>18</v>
      </c>
      <c r="E3988" s="5">
        <v>-30457</v>
      </c>
      <c r="F3988" s="3" t="s">
        <v>539</v>
      </c>
      <c r="G3988" s="3" t="s">
        <v>42</v>
      </c>
      <c r="H3988" s="2" t="s">
        <v>29</v>
      </c>
      <c r="I3988" s="2" t="s">
        <v>9308</v>
      </c>
      <c r="J3988" s="3" t="str">
        <f>HYPERLINK("https://www.boe.es/gazeta/dias/1816/08/10/pdfs/GMD-1816-99.pdf#page=8","Abrir facsímil")</f>
        <v>Abrir facsímil</v>
      </c>
      <c r="K3988" s="3" t="s">
        <v>31</v>
      </c>
    </row>
    <row r="3989" spans="1:11" ht="42" customHeight="1">
      <c r="A3989" s="2" t="s">
        <v>9309</v>
      </c>
      <c r="B3989" s="2" t="s">
        <v>9310</v>
      </c>
      <c r="C3989" s="2" t="s">
        <v>111</v>
      </c>
      <c r="D3989" s="2" t="s">
        <v>112</v>
      </c>
      <c r="E3989" s="5">
        <v>-30529</v>
      </c>
      <c r="F3989" s="3" t="s">
        <v>432</v>
      </c>
      <c r="G3989" s="3" t="s">
        <v>72</v>
      </c>
      <c r="H3989" s="2" t="s">
        <v>21</v>
      </c>
      <c r="I3989" s="2" t="s">
        <v>9311</v>
      </c>
      <c r="J3989" s="3" t="str">
        <f>HYPERLINK("https://www.boe.es/gazeta/dias/1816/05/30/pdfs/GMD-1816-68.pdf#page=7","Abrir facsímil")</f>
        <v>Abrir facsímil</v>
      </c>
      <c r="K3989" s="3" t="s">
        <v>23</v>
      </c>
    </row>
    <row r="3990" spans="1:11" ht="42" customHeight="1">
      <c r="A3990" s="2" t="s">
        <v>9312</v>
      </c>
      <c r="B3990" s="2" t="s">
        <v>9313</v>
      </c>
      <c r="C3990" s="2" t="s">
        <v>34</v>
      </c>
      <c r="D3990" s="2" t="s">
        <v>35</v>
      </c>
      <c r="E3990" s="5">
        <v>-30585</v>
      </c>
      <c r="F3990" s="3" t="s">
        <v>633</v>
      </c>
      <c r="G3990" s="3" t="s">
        <v>72</v>
      </c>
      <c r="H3990" s="2" t="s">
        <v>29</v>
      </c>
      <c r="I3990" s="2" t="s">
        <v>9314</v>
      </c>
      <c r="J3990" s="3" t="str">
        <f>HYPERLINK("https://www.boe.es/gazeta/dias/1816/04/04/pdfs/GMD-1816-44.pdf#page=7","Abrir facsímil")</f>
        <v>Abrir facsímil</v>
      </c>
      <c r="K3990" s="3" t="s">
        <v>31</v>
      </c>
    </row>
    <row r="3991" spans="1:11" ht="42" customHeight="1">
      <c r="A3991" s="2" t="s">
        <v>9315</v>
      </c>
      <c r="B3991" s="2" t="s">
        <v>9316</v>
      </c>
      <c r="C3991" s="2" t="s">
        <v>67</v>
      </c>
      <c r="D3991" s="2" t="s">
        <v>18</v>
      </c>
      <c r="E3991" s="5">
        <v>-30389</v>
      </c>
      <c r="F3991" s="3" t="s">
        <v>522</v>
      </c>
      <c r="G3991" s="3" t="s">
        <v>28</v>
      </c>
      <c r="H3991" s="2" t="s">
        <v>21</v>
      </c>
      <c r="I3991" s="2" t="s">
        <v>9317</v>
      </c>
      <c r="J3991" s="3" t="str">
        <f>HYPERLINK("https://www.boe.es/gazeta/dias/1816/10/17/pdfs/GMD-1816-130.pdf#page=6","Abrir facsímil")</f>
        <v>Abrir facsímil</v>
      </c>
      <c r="K3991" s="3" t="s">
        <v>23</v>
      </c>
    </row>
    <row r="3992" spans="1:11" ht="42" customHeight="1">
      <c r="A3992" s="2" t="s">
        <v>9318</v>
      </c>
      <c r="B3992" s="2" t="s">
        <v>9319</v>
      </c>
      <c r="C3992" s="2" t="s">
        <v>34</v>
      </c>
      <c r="D3992" s="2" t="s">
        <v>35</v>
      </c>
      <c r="E3992" s="5">
        <v>-30352</v>
      </c>
      <c r="F3992" s="3" t="s">
        <v>407</v>
      </c>
      <c r="G3992" s="3" t="s">
        <v>72</v>
      </c>
      <c r="H3992" s="2" t="s">
        <v>29</v>
      </c>
      <c r="I3992" s="2" t="s">
        <v>9320</v>
      </c>
      <c r="J3992" s="3" t="str">
        <f>HYPERLINK("https://www.boe.es/gazeta/dias/1816/11/23/pdfs/GMD-1816-146.pdf#page=7","Abrir facsímil")</f>
        <v>Abrir facsímil</v>
      </c>
      <c r="K3992" s="3" t="s">
        <v>31</v>
      </c>
    </row>
    <row r="3993" spans="1:11" ht="42" customHeight="1">
      <c r="A3993" s="2" t="s">
        <v>9321</v>
      </c>
      <c r="B3993" s="2" t="s">
        <v>9322</v>
      </c>
      <c r="C3993" s="2" t="s">
        <v>34</v>
      </c>
      <c r="D3993" s="2" t="s">
        <v>35</v>
      </c>
      <c r="E3993" s="5">
        <v>-30415</v>
      </c>
      <c r="F3993" s="3" t="s">
        <v>585</v>
      </c>
      <c r="G3993" s="3" t="s">
        <v>92</v>
      </c>
      <c r="H3993" s="2" t="s">
        <v>21</v>
      </c>
      <c r="I3993" s="2" t="s">
        <v>9323</v>
      </c>
      <c r="J3993" s="3" t="str">
        <f>HYPERLINK("https://www.boe.es/gazeta/dias/1816/09/21/pdfs/GMD-1816-117.pdf#page=9","Abrir facsímil")</f>
        <v>Abrir facsímil</v>
      </c>
      <c r="K3993" s="3" t="s">
        <v>23</v>
      </c>
    </row>
    <row r="3994" spans="1:11" ht="42" customHeight="1">
      <c r="A3994" s="2" t="s">
        <v>9324</v>
      </c>
      <c r="B3994" s="2" t="s">
        <v>9325</v>
      </c>
      <c r="C3994" s="2" t="s">
        <v>34</v>
      </c>
      <c r="D3994" s="2" t="s">
        <v>56</v>
      </c>
      <c r="E3994" s="5">
        <v>-30622</v>
      </c>
      <c r="F3994" s="3" t="s">
        <v>907</v>
      </c>
      <c r="G3994" s="3" t="s">
        <v>103</v>
      </c>
      <c r="H3994" s="2" t="s">
        <v>21</v>
      </c>
      <c r="I3994" s="2" t="s">
        <v>9326</v>
      </c>
      <c r="J3994" s="3" t="str">
        <f>HYPERLINK("https://www.boe.es/gazeta/dias/1816/02/27/pdfs/GMD-1816-27E.pdf#page=4","Abrir facsímil")</f>
        <v>Abrir facsímil</v>
      </c>
      <c r="K3994" s="3" t="s">
        <v>23</v>
      </c>
    </row>
    <row r="3995" spans="1:11" ht="42" customHeight="1">
      <c r="A3995" s="2" t="s">
        <v>9324</v>
      </c>
      <c r="B3995" s="2" t="s">
        <v>9325</v>
      </c>
      <c r="C3995" s="2" t="s">
        <v>111</v>
      </c>
      <c r="D3995" s="2" t="s">
        <v>56</v>
      </c>
      <c r="E3995" s="5">
        <v>-30393</v>
      </c>
      <c r="F3995" s="3" t="s">
        <v>202</v>
      </c>
      <c r="G3995" s="3" t="s">
        <v>270</v>
      </c>
      <c r="H3995" s="2" t="s">
        <v>21</v>
      </c>
      <c r="I3995" s="2" t="s">
        <v>9327</v>
      </c>
      <c r="J3995" s="3" t="str">
        <f>HYPERLINK("https://www.boe.es/gazeta/dias/1816/10/13/pdfs/GMD-1816-128E.pdf#page=2","Abrir facsímil")</f>
        <v>Abrir facsímil</v>
      </c>
      <c r="K3995" s="3" t="s">
        <v>23</v>
      </c>
    </row>
    <row r="3996" spans="1:11" ht="42" customHeight="1">
      <c r="A3996" s="2" t="s">
        <v>9328</v>
      </c>
      <c r="B3996" s="2" t="s">
        <v>9329</v>
      </c>
      <c r="C3996" s="2" t="s">
        <v>34</v>
      </c>
      <c r="D3996" s="2" t="s">
        <v>35</v>
      </c>
      <c r="E3996" s="5">
        <v>-30489</v>
      </c>
      <c r="F3996" s="3" t="s">
        <v>1120</v>
      </c>
      <c r="G3996" s="3" t="s">
        <v>103</v>
      </c>
      <c r="H3996" s="2" t="s">
        <v>21</v>
      </c>
      <c r="I3996" s="2" t="s">
        <v>9330</v>
      </c>
      <c r="J3996" s="3" t="str">
        <f>HYPERLINK("https://www.boe.es/gazeta/dias/1816/07/09/pdfs/GMD-1816-85.pdf#page=4","Abrir facsímil")</f>
        <v>Abrir facsímil</v>
      </c>
      <c r="K3996" s="3" t="s">
        <v>23</v>
      </c>
    </row>
    <row r="3997" spans="1:11" ht="42" customHeight="1">
      <c r="A3997" s="2" t="s">
        <v>9331</v>
      </c>
      <c r="B3997" s="2" t="s">
        <v>9332</v>
      </c>
      <c r="C3997" s="2" t="s">
        <v>26</v>
      </c>
      <c r="D3997" s="2" t="s">
        <v>18</v>
      </c>
      <c r="E3997" s="5">
        <v>-30601</v>
      </c>
      <c r="F3997" s="3" t="s">
        <v>308</v>
      </c>
      <c r="G3997" s="3" t="s">
        <v>28</v>
      </c>
      <c r="H3997" s="2" t="s">
        <v>29</v>
      </c>
      <c r="I3997" s="2" t="s">
        <v>9333</v>
      </c>
      <c r="J3997" s="3" t="str">
        <f>HYPERLINK("https://www.boe.es/gazeta/dias/1816/03/19/pdfs/GMD-1816-37.pdf#page=6","Abrir facsímil")</f>
        <v>Abrir facsímil</v>
      </c>
      <c r="K3997" s="3" t="s">
        <v>31</v>
      </c>
    </row>
    <row r="3998" spans="1:11" ht="42" customHeight="1">
      <c r="A3998" s="2" t="s">
        <v>9334</v>
      </c>
      <c r="B3998" s="2" t="s">
        <v>9335</v>
      </c>
      <c r="C3998" s="2" t="s">
        <v>26</v>
      </c>
      <c r="D3998" s="2" t="s">
        <v>18</v>
      </c>
      <c r="E3998" s="5">
        <v>-30494</v>
      </c>
      <c r="F3998" s="3" t="s">
        <v>174</v>
      </c>
      <c r="G3998" s="3" t="s">
        <v>175</v>
      </c>
      <c r="H3998" s="2" t="s">
        <v>29</v>
      </c>
      <c r="I3998" s="2" t="s">
        <v>9336</v>
      </c>
      <c r="J3998" s="3" t="str">
        <f>HYPERLINK("https://www.boe.es/gazeta/dias/1816/07/04/pdfs/GMD-1816-83.pdf#page=11","Abrir facsímil")</f>
        <v>Abrir facsímil</v>
      </c>
      <c r="K3998" s="3" t="s">
        <v>31</v>
      </c>
    </row>
    <row r="3999" spans="1:11" ht="42" customHeight="1">
      <c r="A3999" s="2" t="s">
        <v>9337</v>
      </c>
      <c r="B3999" s="2" t="s">
        <v>9338</v>
      </c>
      <c r="C3999" s="2" t="s">
        <v>81</v>
      </c>
      <c r="D3999" s="2" t="s">
        <v>18</v>
      </c>
      <c r="E3999" s="5">
        <v>-30615</v>
      </c>
      <c r="F3999" s="3" t="s">
        <v>1848</v>
      </c>
      <c r="G3999" s="3" t="s">
        <v>42</v>
      </c>
      <c r="H3999" s="2" t="s">
        <v>29</v>
      </c>
      <c r="I3999" s="2" t="s">
        <v>9339</v>
      </c>
      <c r="J3999" s="3" t="str">
        <f>HYPERLINK("https://www.boe.es/gazeta/dias/1816/03/05/pdfs/GMD-1816-30.pdf#page=8","Abrir facsímil")</f>
        <v>Abrir facsímil</v>
      </c>
      <c r="K3999" s="3" t="s">
        <v>31</v>
      </c>
    </row>
    <row r="4000" spans="1:11" ht="42" customHeight="1">
      <c r="A4000" s="2" t="s">
        <v>9340</v>
      </c>
      <c r="B4000" s="2" t="s">
        <v>9340</v>
      </c>
      <c r="C4000" s="2" t="s">
        <v>111</v>
      </c>
      <c r="D4000" s="2" t="s">
        <v>112</v>
      </c>
      <c r="E4000" s="5">
        <v>-30576</v>
      </c>
      <c r="F4000" s="3" t="s">
        <v>353</v>
      </c>
      <c r="G4000" s="3" t="s">
        <v>72</v>
      </c>
      <c r="H4000" s="2" t="s">
        <v>21</v>
      </c>
      <c r="I4000" s="2" t="s">
        <v>9341</v>
      </c>
      <c r="J4000" s="3" t="str">
        <f>HYPERLINK("https://www.boe.es/gazeta/dias/1816/04/13/pdfs/GMD-1816-48.pdf#page=7","Abrir facsímil")</f>
        <v>Abrir facsímil</v>
      </c>
      <c r="K4000" s="3" t="s">
        <v>23</v>
      </c>
    </row>
    <row r="4001" spans="1:11" ht="42" customHeight="1">
      <c r="A4001" s="2" t="s">
        <v>9340</v>
      </c>
      <c r="B4001" s="2" t="s">
        <v>9340</v>
      </c>
      <c r="C4001" s="2" t="s">
        <v>34</v>
      </c>
      <c r="D4001" s="2" t="s">
        <v>35</v>
      </c>
      <c r="E4001" s="5">
        <v>-30566</v>
      </c>
      <c r="F4001" s="3" t="s">
        <v>113</v>
      </c>
      <c r="G4001" s="3" t="s">
        <v>28</v>
      </c>
      <c r="H4001" s="2" t="s">
        <v>21</v>
      </c>
      <c r="I4001" s="2" t="s">
        <v>9342</v>
      </c>
      <c r="J4001" s="3" t="str">
        <f>HYPERLINK("https://www.boe.es/gazeta/dias/1816/04/23/pdfs/GMD-1816-52.pdf#page=6","Abrir facsímil")</f>
        <v>Abrir facsímil</v>
      </c>
      <c r="K4001" s="3" t="s">
        <v>23</v>
      </c>
    </row>
    <row r="4002" spans="1:11" ht="42" customHeight="1">
      <c r="A4002" s="2" t="s">
        <v>9340</v>
      </c>
      <c r="B4002" s="2" t="s">
        <v>9340</v>
      </c>
      <c r="C4002" s="2" t="s">
        <v>111</v>
      </c>
      <c r="D4002" s="2" t="s">
        <v>112</v>
      </c>
      <c r="E4002" s="5">
        <v>-30489</v>
      </c>
      <c r="F4002" s="3" t="s">
        <v>1120</v>
      </c>
      <c r="G4002" s="3" t="s">
        <v>42</v>
      </c>
      <c r="H4002" s="2" t="s">
        <v>21</v>
      </c>
      <c r="I4002" s="2" t="s">
        <v>9343</v>
      </c>
      <c r="J4002" s="3" t="str">
        <f>HYPERLINK("https://www.boe.es/gazeta/dias/1816/07/09/pdfs/GMD-1816-85.pdf#page=8","Abrir facsímil")</f>
        <v>Abrir facsímil</v>
      </c>
      <c r="K4002" s="3" t="s">
        <v>23</v>
      </c>
    </row>
    <row r="4003" spans="1:11" ht="42" customHeight="1">
      <c r="A4003" s="2" t="s">
        <v>9340</v>
      </c>
      <c r="B4003" s="2" t="s">
        <v>9340</v>
      </c>
      <c r="C4003" s="2" t="s">
        <v>34</v>
      </c>
      <c r="D4003" s="2" t="s">
        <v>35</v>
      </c>
      <c r="E4003" s="5">
        <v>-30391</v>
      </c>
      <c r="F4003" s="3" t="s">
        <v>482</v>
      </c>
      <c r="G4003" s="3" t="s">
        <v>72</v>
      </c>
      <c r="H4003" s="2" t="s">
        <v>21</v>
      </c>
      <c r="I4003" s="2" t="s">
        <v>9344</v>
      </c>
      <c r="J4003" s="3" t="str">
        <f>HYPERLINK("https://www.boe.es/gazeta/dias/1816/10/15/pdfs/GMD-1816-129.pdf#page=7","Abrir facsímil")</f>
        <v>Abrir facsímil</v>
      </c>
      <c r="K4003" s="3" t="s">
        <v>23</v>
      </c>
    </row>
    <row r="4004" spans="1:11" ht="42" customHeight="1">
      <c r="A4004" s="2" t="s">
        <v>9340</v>
      </c>
      <c r="B4004" s="2" t="s">
        <v>9340</v>
      </c>
      <c r="C4004" s="2" t="s">
        <v>26</v>
      </c>
      <c r="D4004" s="2" t="s">
        <v>18</v>
      </c>
      <c r="E4004" s="5">
        <v>-30387</v>
      </c>
      <c r="F4004" s="3" t="s">
        <v>224</v>
      </c>
      <c r="G4004" s="3" t="s">
        <v>28</v>
      </c>
      <c r="H4004" s="2" t="s">
        <v>21</v>
      </c>
      <c r="I4004" s="2" t="s">
        <v>9345</v>
      </c>
      <c r="J4004" s="3" t="str">
        <f>HYPERLINK("https://www.boe.es/gazeta/dias/1816/10/19/pdfs/GMD-1816-131.pdf#page=6","Abrir facsímil")</f>
        <v>Abrir facsímil</v>
      </c>
      <c r="K4004" s="3" t="s">
        <v>23</v>
      </c>
    </row>
    <row r="4005" spans="1:11" ht="42" customHeight="1">
      <c r="A4005" s="2" t="s">
        <v>9340</v>
      </c>
      <c r="B4005" s="2" t="s">
        <v>9340</v>
      </c>
      <c r="C4005" s="2" t="s">
        <v>26</v>
      </c>
      <c r="D4005" s="2" t="s">
        <v>18</v>
      </c>
      <c r="E4005" s="5">
        <v>-30354</v>
      </c>
      <c r="F4005" s="3" t="s">
        <v>68</v>
      </c>
      <c r="G4005" s="3" t="s">
        <v>42</v>
      </c>
      <c r="H4005" s="2" t="s">
        <v>21</v>
      </c>
      <c r="I4005" s="2" t="s">
        <v>9346</v>
      </c>
      <c r="J4005" s="3" t="str">
        <f>HYPERLINK("https://www.boe.es/gazeta/dias/1816/11/21/pdfs/GMD-1816-145.pdf#page=8","Abrir facsímil")</f>
        <v>Abrir facsímil</v>
      </c>
      <c r="K4005" s="3" t="s">
        <v>23</v>
      </c>
    </row>
    <row r="4006" spans="1:11" ht="42" customHeight="1">
      <c r="A4006" s="2" t="s">
        <v>9347</v>
      </c>
      <c r="B4006" s="2" t="s">
        <v>9348</v>
      </c>
      <c r="C4006" s="2" t="s">
        <v>26</v>
      </c>
      <c r="D4006" s="2" t="s">
        <v>18</v>
      </c>
      <c r="E4006" s="5">
        <v>-30482</v>
      </c>
      <c r="F4006" s="3" t="s">
        <v>370</v>
      </c>
      <c r="G4006" s="3" t="s">
        <v>52</v>
      </c>
      <c r="H4006" s="2" t="s">
        <v>21</v>
      </c>
      <c r="I4006" s="2" t="s">
        <v>9349</v>
      </c>
      <c r="J4006" s="3" t="str">
        <f>HYPERLINK("https://www.boe.es/gazeta/dias/1816/07/16/pdfs/GMD-1816-88.pdf#page=12","Abrir facsímil")</f>
        <v>Abrir facsímil</v>
      </c>
      <c r="K4006" s="3" t="s">
        <v>23</v>
      </c>
    </row>
    <row r="4007" spans="1:11" ht="42" customHeight="1">
      <c r="A4007" s="2" t="s">
        <v>9350</v>
      </c>
      <c r="B4007" s="2" t="s">
        <v>9351</v>
      </c>
      <c r="C4007" s="2" t="s">
        <v>34</v>
      </c>
      <c r="D4007" s="2" t="s">
        <v>35</v>
      </c>
      <c r="E4007" s="5">
        <v>-30387</v>
      </c>
      <c r="F4007" s="3" t="s">
        <v>224</v>
      </c>
      <c r="G4007" s="3" t="s">
        <v>28</v>
      </c>
      <c r="H4007" s="2" t="s">
        <v>21</v>
      </c>
      <c r="I4007" s="2" t="s">
        <v>9352</v>
      </c>
      <c r="J4007" s="3" t="str">
        <f>HYPERLINK("https://www.boe.es/gazeta/dias/1816/10/19/pdfs/GMD-1816-131.pdf#page=6","Abrir facsímil")</f>
        <v>Abrir facsímil</v>
      </c>
      <c r="K4007" s="3" t="s">
        <v>23</v>
      </c>
    </row>
    <row r="4008" spans="1:11" ht="42" customHeight="1">
      <c r="A4008" s="2" t="s">
        <v>9353</v>
      </c>
      <c r="B4008" s="2" t="s">
        <v>9354</v>
      </c>
      <c r="C4008" s="2" t="s">
        <v>34</v>
      </c>
      <c r="D4008" s="2" t="s">
        <v>35</v>
      </c>
      <c r="E4008" s="5">
        <v>-30629</v>
      </c>
      <c r="F4008" s="3" t="s">
        <v>904</v>
      </c>
      <c r="G4008" s="3" t="s">
        <v>42</v>
      </c>
      <c r="H4008" s="2" t="s">
        <v>21</v>
      </c>
      <c r="I4008" s="2" t="s">
        <v>9355</v>
      </c>
      <c r="J4008" s="3" t="str">
        <f>HYPERLINK("https://www.boe.es/gazeta/dias/1816/02/20/pdfs/GMD-1816-23.pdf#page=8","Abrir facsímil")</f>
        <v>Abrir facsímil</v>
      </c>
      <c r="K4008" s="3" t="s">
        <v>23</v>
      </c>
    </row>
    <row r="4009" spans="1:11" ht="42" customHeight="1">
      <c r="A4009" s="2" t="s">
        <v>9356</v>
      </c>
      <c r="B4009" s="2" t="s">
        <v>9356</v>
      </c>
      <c r="C4009" s="2" t="s">
        <v>34</v>
      </c>
      <c r="D4009" s="2" t="s">
        <v>35</v>
      </c>
      <c r="E4009" s="5">
        <v>-30674</v>
      </c>
      <c r="F4009" s="3" t="s">
        <v>19</v>
      </c>
      <c r="G4009" s="3" t="s">
        <v>58</v>
      </c>
      <c r="H4009" s="2" t="s">
        <v>21</v>
      </c>
      <c r="I4009" s="2" t="s">
        <v>9357</v>
      </c>
      <c r="J4009" s="3" t="str">
        <f>HYPERLINK("https://www.boe.es/gazeta/dias/1816/01/06/pdfs/GMD-1816-3.pdf#page=1","Abrir facsímil")</f>
        <v>Abrir facsímil</v>
      </c>
      <c r="K4009" s="3" t="s">
        <v>23</v>
      </c>
    </row>
    <row r="4010" spans="1:11" ht="42" customHeight="1">
      <c r="A4010" s="2" t="s">
        <v>9358</v>
      </c>
      <c r="B4010" s="2" t="s">
        <v>9359</v>
      </c>
      <c r="C4010" s="2" t="s">
        <v>111</v>
      </c>
      <c r="D4010" s="2" t="s">
        <v>112</v>
      </c>
      <c r="E4010" s="5">
        <v>-30534</v>
      </c>
      <c r="F4010" s="3" t="s">
        <v>274</v>
      </c>
      <c r="G4010" s="3" t="s">
        <v>42</v>
      </c>
      <c r="H4010" s="2" t="s">
        <v>21</v>
      </c>
      <c r="I4010" s="2" t="s">
        <v>9360</v>
      </c>
      <c r="J4010" s="3" t="str">
        <f>HYPERLINK("https://www.boe.es/gazeta/dias/1816/05/25/pdfs/GMD-1816-66.pdf#page=8","Abrir facsímil")</f>
        <v>Abrir facsímil</v>
      </c>
      <c r="K4010" s="3" t="s">
        <v>23</v>
      </c>
    </row>
    <row r="4011" spans="1:11" ht="42" customHeight="1">
      <c r="A4011" s="2" t="s">
        <v>9361</v>
      </c>
      <c r="B4011" s="2" t="s">
        <v>9362</v>
      </c>
      <c r="C4011" s="2" t="s">
        <v>81</v>
      </c>
      <c r="D4011" s="2" t="s">
        <v>18</v>
      </c>
      <c r="E4011" s="5">
        <v>-30597</v>
      </c>
      <c r="F4011" s="3" t="s">
        <v>696</v>
      </c>
      <c r="G4011" s="3" t="s">
        <v>5227</v>
      </c>
      <c r="H4011" s="2" t="s">
        <v>21</v>
      </c>
      <c r="I4011" s="2" t="s">
        <v>9363</v>
      </c>
      <c r="J4011" s="3" t="str">
        <f>HYPERLINK("https://www.boe.es/gazeta/dias/1816/03/23/pdfs/GMD-1816-39.pdf#page=8","Abrir facsímil")</f>
        <v>Abrir facsímil</v>
      </c>
      <c r="K4011" s="3" t="s">
        <v>23</v>
      </c>
    </row>
    <row r="4012" spans="1:11" ht="42" customHeight="1">
      <c r="A4012" s="2" t="s">
        <v>9364</v>
      </c>
      <c r="B4012" s="2" t="s">
        <v>9365</v>
      </c>
      <c r="C4012" s="2" t="s">
        <v>26</v>
      </c>
      <c r="D4012" s="2" t="s">
        <v>18</v>
      </c>
      <c r="E4012" s="5">
        <v>-30391</v>
      </c>
      <c r="F4012" s="3" t="s">
        <v>482</v>
      </c>
      <c r="G4012" s="3" t="s">
        <v>28</v>
      </c>
      <c r="H4012" s="2" t="s">
        <v>21</v>
      </c>
      <c r="I4012" s="2" t="s">
        <v>9366</v>
      </c>
      <c r="J4012" s="3" t="str">
        <f>HYPERLINK("https://www.boe.es/gazeta/dias/1816/10/15/pdfs/GMD-1816-129.pdf#page=6","Abrir facsímil")</f>
        <v>Abrir facsímil</v>
      </c>
      <c r="K4012" s="3" t="s">
        <v>23</v>
      </c>
    </row>
    <row r="4013" spans="1:11" ht="42" customHeight="1">
      <c r="A4013" s="2" t="s">
        <v>9367</v>
      </c>
      <c r="B4013" s="2" t="s">
        <v>9368</v>
      </c>
      <c r="C4013" s="2" t="s">
        <v>34</v>
      </c>
      <c r="D4013" s="2" t="s">
        <v>35</v>
      </c>
      <c r="E4013" s="5">
        <v>-30345</v>
      </c>
      <c r="F4013" s="3" t="s">
        <v>1382</v>
      </c>
      <c r="G4013" s="3" t="s">
        <v>103</v>
      </c>
      <c r="H4013" s="2" t="s">
        <v>21</v>
      </c>
      <c r="I4013" s="2" t="s">
        <v>9369</v>
      </c>
      <c r="J4013" s="3" t="str">
        <f>HYPERLINK("https://www.boe.es/gazeta/dias/1816/11/30/pdfs/GMD-1816-149.pdf#page=4","Abrir facsímil")</f>
        <v>Abrir facsímil</v>
      </c>
      <c r="K4013" s="3" t="s">
        <v>23</v>
      </c>
    </row>
    <row r="4014" spans="1:11" ht="42" customHeight="1">
      <c r="A4014" s="2" t="s">
        <v>9370</v>
      </c>
      <c r="B4014" s="2" t="s">
        <v>9371</v>
      </c>
      <c r="C4014" s="2" t="s">
        <v>34</v>
      </c>
      <c r="D4014" s="2" t="s">
        <v>35</v>
      </c>
      <c r="E4014" s="5">
        <v>-30387</v>
      </c>
      <c r="F4014" s="3" t="s">
        <v>224</v>
      </c>
      <c r="G4014" s="3" t="s">
        <v>28</v>
      </c>
      <c r="H4014" s="2" t="s">
        <v>21</v>
      </c>
      <c r="I4014" s="2" t="s">
        <v>9372</v>
      </c>
      <c r="J4014" s="3" t="str">
        <f>HYPERLINK("https://www.boe.es/gazeta/dias/1816/10/19/pdfs/GMD-1816-131.pdf#page=6","Abrir facsímil")</f>
        <v>Abrir facsímil</v>
      </c>
      <c r="K4014" s="3" t="s">
        <v>23</v>
      </c>
    </row>
    <row r="4015" spans="1:11" ht="42" customHeight="1">
      <c r="A4015" s="2" t="s">
        <v>9373</v>
      </c>
      <c r="B4015" s="2" t="s">
        <v>9374</v>
      </c>
      <c r="C4015" s="2" t="s">
        <v>34</v>
      </c>
      <c r="D4015" s="2" t="s">
        <v>35</v>
      </c>
      <c r="E4015" s="5">
        <v>-30678</v>
      </c>
      <c r="F4015" s="3" t="s">
        <v>76</v>
      </c>
      <c r="G4015" s="3" t="s">
        <v>77</v>
      </c>
      <c r="H4015" s="2" t="s">
        <v>21</v>
      </c>
      <c r="I4015" s="2" t="s">
        <v>9375</v>
      </c>
      <c r="J4015" s="3" t="str">
        <f>HYPERLINK("https://www.boe.es/gazeta/dias/1816/01/02/pdfs/GMD-1816-1.pdf#page=8","Abrir facsímil")</f>
        <v>Abrir facsímil</v>
      </c>
      <c r="K4015" s="3" t="s">
        <v>23</v>
      </c>
    </row>
    <row r="4016" spans="1:11" ht="42" customHeight="1">
      <c r="A4016" s="2" t="s">
        <v>9376</v>
      </c>
      <c r="B4016" s="2" t="s">
        <v>9377</v>
      </c>
      <c r="C4016" s="2" t="s">
        <v>111</v>
      </c>
      <c r="D4016" s="2" t="s">
        <v>112</v>
      </c>
      <c r="E4016" s="5">
        <v>-30548</v>
      </c>
      <c r="F4016" s="3" t="s">
        <v>472</v>
      </c>
      <c r="G4016" s="3" t="s">
        <v>28</v>
      </c>
      <c r="H4016" s="2" t="s">
        <v>21</v>
      </c>
      <c r="I4016" s="2" t="s">
        <v>9378</v>
      </c>
      <c r="J4016" s="3" t="str">
        <f>HYPERLINK("https://www.boe.es/gazeta/dias/1816/05/11/pdfs/GMD-1816-60.pdf#page=6","Abrir facsímil")</f>
        <v>Abrir facsímil</v>
      </c>
      <c r="K4016" s="3" t="s">
        <v>23</v>
      </c>
    </row>
    <row r="4017" spans="1:11" ht="42" customHeight="1">
      <c r="A4017" s="2" t="s">
        <v>9379</v>
      </c>
      <c r="B4017" s="2" t="s">
        <v>9380</v>
      </c>
      <c r="C4017" s="2" t="s">
        <v>111</v>
      </c>
      <c r="D4017" s="2" t="s">
        <v>112</v>
      </c>
      <c r="E4017" s="5">
        <v>-30655</v>
      </c>
      <c r="F4017" s="3" t="s">
        <v>170</v>
      </c>
      <c r="G4017" s="3" t="s">
        <v>72</v>
      </c>
      <c r="H4017" s="2" t="s">
        <v>21</v>
      </c>
      <c r="I4017" s="2" t="s">
        <v>9381</v>
      </c>
      <c r="J4017" s="3" t="str">
        <f>HYPERLINK("https://www.boe.es/gazeta/dias/1816/01/25/pdfs/GMD-1816-11.pdf#page=7","Abrir facsímil")</f>
        <v>Abrir facsímil</v>
      </c>
      <c r="K4017" s="3" t="s">
        <v>23</v>
      </c>
    </row>
    <row r="4018" spans="1:11" ht="42" customHeight="1">
      <c r="A4018" s="2" t="s">
        <v>9382</v>
      </c>
      <c r="B4018" s="2" t="s">
        <v>9383</v>
      </c>
      <c r="C4018" s="2" t="s">
        <v>34</v>
      </c>
      <c r="D4018" s="2" t="s">
        <v>35</v>
      </c>
      <c r="E4018" s="5">
        <v>-30580</v>
      </c>
      <c r="F4018" s="3" t="s">
        <v>107</v>
      </c>
      <c r="G4018" s="3" t="s">
        <v>28</v>
      </c>
      <c r="H4018" s="2" t="s">
        <v>21</v>
      </c>
      <c r="I4018" s="2" t="s">
        <v>9384</v>
      </c>
      <c r="J4018" s="3" t="str">
        <f>HYPERLINK("https://www.boe.es/gazeta/dias/1816/04/09/pdfs/GMD-1816-46.pdf#page=6","Abrir facsímil")</f>
        <v>Abrir facsímil</v>
      </c>
      <c r="K4018" s="3" t="s">
        <v>23</v>
      </c>
    </row>
    <row r="4019" spans="1:11" ht="42" customHeight="1">
      <c r="A4019" s="2" t="s">
        <v>9385</v>
      </c>
      <c r="B4019" s="2" t="s">
        <v>9386</v>
      </c>
      <c r="C4019" s="2" t="s">
        <v>34</v>
      </c>
      <c r="D4019" s="2" t="s">
        <v>35</v>
      </c>
      <c r="E4019" s="5">
        <v>-30564</v>
      </c>
      <c r="F4019" s="3" t="s">
        <v>963</v>
      </c>
      <c r="G4019" s="3" t="s">
        <v>964</v>
      </c>
      <c r="H4019" s="2" t="s">
        <v>21</v>
      </c>
      <c r="I4019" s="2" t="s">
        <v>9387</v>
      </c>
      <c r="J4019" s="3" t="str">
        <f>HYPERLINK("https://www.boe.es/gazeta/dias/1816/04/25/pdfs/GMD-1816-53.pdf#page=6","Abrir facsímil")</f>
        <v>Abrir facsímil</v>
      </c>
      <c r="K4019" s="3" t="s">
        <v>23</v>
      </c>
    </row>
    <row r="4020" spans="1:11" ht="42" customHeight="1">
      <c r="A4020" s="2" t="s">
        <v>9388</v>
      </c>
      <c r="B4020" s="2" t="s">
        <v>9389</v>
      </c>
      <c r="C4020" s="2" t="s">
        <v>34</v>
      </c>
      <c r="D4020" s="2" t="s">
        <v>35</v>
      </c>
      <c r="E4020" s="5">
        <v>-30557</v>
      </c>
      <c r="F4020" s="3" t="s">
        <v>508</v>
      </c>
      <c r="G4020" s="3" t="s">
        <v>28</v>
      </c>
      <c r="H4020" s="2" t="s">
        <v>21</v>
      </c>
      <c r="I4020" s="2" t="s">
        <v>9390</v>
      </c>
      <c r="J4020" s="3" t="str">
        <f>HYPERLINK("https://www.boe.es/gazeta/dias/1816/05/02/pdfs/GMD-1816-56.pdf#page=6","Abrir facsímil")</f>
        <v>Abrir facsímil</v>
      </c>
      <c r="K4020" s="3" t="s">
        <v>23</v>
      </c>
    </row>
    <row r="4021" spans="1:11" ht="42" customHeight="1">
      <c r="A4021" s="2" t="s">
        <v>9391</v>
      </c>
      <c r="B4021" s="2" t="s">
        <v>9391</v>
      </c>
      <c r="C4021" s="2" t="s">
        <v>26</v>
      </c>
      <c r="D4021" s="2" t="s">
        <v>18</v>
      </c>
      <c r="E4021" s="5">
        <v>-30494</v>
      </c>
      <c r="F4021" s="3" t="s">
        <v>174</v>
      </c>
      <c r="G4021" s="3" t="s">
        <v>42</v>
      </c>
      <c r="H4021" s="2" t="s">
        <v>21</v>
      </c>
      <c r="I4021" s="2" t="s">
        <v>9392</v>
      </c>
      <c r="J4021" s="3" t="str">
        <f>HYPERLINK("https://www.boe.es/gazeta/dias/1816/07/04/pdfs/GMD-1816-83.pdf#page=8","Abrir facsímil")</f>
        <v>Abrir facsímil</v>
      </c>
      <c r="K4021" s="3" t="s">
        <v>23</v>
      </c>
    </row>
    <row r="4022" spans="1:11" ht="42" customHeight="1">
      <c r="A4022" s="2" t="s">
        <v>9393</v>
      </c>
      <c r="B4022" s="2" t="s">
        <v>9394</v>
      </c>
      <c r="C4022" s="2" t="s">
        <v>111</v>
      </c>
      <c r="D4022" s="2" t="s">
        <v>112</v>
      </c>
      <c r="E4022" s="5">
        <v>-30319</v>
      </c>
      <c r="F4022" s="3" t="s">
        <v>131</v>
      </c>
      <c r="G4022" s="3" t="s">
        <v>42</v>
      </c>
      <c r="H4022" s="2" t="s">
        <v>21</v>
      </c>
      <c r="I4022" s="2" t="s">
        <v>9395</v>
      </c>
      <c r="J4022" s="3" t="str">
        <f>HYPERLINK("https://www.boe.es/gazeta/dias/1816/12/26/pdfs/GMD-1816-160.pdf#page=8","Abrir facsímil")</f>
        <v>Abrir facsímil</v>
      </c>
      <c r="K4022" s="3" t="s">
        <v>23</v>
      </c>
    </row>
    <row r="4023" spans="1:11" ht="42" customHeight="1">
      <c r="A4023" s="2" t="s">
        <v>9396</v>
      </c>
      <c r="B4023" s="2" t="s">
        <v>9397</v>
      </c>
      <c r="C4023" s="2" t="s">
        <v>26</v>
      </c>
      <c r="D4023" s="2" t="s">
        <v>18</v>
      </c>
      <c r="E4023" s="5">
        <v>-30576</v>
      </c>
      <c r="F4023" s="3" t="s">
        <v>353</v>
      </c>
      <c r="G4023" s="3" t="s">
        <v>72</v>
      </c>
      <c r="H4023" s="2" t="s">
        <v>21</v>
      </c>
      <c r="I4023" s="2" t="s">
        <v>9398</v>
      </c>
      <c r="J4023" s="3" t="str">
        <f>HYPERLINK("https://www.boe.es/gazeta/dias/1816/04/13/pdfs/GMD-1816-48.pdf#page=7","Abrir facsímil")</f>
        <v>Abrir facsímil</v>
      </c>
      <c r="K4023" s="3" t="s">
        <v>23</v>
      </c>
    </row>
    <row r="4024" spans="1:11" ht="42" customHeight="1">
      <c r="A4024" s="2" t="s">
        <v>9399</v>
      </c>
      <c r="B4024" s="2" t="s">
        <v>9399</v>
      </c>
      <c r="C4024" s="2" t="s">
        <v>26</v>
      </c>
      <c r="D4024" s="2" t="s">
        <v>18</v>
      </c>
      <c r="E4024" s="5">
        <v>-30632</v>
      </c>
      <c r="F4024" s="3" t="s">
        <v>89</v>
      </c>
      <c r="G4024" s="3" t="s">
        <v>42</v>
      </c>
      <c r="H4024" s="2" t="s">
        <v>21</v>
      </c>
      <c r="I4024" s="2" t="s">
        <v>9400</v>
      </c>
      <c r="J4024" s="3" t="str">
        <f>HYPERLINK("https://www.boe.es/gazeta/dias/1816/02/17/pdfs/GMD-1816-22.pdf#page=8","Abrir facsímil")</f>
        <v>Abrir facsímil</v>
      </c>
      <c r="K4024" s="3" t="s">
        <v>23</v>
      </c>
    </row>
    <row r="4025" spans="1:11" ht="42" customHeight="1">
      <c r="A4025" s="2" t="s">
        <v>9399</v>
      </c>
      <c r="B4025" s="2" t="s">
        <v>9399</v>
      </c>
      <c r="C4025" s="2" t="s">
        <v>34</v>
      </c>
      <c r="D4025" s="2" t="s">
        <v>35</v>
      </c>
      <c r="E4025" s="5">
        <v>-30475</v>
      </c>
      <c r="F4025" s="3" t="s">
        <v>319</v>
      </c>
      <c r="G4025" s="3" t="s">
        <v>2731</v>
      </c>
      <c r="H4025" s="2" t="s">
        <v>21</v>
      </c>
      <c r="I4025" s="2" t="s">
        <v>9401</v>
      </c>
      <c r="J4025" s="3" t="str">
        <f>HYPERLINK("https://www.boe.es/gazeta/dias/1816/07/23/pdfs/GMD-1816-91.pdf#page=6","Abrir facsímil")</f>
        <v>Abrir facsímil</v>
      </c>
      <c r="K4025" s="3" t="s">
        <v>23</v>
      </c>
    </row>
    <row r="4026" spans="1:11" ht="42" customHeight="1">
      <c r="A4026" s="2" t="s">
        <v>9402</v>
      </c>
      <c r="B4026" s="2" t="s">
        <v>9403</v>
      </c>
      <c r="C4026" s="2" t="s">
        <v>81</v>
      </c>
      <c r="D4026" s="2" t="s">
        <v>18</v>
      </c>
      <c r="E4026" s="5">
        <v>-30592</v>
      </c>
      <c r="F4026" s="3" t="s">
        <v>236</v>
      </c>
      <c r="G4026" s="3" t="s">
        <v>606</v>
      </c>
      <c r="H4026" s="2" t="s">
        <v>21</v>
      </c>
      <c r="I4026" s="2" t="s">
        <v>9404</v>
      </c>
      <c r="J4026" s="3" t="str">
        <f>HYPERLINK("https://www.boe.es/gazeta/dias/1816/03/28/pdfs/GMD-1816-41.pdf#page=12","Abrir facsímil")</f>
        <v>Abrir facsímil</v>
      </c>
      <c r="K4026" s="3" t="s">
        <v>23</v>
      </c>
    </row>
    <row r="4027" spans="1:11" ht="42" customHeight="1">
      <c r="A4027" s="2" t="s">
        <v>9405</v>
      </c>
      <c r="B4027" s="2" t="s">
        <v>9405</v>
      </c>
      <c r="C4027" s="2" t="s">
        <v>34</v>
      </c>
      <c r="D4027" s="2" t="s">
        <v>35</v>
      </c>
      <c r="E4027" s="5">
        <v>-30592</v>
      </c>
      <c r="F4027" s="3" t="s">
        <v>236</v>
      </c>
      <c r="G4027" s="3" t="s">
        <v>42</v>
      </c>
      <c r="H4027" s="2" t="s">
        <v>21</v>
      </c>
      <c r="I4027" s="2" t="s">
        <v>9406</v>
      </c>
      <c r="J4027" s="3" t="str">
        <f>HYPERLINK("https://www.boe.es/gazeta/dias/1816/03/28/pdfs/GMD-1816-41.pdf#page=8","Abrir facsímil")</f>
        <v>Abrir facsímil</v>
      </c>
      <c r="K4027" s="3" t="s">
        <v>23</v>
      </c>
    </row>
    <row r="4028" spans="1:11" ht="42" customHeight="1">
      <c r="A4028" s="2" t="s">
        <v>9407</v>
      </c>
      <c r="B4028" s="2" t="s">
        <v>9408</v>
      </c>
      <c r="C4028" s="2" t="s">
        <v>34</v>
      </c>
      <c r="D4028" s="2" t="s">
        <v>35</v>
      </c>
      <c r="E4028" s="5">
        <v>-30580</v>
      </c>
      <c r="F4028" s="3" t="s">
        <v>107</v>
      </c>
      <c r="G4028" s="3" t="s">
        <v>28</v>
      </c>
      <c r="H4028" s="2" t="s">
        <v>21</v>
      </c>
      <c r="I4028" s="2" t="s">
        <v>9409</v>
      </c>
      <c r="J4028" s="3" t="str">
        <f>HYPERLINK("https://www.boe.es/gazeta/dias/1816/04/09/pdfs/GMD-1816-46.pdf#page=6","Abrir facsímil")</f>
        <v>Abrir facsímil</v>
      </c>
      <c r="K4028" s="3" t="s">
        <v>23</v>
      </c>
    </row>
    <row r="4029" spans="1:11" ht="42" customHeight="1">
      <c r="A4029" s="2" t="s">
        <v>9410</v>
      </c>
      <c r="B4029" s="2" t="s">
        <v>9411</v>
      </c>
      <c r="C4029" s="2" t="s">
        <v>111</v>
      </c>
      <c r="D4029" s="2" t="s">
        <v>112</v>
      </c>
      <c r="E4029" s="5">
        <v>-30361</v>
      </c>
      <c r="F4029" s="3" t="s">
        <v>1741</v>
      </c>
      <c r="G4029" s="3" t="s">
        <v>2889</v>
      </c>
      <c r="H4029" s="2" t="s">
        <v>29</v>
      </c>
      <c r="I4029" s="2" t="s">
        <v>9412</v>
      </c>
      <c r="J4029" s="3" t="str">
        <f>HYPERLINK("https://www.boe.es/gazeta/dias/1816/11/14/pdfs/GMD-1816-142.pdf#page=8","Abrir facsímil")</f>
        <v>Abrir facsímil</v>
      </c>
      <c r="K4029" s="3" t="s">
        <v>31</v>
      </c>
    </row>
    <row r="4030" spans="1:11" ht="42" customHeight="1">
      <c r="A4030" s="2" t="s">
        <v>9413</v>
      </c>
      <c r="B4030" s="2" t="s">
        <v>9414</v>
      </c>
      <c r="C4030" s="2" t="s">
        <v>111</v>
      </c>
      <c r="D4030" s="2" t="s">
        <v>112</v>
      </c>
      <c r="E4030" s="5">
        <v>-30419</v>
      </c>
      <c r="F4030" s="3" t="s">
        <v>1256</v>
      </c>
      <c r="G4030" s="3" t="s">
        <v>2162</v>
      </c>
      <c r="H4030" s="2" t="s">
        <v>21</v>
      </c>
      <c r="I4030" s="2" t="s">
        <v>9415</v>
      </c>
      <c r="J4030" s="3" t="str">
        <f>HYPERLINK("https://www.boe.es/gazeta/dias/1816/09/17/pdfs/GMD-1816-115.pdf#page=8","Abrir facsímil")</f>
        <v>Abrir facsímil</v>
      </c>
      <c r="K4030" s="3" t="s">
        <v>23</v>
      </c>
    </row>
    <row r="4031" spans="1:11" ht="42" customHeight="1">
      <c r="A4031" s="2" t="s">
        <v>9416</v>
      </c>
      <c r="B4031" s="2" t="s">
        <v>9417</v>
      </c>
      <c r="C4031" s="2" t="s">
        <v>111</v>
      </c>
      <c r="D4031" s="2" t="s">
        <v>112</v>
      </c>
      <c r="E4031" s="5">
        <v>-30466</v>
      </c>
      <c r="F4031" s="3" t="s">
        <v>2138</v>
      </c>
      <c r="G4031" s="3" t="s">
        <v>72</v>
      </c>
      <c r="H4031" s="2" t="s">
        <v>21</v>
      </c>
      <c r="I4031" s="2" t="s">
        <v>9418</v>
      </c>
      <c r="J4031" s="3" t="str">
        <f>HYPERLINK("https://www.boe.es/gazeta/dias/1816/08/01/pdfs/GMD-1816-95.pdf#page=7","Abrir facsímil")</f>
        <v>Abrir facsímil</v>
      </c>
      <c r="K4031" s="3" t="s">
        <v>23</v>
      </c>
    </row>
    <row r="4032" spans="1:11" ht="42" customHeight="1">
      <c r="A4032" s="2" t="s">
        <v>9419</v>
      </c>
      <c r="B4032" s="2" t="s">
        <v>9419</v>
      </c>
      <c r="C4032" s="2" t="s">
        <v>26</v>
      </c>
      <c r="D4032" s="2" t="s">
        <v>18</v>
      </c>
      <c r="E4032" s="5">
        <v>-30662</v>
      </c>
      <c r="F4032" s="3" t="s">
        <v>485</v>
      </c>
      <c r="G4032" s="3" t="s">
        <v>72</v>
      </c>
      <c r="H4032" s="2" t="s">
        <v>21</v>
      </c>
      <c r="I4032" s="2" t="s">
        <v>9420</v>
      </c>
      <c r="J4032" s="3" t="str">
        <f>HYPERLINK("https://www.boe.es/gazeta/dias/1816/01/18/pdfs/GMD-1816-8.pdf#page=7","Abrir facsímil")</f>
        <v>Abrir facsímil</v>
      </c>
      <c r="K4032" s="3" t="s">
        <v>23</v>
      </c>
    </row>
    <row r="4033" spans="1:11" ht="42" customHeight="1">
      <c r="A4033" s="2" t="s">
        <v>9421</v>
      </c>
      <c r="B4033" s="2" t="s">
        <v>9422</v>
      </c>
      <c r="C4033" s="2" t="s">
        <v>17</v>
      </c>
      <c r="D4033" s="2" t="s">
        <v>18</v>
      </c>
      <c r="E4033" s="5">
        <v>-30457</v>
      </c>
      <c r="F4033" s="3" t="s">
        <v>539</v>
      </c>
      <c r="G4033" s="3" t="s">
        <v>42</v>
      </c>
      <c r="H4033" s="2" t="s">
        <v>21</v>
      </c>
      <c r="I4033" s="2" t="s">
        <v>9423</v>
      </c>
      <c r="J4033" s="3" t="str">
        <f>HYPERLINK("https://www.boe.es/gazeta/dias/1816/08/10/pdfs/GMD-1816-99.pdf#page=8","Abrir facsímil")</f>
        <v>Abrir facsímil</v>
      </c>
      <c r="K4033" s="3" t="s">
        <v>23</v>
      </c>
    </row>
    <row r="4034" spans="1:11" ht="42" customHeight="1">
      <c r="A4034" s="2" t="s">
        <v>9424</v>
      </c>
      <c r="B4034" s="2" t="s">
        <v>9425</v>
      </c>
      <c r="C4034" s="2" t="s">
        <v>41</v>
      </c>
      <c r="D4034" s="2" t="s">
        <v>18</v>
      </c>
      <c r="E4034" s="5">
        <v>-30538</v>
      </c>
      <c r="F4034" s="3" t="s">
        <v>496</v>
      </c>
      <c r="G4034" s="3" t="s">
        <v>42</v>
      </c>
      <c r="H4034" s="2" t="s">
        <v>21</v>
      </c>
      <c r="I4034" s="2" t="s">
        <v>9426</v>
      </c>
      <c r="J4034" s="3" t="str">
        <f>HYPERLINK("https://www.boe.es/gazeta/dias/1816/05/21/pdfs/GMD-1816-64.pdf#page=8","Abrir facsímil")</f>
        <v>Abrir facsímil</v>
      </c>
      <c r="K4034" s="3" t="s">
        <v>23</v>
      </c>
    </row>
    <row r="4035" spans="1:11" ht="42" customHeight="1">
      <c r="A4035" s="2" t="s">
        <v>9424</v>
      </c>
      <c r="B4035" s="2" t="s">
        <v>9425</v>
      </c>
      <c r="C4035" s="2" t="s">
        <v>111</v>
      </c>
      <c r="D4035" s="2" t="s">
        <v>112</v>
      </c>
      <c r="E4035" s="5">
        <v>-30515</v>
      </c>
      <c r="F4035" s="3" t="s">
        <v>2452</v>
      </c>
      <c r="G4035" s="3" t="s">
        <v>42</v>
      </c>
      <c r="H4035" s="2" t="s">
        <v>21</v>
      </c>
      <c r="I4035" s="2" t="s">
        <v>9427</v>
      </c>
      <c r="J4035" s="3" t="str">
        <f>HYPERLINK("https://www.boe.es/gazeta/dias/1816/06/13/pdfs/GMD-1816-74.pdf#page=8","Abrir facsímil")</f>
        <v>Abrir facsímil</v>
      </c>
      <c r="K4035" s="3" t="s">
        <v>23</v>
      </c>
    </row>
    <row r="4036" spans="1:11" ht="42" customHeight="1">
      <c r="A4036" s="2" t="s">
        <v>9424</v>
      </c>
      <c r="B4036" s="2" t="s">
        <v>9425</v>
      </c>
      <c r="C4036" s="2" t="s">
        <v>111</v>
      </c>
      <c r="D4036" s="2" t="s">
        <v>112</v>
      </c>
      <c r="E4036" s="5">
        <v>-30482</v>
      </c>
      <c r="F4036" s="3" t="s">
        <v>370</v>
      </c>
      <c r="G4036" s="3" t="s">
        <v>52</v>
      </c>
      <c r="H4036" s="2" t="s">
        <v>21</v>
      </c>
      <c r="I4036" s="2" t="s">
        <v>9428</v>
      </c>
      <c r="J4036" s="3" t="str">
        <f>HYPERLINK("https://www.boe.es/gazeta/dias/1816/07/16/pdfs/GMD-1816-88.pdf#page=12","Abrir facsímil")</f>
        <v>Abrir facsímil</v>
      </c>
      <c r="K4036" s="3" t="s">
        <v>23</v>
      </c>
    </row>
    <row r="4037" spans="1:11" ht="42" customHeight="1">
      <c r="A4037" s="2" t="s">
        <v>9424</v>
      </c>
      <c r="B4037" s="2" t="s">
        <v>9425</v>
      </c>
      <c r="C4037" s="2" t="s">
        <v>111</v>
      </c>
      <c r="D4037" s="2" t="s">
        <v>112</v>
      </c>
      <c r="E4037" s="5">
        <v>-30480</v>
      </c>
      <c r="F4037" s="3" t="s">
        <v>147</v>
      </c>
      <c r="G4037" s="3" t="s">
        <v>42</v>
      </c>
      <c r="H4037" s="2" t="s">
        <v>21</v>
      </c>
      <c r="I4037" s="2" t="s">
        <v>9429</v>
      </c>
      <c r="J4037" s="3" t="str">
        <f>HYPERLINK("https://www.boe.es/gazeta/dias/1816/07/18/pdfs/GMD-1816-89.pdf#page=8","Abrir facsímil")</f>
        <v>Abrir facsímil</v>
      </c>
      <c r="K4037" s="3" t="s">
        <v>23</v>
      </c>
    </row>
    <row r="4038" spans="1:11" ht="42" customHeight="1">
      <c r="A4038" s="2" t="s">
        <v>9424</v>
      </c>
      <c r="B4038" s="2" t="s">
        <v>9425</v>
      </c>
      <c r="C4038" s="2" t="s">
        <v>17</v>
      </c>
      <c r="D4038" s="2" t="s">
        <v>18</v>
      </c>
      <c r="E4038" s="5">
        <v>-30431</v>
      </c>
      <c r="F4038" s="3" t="s">
        <v>756</v>
      </c>
      <c r="G4038" s="3" t="s">
        <v>2277</v>
      </c>
      <c r="H4038" s="2" t="s">
        <v>21</v>
      </c>
      <c r="I4038" s="2" t="s">
        <v>9430</v>
      </c>
      <c r="J4038" s="3" t="str">
        <f>HYPERLINK("https://www.boe.es/gazeta/dias/1816/09/05/pdfs/GMD-1816-110.pdf#page=8","Abrir facsímil")</f>
        <v>Abrir facsímil</v>
      </c>
      <c r="K4038" s="3" t="s">
        <v>23</v>
      </c>
    </row>
    <row r="4039" spans="1:11" ht="42" customHeight="1">
      <c r="A4039" s="2" t="s">
        <v>9424</v>
      </c>
      <c r="B4039" s="2" t="s">
        <v>9425</v>
      </c>
      <c r="C4039" s="2" t="s">
        <v>111</v>
      </c>
      <c r="D4039" s="2" t="s">
        <v>112</v>
      </c>
      <c r="E4039" s="5">
        <v>-30429</v>
      </c>
      <c r="F4039" s="3" t="s">
        <v>598</v>
      </c>
      <c r="G4039" s="3" t="s">
        <v>42</v>
      </c>
      <c r="H4039" s="2" t="s">
        <v>21</v>
      </c>
      <c r="I4039" s="2" t="s">
        <v>9431</v>
      </c>
      <c r="J4039" s="3" t="str">
        <f>HYPERLINK("https://www.boe.es/gazeta/dias/1816/09/07/pdfs/GMD-1816-111.pdf#page=8","Abrir facsímil")</f>
        <v>Abrir facsímil</v>
      </c>
      <c r="K4039" s="3" t="s">
        <v>23</v>
      </c>
    </row>
    <row r="4040" spans="1:11" ht="42" customHeight="1">
      <c r="A4040" s="2" t="s">
        <v>9424</v>
      </c>
      <c r="B4040" s="2" t="s">
        <v>9425</v>
      </c>
      <c r="C4040" s="2" t="s">
        <v>17</v>
      </c>
      <c r="D4040" s="2" t="s">
        <v>18</v>
      </c>
      <c r="E4040" s="5">
        <v>-30403</v>
      </c>
      <c r="F4040" s="3" t="s">
        <v>1264</v>
      </c>
      <c r="G4040" s="3" t="s">
        <v>2883</v>
      </c>
      <c r="H4040" s="2" t="s">
        <v>21</v>
      </c>
      <c r="I4040" s="2" t="s">
        <v>9432</v>
      </c>
      <c r="J4040" s="3" t="str">
        <f>HYPERLINK("https://www.boe.es/gazeta/dias/1816/10/03/pdfs/GMD-1816-122.pdf#page=8","Abrir facsímil")</f>
        <v>Abrir facsímil</v>
      </c>
      <c r="K4040" s="3" t="s">
        <v>23</v>
      </c>
    </row>
    <row r="4041" spans="1:11" ht="42" customHeight="1">
      <c r="A4041" s="2" t="s">
        <v>9424</v>
      </c>
      <c r="B4041" s="2" t="s">
        <v>9425</v>
      </c>
      <c r="C4041" s="2" t="s">
        <v>111</v>
      </c>
      <c r="D4041" s="2" t="s">
        <v>112</v>
      </c>
      <c r="E4041" s="5">
        <v>-30389</v>
      </c>
      <c r="F4041" s="3" t="s">
        <v>522</v>
      </c>
      <c r="G4041" s="3" t="s">
        <v>42</v>
      </c>
      <c r="H4041" s="2" t="s">
        <v>21</v>
      </c>
      <c r="I4041" s="2" t="s">
        <v>9433</v>
      </c>
      <c r="J4041" s="3" t="str">
        <f>HYPERLINK("https://www.boe.es/gazeta/dias/1816/10/17/pdfs/GMD-1816-130.pdf#page=8","Abrir facsímil")</f>
        <v>Abrir facsímil</v>
      </c>
      <c r="K4041" s="3" t="s">
        <v>23</v>
      </c>
    </row>
    <row r="4042" spans="1:11" ht="42" customHeight="1">
      <c r="A4042" s="2" t="s">
        <v>9424</v>
      </c>
      <c r="B4042" s="2" t="s">
        <v>9425</v>
      </c>
      <c r="C4042" s="2" t="s">
        <v>111</v>
      </c>
      <c r="D4042" s="2" t="s">
        <v>112</v>
      </c>
      <c r="E4042" s="5">
        <v>-30368</v>
      </c>
      <c r="F4042" s="3" t="s">
        <v>531</v>
      </c>
      <c r="G4042" s="3" t="s">
        <v>42</v>
      </c>
      <c r="H4042" s="2" t="s">
        <v>21</v>
      </c>
      <c r="I4042" s="2" t="s">
        <v>9434</v>
      </c>
      <c r="J4042" s="3" t="str">
        <f>HYPERLINK("https://www.boe.es/gazeta/dias/1816/11/07/pdfs/GMD-1816-139.pdf#page=8","Abrir facsímil")</f>
        <v>Abrir facsímil</v>
      </c>
      <c r="K4042" s="3" t="s">
        <v>23</v>
      </c>
    </row>
    <row r="4043" spans="1:11" ht="42" customHeight="1">
      <c r="A4043" s="2" t="s">
        <v>9424</v>
      </c>
      <c r="B4043" s="2" t="s">
        <v>9425</v>
      </c>
      <c r="C4043" s="2" t="s">
        <v>111</v>
      </c>
      <c r="D4043" s="2" t="s">
        <v>112</v>
      </c>
      <c r="E4043" s="5">
        <v>-30363</v>
      </c>
      <c r="F4043" s="3" t="s">
        <v>570</v>
      </c>
      <c r="G4043" s="3" t="s">
        <v>42</v>
      </c>
      <c r="H4043" s="2" t="s">
        <v>21</v>
      </c>
      <c r="I4043" s="2" t="s">
        <v>9435</v>
      </c>
      <c r="J4043" s="3" t="str">
        <f>HYPERLINK("https://www.boe.es/gazeta/dias/1816/11/12/pdfs/GMD-1816-141.pdf#page=8","Abrir facsímil")</f>
        <v>Abrir facsímil</v>
      </c>
      <c r="K4043" s="3" t="s">
        <v>23</v>
      </c>
    </row>
    <row r="4044" spans="1:11" ht="42" customHeight="1">
      <c r="A4044" s="2" t="s">
        <v>9424</v>
      </c>
      <c r="B4044" s="2" t="s">
        <v>9425</v>
      </c>
      <c r="C4044" s="2" t="s">
        <v>111</v>
      </c>
      <c r="D4044" s="2" t="s">
        <v>112</v>
      </c>
      <c r="E4044" s="5">
        <v>-30361</v>
      </c>
      <c r="F4044" s="3" t="s">
        <v>1741</v>
      </c>
      <c r="G4044" s="3" t="s">
        <v>2889</v>
      </c>
      <c r="H4044" s="2" t="s">
        <v>21</v>
      </c>
      <c r="I4044" s="2" t="s">
        <v>9436</v>
      </c>
      <c r="J4044" s="3" t="str">
        <f>HYPERLINK("https://www.boe.es/gazeta/dias/1816/11/14/pdfs/GMD-1816-142.pdf#page=8","Abrir facsímil")</f>
        <v>Abrir facsímil</v>
      </c>
      <c r="K4044" s="3" t="s">
        <v>23</v>
      </c>
    </row>
    <row r="4045" spans="1:11" ht="42" customHeight="1">
      <c r="A4045" s="2" t="s">
        <v>9437</v>
      </c>
      <c r="B4045" s="2" t="s">
        <v>9437</v>
      </c>
      <c r="C4045" s="2" t="s">
        <v>81</v>
      </c>
      <c r="D4045" s="2" t="s">
        <v>18</v>
      </c>
      <c r="E4045" s="5">
        <v>-30494</v>
      </c>
      <c r="F4045" s="3" t="s">
        <v>174</v>
      </c>
      <c r="G4045" s="3" t="s">
        <v>72</v>
      </c>
      <c r="H4045" s="2" t="s">
        <v>21</v>
      </c>
      <c r="I4045" s="2" t="s">
        <v>9438</v>
      </c>
      <c r="J4045" s="3" t="str">
        <f>HYPERLINK("https://www.boe.es/gazeta/dias/1816/07/04/pdfs/GMD-1816-83.pdf#page=7","Abrir facsímil")</f>
        <v>Abrir facsímil</v>
      </c>
      <c r="K4045" s="3" t="s">
        <v>23</v>
      </c>
    </row>
    <row r="4046" spans="1:11" ht="42" customHeight="1">
      <c r="A4046" s="2" t="s">
        <v>9439</v>
      </c>
      <c r="B4046" s="2" t="s">
        <v>9440</v>
      </c>
      <c r="C4046" s="2" t="s">
        <v>34</v>
      </c>
      <c r="D4046" s="2" t="s">
        <v>35</v>
      </c>
      <c r="E4046" s="5">
        <v>-30489</v>
      </c>
      <c r="F4046" s="3" t="s">
        <v>1120</v>
      </c>
      <c r="G4046" s="3" t="s">
        <v>42</v>
      </c>
      <c r="H4046" s="2" t="s">
        <v>21</v>
      </c>
      <c r="I4046" s="2" t="s">
        <v>9441</v>
      </c>
      <c r="J4046" s="3" t="str">
        <f>HYPERLINK("https://www.boe.es/gazeta/dias/1816/07/09/pdfs/GMD-1816-85.pdf#page=8","Abrir facsímil")</f>
        <v>Abrir facsímil</v>
      </c>
      <c r="K4046" s="3" t="s">
        <v>23</v>
      </c>
    </row>
    <row r="4047" spans="1:11" ht="42" customHeight="1">
      <c r="A4047" s="2" t="s">
        <v>9442</v>
      </c>
      <c r="B4047" s="2" t="s">
        <v>9443</v>
      </c>
      <c r="C4047" s="2" t="s">
        <v>34</v>
      </c>
      <c r="D4047" s="2" t="s">
        <v>56</v>
      </c>
      <c r="E4047" s="5">
        <v>-30622</v>
      </c>
      <c r="F4047" s="3" t="s">
        <v>907</v>
      </c>
      <c r="G4047" s="3" t="s">
        <v>58</v>
      </c>
      <c r="H4047" s="2" t="s">
        <v>21</v>
      </c>
      <c r="I4047" s="2" t="s">
        <v>9444</v>
      </c>
      <c r="J4047" s="3" t="str">
        <f>HYPERLINK("https://www.boe.es/gazeta/dias/1816/02/27/pdfs/GMD-1816-27E.pdf#page=1","Abrir facsímil")</f>
        <v>Abrir facsímil</v>
      </c>
      <c r="K4047" s="3" t="s">
        <v>23</v>
      </c>
    </row>
    <row r="4048" spans="1:11" ht="42" customHeight="1">
      <c r="A4048" s="2" t="s">
        <v>9445</v>
      </c>
      <c r="B4048" s="2" t="s">
        <v>9446</v>
      </c>
      <c r="C4048" s="2" t="s">
        <v>111</v>
      </c>
      <c r="D4048" s="2" t="s">
        <v>112</v>
      </c>
      <c r="E4048" s="5">
        <v>-30359</v>
      </c>
      <c r="F4048" s="3" t="s">
        <v>812</v>
      </c>
      <c r="G4048" s="3" t="s">
        <v>47</v>
      </c>
      <c r="H4048" s="2" t="s">
        <v>21</v>
      </c>
      <c r="I4048" s="2" t="s">
        <v>9447</v>
      </c>
      <c r="J4048" s="3" t="str">
        <f>HYPERLINK("https://www.boe.es/gazeta/dias/1816/11/16/pdfs/GMD-1816-143.pdf#page=5","Abrir facsímil")</f>
        <v>Abrir facsímil</v>
      </c>
      <c r="K4048" s="3" t="s">
        <v>23</v>
      </c>
    </row>
    <row r="4049" spans="1:11" ht="42" customHeight="1">
      <c r="A4049" s="2" t="s">
        <v>9448</v>
      </c>
      <c r="B4049" s="2" t="s">
        <v>9449</v>
      </c>
      <c r="C4049" s="2" t="s">
        <v>111</v>
      </c>
      <c r="D4049" s="2" t="s">
        <v>112</v>
      </c>
      <c r="E4049" s="5">
        <v>-30366</v>
      </c>
      <c r="F4049" s="3" t="s">
        <v>179</v>
      </c>
      <c r="G4049" s="3" t="s">
        <v>175</v>
      </c>
      <c r="H4049" s="2" t="s">
        <v>21</v>
      </c>
      <c r="I4049" s="2" t="s">
        <v>9450</v>
      </c>
      <c r="J4049" s="3" t="str">
        <f>HYPERLINK("https://www.boe.es/gazeta/dias/1816/11/09/pdfs/GMD-1816-140.pdf#page=11","Abrir facsímil")</f>
        <v>Abrir facsímil</v>
      </c>
      <c r="K4049" s="3" t="s">
        <v>23</v>
      </c>
    </row>
    <row r="4050" spans="1:11" ht="42" customHeight="1">
      <c r="A4050" s="2" t="s">
        <v>9451</v>
      </c>
      <c r="B4050" s="2" t="s">
        <v>9452</v>
      </c>
      <c r="C4050" s="2" t="s">
        <v>34</v>
      </c>
      <c r="D4050" s="2" t="s">
        <v>35</v>
      </c>
      <c r="E4050" s="5">
        <v>-30326</v>
      </c>
      <c r="F4050" s="3" t="s">
        <v>377</v>
      </c>
      <c r="G4050" s="3" t="s">
        <v>103</v>
      </c>
      <c r="H4050" s="2" t="s">
        <v>21</v>
      </c>
      <c r="I4050" s="2" t="s">
        <v>9453</v>
      </c>
      <c r="J4050" s="3" t="str">
        <f>HYPERLINK("https://www.boe.es/gazeta/dias/1816/12/19/pdfs/GMD-1816-157.pdf#page=4","Abrir facsímil")</f>
        <v>Abrir facsímil</v>
      </c>
      <c r="K4050" s="3" t="s">
        <v>23</v>
      </c>
    </row>
    <row r="4051" spans="1:11" ht="42" customHeight="1">
      <c r="A4051" s="2" t="s">
        <v>9454</v>
      </c>
      <c r="B4051" s="2" t="s">
        <v>9455</v>
      </c>
      <c r="C4051" s="2" t="s">
        <v>67</v>
      </c>
      <c r="D4051" s="2" t="s">
        <v>56</v>
      </c>
      <c r="E4051" s="5">
        <v>-30653</v>
      </c>
      <c r="F4051" s="3" t="s">
        <v>1023</v>
      </c>
      <c r="G4051" s="3" t="s">
        <v>184</v>
      </c>
      <c r="H4051" s="2" t="s">
        <v>21</v>
      </c>
      <c r="I4051" s="2" t="s">
        <v>9456</v>
      </c>
      <c r="J4051" s="3" t="str">
        <f>HYPERLINK("https://www.boe.es/gazeta/dias/1816/01/27/pdfs/GMD-1816-13E.pdf#page=3","Abrir facsímil")</f>
        <v>Abrir facsímil</v>
      </c>
      <c r="K4051" s="3" t="s">
        <v>23</v>
      </c>
    </row>
    <row r="4052" spans="1:11" ht="42" customHeight="1">
      <c r="A4052" s="2" t="s">
        <v>9457</v>
      </c>
      <c r="B4052" s="2" t="s">
        <v>9458</v>
      </c>
      <c r="C4052" s="2" t="s">
        <v>34</v>
      </c>
      <c r="D4052" s="2" t="s">
        <v>35</v>
      </c>
      <c r="E4052" s="5">
        <v>-30328</v>
      </c>
      <c r="F4052" s="3" t="s">
        <v>573</v>
      </c>
      <c r="G4052" s="3" t="s">
        <v>5535</v>
      </c>
      <c r="H4052" s="2" t="s">
        <v>21</v>
      </c>
      <c r="I4052" s="2" t="s">
        <v>9459</v>
      </c>
      <c r="J4052" s="3" t="str">
        <f>HYPERLINK("https://www.boe.es/gazeta/dias/1816/12/17/pdfs/GMD-1816-156.pdf#page=7","Abrir facsímil")</f>
        <v>Abrir facsímil</v>
      </c>
      <c r="K4052" s="3" t="s">
        <v>23</v>
      </c>
    </row>
    <row r="4053" spans="1:11" ht="42" customHeight="1">
      <c r="A4053" s="2" t="s">
        <v>9460</v>
      </c>
      <c r="B4053" s="2" t="s">
        <v>9461</v>
      </c>
      <c r="C4053" s="2" t="s">
        <v>26</v>
      </c>
      <c r="D4053" s="2" t="s">
        <v>18</v>
      </c>
      <c r="E4053" s="5">
        <v>-30438</v>
      </c>
      <c r="F4053" s="3" t="s">
        <v>299</v>
      </c>
      <c r="G4053" s="3" t="s">
        <v>300</v>
      </c>
      <c r="H4053" s="2" t="s">
        <v>21</v>
      </c>
      <c r="I4053" s="2" t="s">
        <v>9462</v>
      </c>
      <c r="J4053" s="3" t="str">
        <f>HYPERLINK("https://www.boe.es/gazeta/dias/1816/08/29/pdfs/GMD-1816-107.pdf#page=12","Abrir facsímil")</f>
        <v>Abrir facsímil</v>
      </c>
      <c r="K4053" s="3" t="s">
        <v>23</v>
      </c>
    </row>
    <row r="4054" spans="1:11" ht="42" customHeight="1">
      <c r="A4054" s="2" t="s">
        <v>9463</v>
      </c>
      <c r="B4054" s="2" t="s">
        <v>9463</v>
      </c>
      <c r="C4054" s="2" t="s">
        <v>34</v>
      </c>
      <c r="D4054" s="2" t="s">
        <v>35</v>
      </c>
      <c r="E4054" s="5">
        <v>-30564</v>
      </c>
      <c r="F4054" s="3" t="s">
        <v>963</v>
      </c>
      <c r="G4054" s="3" t="s">
        <v>47</v>
      </c>
      <c r="H4054" s="2" t="s">
        <v>21</v>
      </c>
      <c r="I4054" s="2" t="s">
        <v>9464</v>
      </c>
      <c r="J4054" s="3" t="str">
        <f>HYPERLINK("https://www.boe.es/gazeta/dias/1816/04/25/pdfs/GMD-1816-53.pdf#page=5","Abrir facsímil")</f>
        <v>Abrir facsímil</v>
      </c>
      <c r="K4054" s="3" t="s">
        <v>23</v>
      </c>
    </row>
    <row r="4055" spans="1:11" ht="42" customHeight="1">
      <c r="A4055" s="2" t="s">
        <v>9465</v>
      </c>
      <c r="B4055" s="2" t="s">
        <v>9466</v>
      </c>
      <c r="C4055" s="2" t="s">
        <v>34</v>
      </c>
      <c r="D4055" s="2" t="s">
        <v>35</v>
      </c>
      <c r="E4055" s="5">
        <v>-30564</v>
      </c>
      <c r="F4055" s="3" t="s">
        <v>963</v>
      </c>
      <c r="G4055" s="3" t="s">
        <v>47</v>
      </c>
      <c r="H4055" s="2" t="s">
        <v>21</v>
      </c>
      <c r="I4055" s="2" t="s">
        <v>9467</v>
      </c>
      <c r="J4055" s="3" t="str">
        <f>HYPERLINK("https://www.boe.es/gazeta/dias/1816/04/25/pdfs/GMD-1816-53.pdf#page=5","Abrir facsímil")</f>
        <v>Abrir facsímil</v>
      </c>
      <c r="K4055" s="3" t="s">
        <v>23</v>
      </c>
    </row>
    <row r="4056" spans="1:11" ht="42" customHeight="1">
      <c r="A4056" s="2" t="s">
        <v>9468</v>
      </c>
      <c r="B4056" s="2" t="s">
        <v>9469</v>
      </c>
      <c r="C4056" s="2" t="s">
        <v>111</v>
      </c>
      <c r="D4056" s="2" t="s">
        <v>112</v>
      </c>
      <c r="E4056" s="5">
        <v>-30615</v>
      </c>
      <c r="F4056" s="3" t="s">
        <v>1848</v>
      </c>
      <c r="G4056" s="3" t="s">
        <v>5385</v>
      </c>
      <c r="H4056" s="2" t="s">
        <v>21</v>
      </c>
      <c r="I4056" s="2" t="s">
        <v>9470</v>
      </c>
      <c r="J4056" s="3" t="str">
        <f>HYPERLINK("https://www.boe.es/gazeta/dias/1816/03/05/pdfs/GMD-1816-30.pdf#page=2","Abrir facsímil")</f>
        <v>Abrir facsímil</v>
      </c>
      <c r="K4056" s="3" t="s">
        <v>23</v>
      </c>
    </row>
    <row r="4057" spans="1:11" ht="42" customHeight="1">
      <c r="A4057" s="2" t="s">
        <v>9471</v>
      </c>
      <c r="B4057" s="2" t="s">
        <v>9471</v>
      </c>
      <c r="C4057" s="2" t="s">
        <v>34</v>
      </c>
      <c r="D4057" s="2" t="s">
        <v>35</v>
      </c>
      <c r="E4057" s="5">
        <v>-30415</v>
      </c>
      <c r="F4057" s="3" t="s">
        <v>585</v>
      </c>
      <c r="G4057" s="3" t="s">
        <v>52</v>
      </c>
      <c r="H4057" s="2" t="s">
        <v>21</v>
      </c>
      <c r="I4057" s="2" t="s">
        <v>9472</v>
      </c>
      <c r="J4057" s="3" t="str">
        <f>HYPERLINK("https://www.boe.es/gazeta/dias/1816/09/21/pdfs/GMD-1816-117.pdf#page=12","Abrir facsímil")</f>
        <v>Abrir facsímil</v>
      </c>
      <c r="K4057" s="3" t="s">
        <v>23</v>
      </c>
    </row>
    <row r="4058" spans="1:11" ht="42" customHeight="1">
      <c r="A4058" s="2" t="s">
        <v>9473</v>
      </c>
      <c r="B4058" s="2" t="s">
        <v>9474</v>
      </c>
      <c r="C4058" s="2" t="s">
        <v>34</v>
      </c>
      <c r="D4058" s="2" t="s">
        <v>35</v>
      </c>
      <c r="E4058" s="5">
        <v>-30618</v>
      </c>
      <c r="F4058" s="3" t="s">
        <v>207</v>
      </c>
      <c r="G4058" s="3" t="s">
        <v>42</v>
      </c>
      <c r="H4058" s="2" t="s">
        <v>21</v>
      </c>
      <c r="I4058" s="2" t="s">
        <v>9475</v>
      </c>
      <c r="J4058" s="3" t="str">
        <f>HYPERLINK("https://www.boe.es/gazeta/dias/1816/03/02/pdfs/GMD-1816-29.pdf#page=8","Abrir facsímil")</f>
        <v>Abrir facsímil</v>
      </c>
      <c r="K4058" s="3" t="s">
        <v>23</v>
      </c>
    </row>
    <row r="4059" spans="1:11" ht="42" customHeight="1">
      <c r="A4059" s="2" t="s">
        <v>9476</v>
      </c>
      <c r="B4059" s="2" t="s">
        <v>9477</v>
      </c>
      <c r="C4059" s="2" t="s">
        <v>34</v>
      </c>
      <c r="D4059" s="2" t="s">
        <v>35</v>
      </c>
      <c r="E4059" s="5">
        <v>-30657</v>
      </c>
      <c r="F4059" s="3" t="s">
        <v>899</v>
      </c>
      <c r="G4059" s="3" t="s">
        <v>5210</v>
      </c>
      <c r="H4059" s="2" t="s">
        <v>21</v>
      </c>
      <c r="I4059" s="2" t="s">
        <v>9478</v>
      </c>
      <c r="J4059" s="3" t="str">
        <f>HYPERLINK("https://www.boe.es/gazeta/dias/1816/01/23/pdfs/GMD-1816-10.pdf#page=6","Abrir facsímil")</f>
        <v>Abrir facsímil</v>
      </c>
      <c r="K4059" s="3" t="s">
        <v>23</v>
      </c>
    </row>
    <row r="4060" spans="1:11" ht="42" customHeight="1">
      <c r="A4060" s="2" t="s">
        <v>9476</v>
      </c>
      <c r="B4060" s="2" t="s">
        <v>9477</v>
      </c>
      <c r="C4060" s="2" t="s">
        <v>34</v>
      </c>
      <c r="D4060" s="2" t="s">
        <v>35</v>
      </c>
      <c r="E4060" s="5">
        <v>-30657</v>
      </c>
      <c r="F4060" s="3" t="s">
        <v>899</v>
      </c>
      <c r="G4060" s="3" t="s">
        <v>72</v>
      </c>
      <c r="H4060" s="2" t="s">
        <v>21</v>
      </c>
      <c r="I4060" s="2" t="s">
        <v>9479</v>
      </c>
      <c r="J4060" s="3" t="str">
        <f>HYPERLINK("https://www.boe.es/gazeta/dias/1816/01/23/pdfs/GMD-1816-10.pdf#page=7","Abrir facsímil")</f>
        <v>Abrir facsímil</v>
      </c>
      <c r="K4060" s="3" t="s">
        <v>23</v>
      </c>
    </row>
    <row r="4061" spans="1:11" ht="42" customHeight="1">
      <c r="A4061" s="2" t="s">
        <v>9476</v>
      </c>
      <c r="B4061" s="2" t="s">
        <v>9477</v>
      </c>
      <c r="C4061" s="2" t="s">
        <v>34</v>
      </c>
      <c r="D4061" s="2" t="s">
        <v>35</v>
      </c>
      <c r="E4061" s="5">
        <v>-30555</v>
      </c>
      <c r="F4061" s="3" t="s">
        <v>345</v>
      </c>
      <c r="G4061" s="3" t="s">
        <v>28</v>
      </c>
      <c r="H4061" s="2" t="s">
        <v>21</v>
      </c>
      <c r="I4061" s="2" t="s">
        <v>9480</v>
      </c>
      <c r="J4061" s="3" t="str">
        <f>HYPERLINK("https://www.boe.es/gazeta/dias/1816/05/04/pdfs/GMD-1816-57.pdf#page=6","Abrir facsímil")</f>
        <v>Abrir facsímil</v>
      </c>
      <c r="K4061" s="3" t="s">
        <v>23</v>
      </c>
    </row>
    <row r="4062" spans="1:11" ht="42" customHeight="1">
      <c r="A4062" s="2" t="s">
        <v>9481</v>
      </c>
      <c r="B4062" s="2" t="s">
        <v>9482</v>
      </c>
      <c r="C4062" s="2" t="s">
        <v>26</v>
      </c>
      <c r="D4062" s="2" t="s">
        <v>18</v>
      </c>
      <c r="E4062" s="5">
        <v>-30366</v>
      </c>
      <c r="F4062" s="3" t="s">
        <v>179</v>
      </c>
      <c r="G4062" s="3" t="s">
        <v>47</v>
      </c>
      <c r="H4062" s="2" t="s">
        <v>21</v>
      </c>
      <c r="I4062" s="2" t="s">
        <v>9483</v>
      </c>
      <c r="J4062" s="3" t="str">
        <f>HYPERLINK("https://www.boe.es/gazeta/dias/1816/11/09/pdfs/GMD-1816-140.pdf#page=5","Abrir facsímil")</f>
        <v>Abrir facsímil</v>
      </c>
      <c r="K4062" s="3" t="s">
        <v>23</v>
      </c>
    </row>
    <row r="4063" spans="1:11" ht="42" customHeight="1">
      <c r="A4063" s="2" t="s">
        <v>9484</v>
      </c>
      <c r="B4063" s="2" t="s">
        <v>9484</v>
      </c>
      <c r="C4063" s="2" t="s">
        <v>34</v>
      </c>
      <c r="D4063" s="2" t="s">
        <v>35</v>
      </c>
      <c r="E4063" s="5">
        <v>-30480</v>
      </c>
      <c r="F4063" s="3" t="s">
        <v>147</v>
      </c>
      <c r="G4063" s="3" t="s">
        <v>47</v>
      </c>
      <c r="H4063" s="2" t="s">
        <v>21</v>
      </c>
      <c r="I4063" s="2" t="s">
        <v>9485</v>
      </c>
      <c r="J4063" s="3" t="str">
        <f>HYPERLINK("https://www.boe.es/gazeta/dias/1816/07/18/pdfs/GMD-1816-89.pdf#page=5","Abrir facsímil")</f>
        <v>Abrir facsímil</v>
      </c>
      <c r="K4063" s="3" t="s">
        <v>23</v>
      </c>
    </row>
    <row r="4064" spans="1:11" ht="42" customHeight="1">
      <c r="A4064" s="2" t="s">
        <v>9484</v>
      </c>
      <c r="B4064" s="2" t="s">
        <v>9484</v>
      </c>
      <c r="C4064" s="2" t="s">
        <v>111</v>
      </c>
      <c r="D4064" s="2" t="s">
        <v>112</v>
      </c>
      <c r="E4064" s="5">
        <v>-30438</v>
      </c>
      <c r="F4064" s="3" t="s">
        <v>299</v>
      </c>
      <c r="G4064" s="3" t="s">
        <v>270</v>
      </c>
      <c r="H4064" s="2" t="s">
        <v>21</v>
      </c>
      <c r="I4064" s="2" t="s">
        <v>9486</v>
      </c>
      <c r="J4064" s="3" t="str">
        <f>HYPERLINK("https://www.boe.es/gazeta/dias/1816/08/29/pdfs/GMD-1816-107.pdf#page=2","Abrir facsímil")</f>
        <v>Abrir facsímil</v>
      </c>
      <c r="K4064" s="3" t="s">
        <v>23</v>
      </c>
    </row>
    <row r="4065" spans="1:11" ht="42" customHeight="1">
      <c r="A4065" s="2" t="s">
        <v>9487</v>
      </c>
      <c r="B4065" s="2" t="s">
        <v>9488</v>
      </c>
      <c r="C4065" s="2" t="s">
        <v>34</v>
      </c>
      <c r="D4065" s="2" t="s">
        <v>35</v>
      </c>
      <c r="E4065" s="5">
        <v>-30436</v>
      </c>
      <c r="F4065" s="3" t="s">
        <v>102</v>
      </c>
      <c r="G4065" s="3" t="s">
        <v>47</v>
      </c>
      <c r="H4065" s="2" t="s">
        <v>21</v>
      </c>
      <c r="I4065" s="2" t="s">
        <v>9489</v>
      </c>
      <c r="J4065" s="3" t="str">
        <f>HYPERLINK("https://www.boe.es/gazeta/dias/1816/08/31/pdfs/GMD-1816-108.pdf#page=5","Abrir facsímil")</f>
        <v>Abrir facsímil</v>
      </c>
      <c r="K4065" s="3" t="s">
        <v>23</v>
      </c>
    </row>
    <row r="4066" spans="1:11" ht="42" customHeight="1">
      <c r="A4066" s="2" t="s">
        <v>9490</v>
      </c>
      <c r="B4066" s="2" t="s">
        <v>9491</v>
      </c>
      <c r="C4066" s="2" t="s">
        <v>17</v>
      </c>
      <c r="D4066" s="2" t="s">
        <v>56</v>
      </c>
      <c r="E4066" s="5">
        <v>-30393</v>
      </c>
      <c r="F4066" s="3" t="s">
        <v>202</v>
      </c>
      <c r="G4066" s="3" t="s">
        <v>270</v>
      </c>
      <c r="H4066" s="2" t="s">
        <v>21</v>
      </c>
      <c r="I4066" s="2" t="s">
        <v>9492</v>
      </c>
      <c r="J4066" s="3" t="str">
        <f>HYPERLINK("https://www.boe.es/gazeta/dias/1816/10/13/pdfs/GMD-1816-128E.pdf#page=2","Abrir facsímil")</f>
        <v>Abrir facsímil</v>
      </c>
      <c r="K4066" s="3" t="s">
        <v>23</v>
      </c>
    </row>
    <row r="4067" spans="1:11" ht="42" customHeight="1">
      <c r="A4067" s="2" t="s">
        <v>9490</v>
      </c>
      <c r="B4067" s="2" t="s">
        <v>9491</v>
      </c>
      <c r="C4067" s="2" t="s">
        <v>26</v>
      </c>
      <c r="D4067" s="2" t="s">
        <v>18</v>
      </c>
      <c r="E4067" s="5">
        <v>-30389</v>
      </c>
      <c r="F4067" s="3" t="s">
        <v>522</v>
      </c>
      <c r="G4067" s="3" t="s">
        <v>42</v>
      </c>
      <c r="H4067" s="2" t="s">
        <v>21</v>
      </c>
      <c r="I4067" s="2" t="s">
        <v>9493</v>
      </c>
      <c r="J4067" s="3" t="str">
        <f>HYPERLINK("https://www.boe.es/gazeta/dias/1816/10/17/pdfs/GMD-1816-130.pdf#page=8","Abrir facsímil")</f>
        <v>Abrir facsímil</v>
      </c>
      <c r="K4067" s="3" t="s">
        <v>23</v>
      </c>
    </row>
    <row r="4068" spans="1:11" ht="42" customHeight="1">
      <c r="A4068" s="2" t="s">
        <v>9494</v>
      </c>
      <c r="B4068" s="2" t="s">
        <v>9494</v>
      </c>
      <c r="C4068" s="2" t="s">
        <v>26</v>
      </c>
      <c r="D4068" s="2" t="s">
        <v>18</v>
      </c>
      <c r="E4068" s="5">
        <v>-30499</v>
      </c>
      <c r="F4068" s="3" t="s">
        <v>971</v>
      </c>
      <c r="G4068" s="3" t="s">
        <v>270</v>
      </c>
      <c r="H4068" s="2" t="s">
        <v>21</v>
      </c>
      <c r="I4068" s="2" t="s">
        <v>9495</v>
      </c>
      <c r="J4068" s="3" t="str">
        <f>HYPERLINK("https://www.boe.es/gazeta/dias/1816/06/29/pdfs/GMD-1816-81.pdf#page=2","Abrir facsímil")</f>
        <v>Abrir facsímil</v>
      </c>
      <c r="K4068" s="3" t="s">
        <v>23</v>
      </c>
    </row>
    <row r="4069" spans="1:11" ht="42" customHeight="1">
      <c r="A4069" s="2" t="s">
        <v>9496</v>
      </c>
      <c r="B4069" s="2" t="s">
        <v>9497</v>
      </c>
      <c r="C4069" s="2" t="s">
        <v>26</v>
      </c>
      <c r="D4069" s="2" t="s">
        <v>18</v>
      </c>
      <c r="E4069" s="5">
        <v>-30606</v>
      </c>
      <c r="F4069" s="3" t="s">
        <v>761</v>
      </c>
      <c r="G4069" s="3" t="s">
        <v>72</v>
      </c>
      <c r="H4069" s="2" t="s">
        <v>21</v>
      </c>
      <c r="I4069" s="2" t="s">
        <v>9498</v>
      </c>
      <c r="J4069" s="3" t="str">
        <f>HYPERLINK("https://www.boe.es/gazeta/dias/1816/03/14/pdfs/GMD-1816-34.pdf#page=7","Abrir facsímil")</f>
        <v>Abrir facsímil</v>
      </c>
      <c r="K4069" s="3" t="s">
        <v>23</v>
      </c>
    </row>
    <row r="4070" spans="1:11" ht="42" customHeight="1">
      <c r="A4070" s="2" t="s">
        <v>9499</v>
      </c>
      <c r="B4070" s="2" t="s">
        <v>9499</v>
      </c>
      <c r="C4070" s="2" t="s">
        <v>26</v>
      </c>
      <c r="D4070" s="2" t="s">
        <v>18</v>
      </c>
      <c r="E4070" s="5">
        <v>-30622</v>
      </c>
      <c r="F4070" s="3" t="s">
        <v>27</v>
      </c>
      <c r="G4070" s="3" t="s">
        <v>28</v>
      </c>
      <c r="H4070" s="2" t="s">
        <v>21</v>
      </c>
      <c r="I4070" s="2" t="s">
        <v>9500</v>
      </c>
      <c r="J4070" s="3" t="str">
        <f>HYPERLINK("https://www.boe.es/gazeta/dias/1816/02/27/pdfs/GMD-1816-26.pdf#page=6","Abrir facsímil")</f>
        <v>Abrir facsímil</v>
      </c>
      <c r="K4070" s="3" t="s">
        <v>23</v>
      </c>
    </row>
    <row r="4071" spans="1:11" ht="42" customHeight="1">
      <c r="A4071" s="2" t="s">
        <v>9501</v>
      </c>
      <c r="B4071" s="2" t="s">
        <v>9502</v>
      </c>
      <c r="C4071" s="2" t="s">
        <v>111</v>
      </c>
      <c r="D4071" s="2" t="s">
        <v>56</v>
      </c>
      <c r="E4071" s="5">
        <v>-30393</v>
      </c>
      <c r="F4071" s="3" t="s">
        <v>202</v>
      </c>
      <c r="G4071" s="3" t="s">
        <v>203</v>
      </c>
      <c r="H4071" s="2" t="s">
        <v>21</v>
      </c>
      <c r="I4071" s="2" t="s">
        <v>9503</v>
      </c>
      <c r="J4071" s="3" t="str">
        <f>HYPERLINK("https://www.boe.es/gazeta/dias/1816/10/13/pdfs/GMD-1816-128E.pdf#page=7","Abrir facsímil")</f>
        <v>Abrir facsímil</v>
      </c>
      <c r="K4071" s="3" t="s">
        <v>23</v>
      </c>
    </row>
    <row r="4072" spans="1:11" ht="42" customHeight="1">
      <c r="A4072" s="2" t="s">
        <v>9504</v>
      </c>
      <c r="B4072" s="2" t="s">
        <v>9504</v>
      </c>
      <c r="C4072" s="2" t="s">
        <v>111</v>
      </c>
      <c r="D4072" s="2" t="s">
        <v>112</v>
      </c>
      <c r="E4072" s="5">
        <v>-30573</v>
      </c>
      <c r="F4072" s="3" t="s">
        <v>840</v>
      </c>
      <c r="G4072" s="3" t="s">
        <v>270</v>
      </c>
      <c r="H4072" s="2" t="s">
        <v>21</v>
      </c>
      <c r="I4072" s="2" t="s">
        <v>9505</v>
      </c>
      <c r="J4072" s="3" t="str">
        <f>HYPERLINK("https://www.boe.es/gazeta/dias/1816/04/16/pdfs/GMD-1816-49.pdf#page=2","Abrir facsímil")</f>
        <v>Abrir facsímil</v>
      </c>
      <c r="K4072" s="3" t="s">
        <v>23</v>
      </c>
    </row>
    <row r="4073" spans="1:11" ht="42" customHeight="1">
      <c r="A4073" s="2" t="s">
        <v>9506</v>
      </c>
      <c r="B4073" s="2" t="s">
        <v>9507</v>
      </c>
      <c r="C4073" s="2" t="s">
        <v>26</v>
      </c>
      <c r="D4073" s="2" t="s">
        <v>18</v>
      </c>
      <c r="E4073" s="5">
        <v>-30324</v>
      </c>
      <c r="F4073" s="3" t="s">
        <v>46</v>
      </c>
      <c r="G4073" s="3" t="s">
        <v>72</v>
      </c>
      <c r="H4073" s="2" t="s">
        <v>21</v>
      </c>
      <c r="I4073" s="2" t="s">
        <v>9508</v>
      </c>
      <c r="J4073" s="3" t="str">
        <f>HYPERLINK("https://www.boe.es/gazeta/dias/1816/12/21/pdfs/GMD-1816-158.pdf#page=7","Abrir facsímil")</f>
        <v>Abrir facsímil</v>
      </c>
      <c r="K4073" s="3" t="s">
        <v>23</v>
      </c>
    </row>
    <row r="4074" spans="1:11" ht="42" customHeight="1">
      <c r="A4074" s="2" t="s">
        <v>9509</v>
      </c>
      <c r="B4074" s="2" t="s">
        <v>9509</v>
      </c>
      <c r="C4074" s="2" t="s">
        <v>81</v>
      </c>
      <c r="D4074" s="2" t="s">
        <v>18</v>
      </c>
      <c r="E4074" s="5">
        <v>-30578</v>
      </c>
      <c r="F4074" s="3" t="s">
        <v>91</v>
      </c>
      <c r="G4074" s="3" t="s">
        <v>286</v>
      </c>
      <c r="H4074" s="2" t="s">
        <v>21</v>
      </c>
      <c r="I4074" s="2" t="s">
        <v>9510</v>
      </c>
      <c r="J4074" s="3" t="str">
        <f>HYPERLINK("https://www.boe.es/gazeta/dias/1816/04/11/pdfs/GMD-1816-47.pdf#page=11","Abrir facsímil")</f>
        <v>Abrir facsímil</v>
      </c>
      <c r="K4074" s="3" t="s">
        <v>23</v>
      </c>
    </row>
    <row r="4075" spans="1:11" ht="42" customHeight="1">
      <c r="A4075" s="2" t="s">
        <v>9511</v>
      </c>
      <c r="B4075" s="2" t="s">
        <v>9512</v>
      </c>
      <c r="C4075" s="2" t="s">
        <v>41</v>
      </c>
      <c r="D4075" s="2" t="s">
        <v>18</v>
      </c>
      <c r="E4075" s="5">
        <v>-30475</v>
      </c>
      <c r="F4075" s="3" t="s">
        <v>319</v>
      </c>
      <c r="G4075" s="3" t="s">
        <v>2731</v>
      </c>
      <c r="H4075" s="2" t="s">
        <v>21</v>
      </c>
      <c r="I4075" s="2" t="s">
        <v>9513</v>
      </c>
      <c r="J4075" s="3" t="str">
        <f>HYPERLINK("https://www.boe.es/gazeta/dias/1816/07/23/pdfs/GMD-1816-91.pdf#page=6","Abrir facsímil")</f>
        <v>Abrir facsímil</v>
      </c>
      <c r="K4075" s="3" t="s">
        <v>23</v>
      </c>
    </row>
    <row r="4076" spans="1:11" ht="42" customHeight="1">
      <c r="A4076" s="2" t="s">
        <v>9514</v>
      </c>
      <c r="B4076" s="2" t="s">
        <v>9515</v>
      </c>
      <c r="C4076" s="2" t="s">
        <v>34</v>
      </c>
      <c r="D4076" s="2" t="s">
        <v>35</v>
      </c>
      <c r="E4076" s="5">
        <v>-30436</v>
      </c>
      <c r="F4076" s="3" t="s">
        <v>102</v>
      </c>
      <c r="G4076" s="3" t="s">
        <v>92</v>
      </c>
      <c r="H4076" s="2" t="s">
        <v>21</v>
      </c>
      <c r="I4076" s="2" t="s">
        <v>9516</v>
      </c>
      <c r="J4076" s="3" t="str">
        <f>HYPERLINK("https://www.boe.es/gazeta/dias/1816/08/31/pdfs/GMD-1816-108.pdf#page=9","Abrir facsímil")</f>
        <v>Abrir facsímil</v>
      </c>
      <c r="K4076" s="3" t="s">
        <v>23</v>
      </c>
    </row>
    <row r="4077" spans="1:11" ht="42" customHeight="1">
      <c r="A4077" s="2" t="s">
        <v>9517</v>
      </c>
      <c r="B4077" s="2" t="s">
        <v>9518</v>
      </c>
      <c r="C4077" s="2" t="s">
        <v>111</v>
      </c>
      <c r="D4077" s="2" t="s">
        <v>112</v>
      </c>
      <c r="E4077" s="5">
        <v>-30636</v>
      </c>
      <c r="F4077" s="3" t="s">
        <v>82</v>
      </c>
      <c r="G4077" s="3" t="s">
        <v>28</v>
      </c>
      <c r="H4077" s="2" t="s">
        <v>29</v>
      </c>
      <c r="I4077" s="2" t="s">
        <v>9519</v>
      </c>
      <c r="J4077" s="3" t="str">
        <f>HYPERLINK("https://www.boe.es/gazeta/dias/1816/02/13/pdfs/GMD-1816-20.pdf#page=6","Abrir facsímil")</f>
        <v>Abrir facsímil</v>
      </c>
      <c r="K4077" s="3" t="s">
        <v>31</v>
      </c>
    </row>
    <row r="4078" spans="1:11" ht="42" customHeight="1">
      <c r="A4078" s="2" t="s">
        <v>9520</v>
      </c>
      <c r="B4078" s="2" t="s">
        <v>9521</v>
      </c>
      <c r="C4078" s="2" t="s">
        <v>41</v>
      </c>
      <c r="D4078" s="2" t="s">
        <v>18</v>
      </c>
      <c r="E4078" s="5">
        <v>-30387</v>
      </c>
      <c r="F4078" s="3" t="s">
        <v>224</v>
      </c>
      <c r="G4078" s="3" t="s">
        <v>28</v>
      </c>
      <c r="H4078" s="2" t="s">
        <v>21</v>
      </c>
      <c r="I4078" s="2" t="s">
        <v>9522</v>
      </c>
      <c r="J4078" s="3" t="str">
        <f>HYPERLINK("https://www.boe.es/gazeta/dias/1816/10/19/pdfs/GMD-1816-131.pdf#page=6","Abrir facsímil")</f>
        <v>Abrir facsímil</v>
      </c>
      <c r="K4078" s="3" t="s">
        <v>23</v>
      </c>
    </row>
    <row r="4079" spans="1:11" ht="42" customHeight="1">
      <c r="A4079" s="2" t="s">
        <v>9523</v>
      </c>
      <c r="B4079" s="2" t="s">
        <v>9524</v>
      </c>
      <c r="C4079" s="2" t="s">
        <v>34</v>
      </c>
      <c r="D4079" s="2" t="s">
        <v>35</v>
      </c>
      <c r="E4079" s="5">
        <v>-30415</v>
      </c>
      <c r="F4079" s="3" t="s">
        <v>585</v>
      </c>
      <c r="G4079" s="3" t="s">
        <v>58</v>
      </c>
      <c r="H4079" s="2" t="s">
        <v>21</v>
      </c>
      <c r="I4079" s="2" t="s">
        <v>9525</v>
      </c>
      <c r="J4079" s="3" t="str">
        <f>HYPERLINK("https://www.boe.es/gazeta/dias/1816/09/21/pdfs/GMD-1816-117.pdf#page=1","Abrir facsímil")</f>
        <v>Abrir facsímil</v>
      </c>
      <c r="K4079" s="3" t="s">
        <v>23</v>
      </c>
    </row>
    <row r="4080" spans="1:11" ht="42" customHeight="1">
      <c r="A4080" s="2" t="s">
        <v>9526</v>
      </c>
      <c r="B4080" s="2" t="s">
        <v>9527</v>
      </c>
      <c r="C4080" s="2" t="s">
        <v>111</v>
      </c>
      <c r="D4080" s="2" t="s">
        <v>112</v>
      </c>
      <c r="E4080" s="5">
        <v>-30438</v>
      </c>
      <c r="F4080" s="3" t="s">
        <v>299</v>
      </c>
      <c r="G4080" s="3" t="s">
        <v>300</v>
      </c>
      <c r="H4080" s="2" t="s">
        <v>21</v>
      </c>
      <c r="I4080" s="2" t="s">
        <v>9528</v>
      </c>
      <c r="J4080" s="3" t="str">
        <f>HYPERLINK("https://www.boe.es/gazeta/dias/1816/08/29/pdfs/GMD-1816-107.pdf#page=12","Abrir facsímil")</f>
        <v>Abrir facsímil</v>
      </c>
      <c r="K4080" s="3" t="s">
        <v>23</v>
      </c>
    </row>
    <row r="4081" spans="1:11" ht="42" customHeight="1">
      <c r="A4081" s="2" t="s">
        <v>9529</v>
      </c>
      <c r="B4081" s="2" t="s">
        <v>9530</v>
      </c>
      <c r="C4081" s="2" t="s">
        <v>111</v>
      </c>
      <c r="D4081" s="2" t="s">
        <v>112</v>
      </c>
      <c r="E4081" s="5">
        <v>-30585</v>
      </c>
      <c r="F4081" s="3" t="s">
        <v>633</v>
      </c>
      <c r="G4081" s="3" t="s">
        <v>47</v>
      </c>
      <c r="H4081" s="2" t="s">
        <v>21</v>
      </c>
      <c r="I4081" s="2" t="s">
        <v>9531</v>
      </c>
      <c r="J4081" s="3" t="str">
        <f>HYPERLINK("https://www.boe.es/gazeta/dias/1816/04/04/pdfs/GMD-1816-44.pdf#page=5","Abrir facsímil")</f>
        <v>Abrir facsímil</v>
      </c>
      <c r="K4081" s="3" t="s">
        <v>23</v>
      </c>
    </row>
    <row r="4082" spans="1:11" ht="42" customHeight="1">
      <c r="A4082" s="2" t="s">
        <v>9532</v>
      </c>
      <c r="B4082" s="2" t="s">
        <v>9533</v>
      </c>
      <c r="C4082" s="2" t="s">
        <v>81</v>
      </c>
      <c r="D4082" s="2" t="s">
        <v>18</v>
      </c>
      <c r="E4082" s="5">
        <v>-30366</v>
      </c>
      <c r="F4082" s="3" t="s">
        <v>179</v>
      </c>
      <c r="G4082" s="3" t="s">
        <v>180</v>
      </c>
      <c r="H4082" s="2" t="s">
        <v>21</v>
      </c>
      <c r="I4082" s="2" t="s">
        <v>9534</v>
      </c>
      <c r="J4082" s="3" t="str">
        <f>HYPERLINK("https://www.boe.es/gazeta/dias/1816/11/09/pdfs/GMD-1816-140.pdf#page=10","Abrir facsímil")</f>
        <v>Abrir facsímil</v>
      </c>
      <c r="K4082" s="3" t="s">
        <v>23</v>
      </c>
    </row>
    <row r="4083" spans="1:11" ht="42" customHeight="1">
      <c r="A4083" s="2" t="s">
        <v>9535</v>
      </c>
      <c r="B4083" s="2" t="s">
        <v>9536</v>
      </c>
      <c r="C4083" s="2" t="s">
        <v>26</v>
      </c>
      <c r="D4083" s="2" t="s">
        <v>18</v>
      </c>
      <c r="E4083" s="5">
        <v>-30585</v>
      </c>
      <c r="F4083" s="3" t="s">
        <v>633</v>
      </c>
      <c r="G4083" s="3" t="s">
        <v>634</v>
      </c>
      <c r="H4083" s="2" t="s">
        <v>21</v>
      </c>
      <c r="I4083" s="2" t="s">
        <v>9537</v>
      </c>
      <c r="J4083" s="3" t="str">
        <f>HYPERLINK("https://www.boe.es/gazeta/dias/1816/04/04/pdfs/GMD-1816-44.pdf#page=6","Abrir facsímil")</f>
        <v>Abrir facsímil</v>
      </c>
      <c r="K4083" s="3" t="s">
        <v>23</v>
      </c>
    </row>
    <row r="4084" spans="1:11" ht="42" customHeight="1">
      <c r="A4084" s="2" t="s">
        <v>9535</v>
      </c>
      <c r="B4084" s="2" t="s">
        <v>9536</v>
      </c>
      <c r="C4084" s="2" t="s">
        <v>26</v>
      </c>
      <c r="D4084" s="2" t="s">
        <v>18</v>
      </c>
      <c r="E4084" s="5">
        <v>-30585</v>
      </c>
      <c r="F4084" s="3" t="s">
        <v>633</v>
      </c>
      <c r="G4084" s="3" t="s">
        <v>47</v>
      </c>
      <c r="H4084" s="2" t="s">
        <v>21</v>
      </c>
      <c r="I4084" s="2" t="s">
        <v>9538</v>
      </c>
      <c r="J4084" s="3" t="str">
        <f>HYPERLINK("https://www.boe.es/gazeta/dias/1816/04/04/pdfs/GMD-1816-44.pdf#page=5","Abrir facsímil")</f>
        <v>Abrir facsímil</v>
      </c>
      <c r="K4084" s="3" t="s">
        <v>23</v>
      </c>
    </row>
    <row r="4085" spans="1:11" ht="42" customHeight="1">
      <c r="A4085" s="2" t="s">
        <v>9539</v>
      </c>
      <c r="B4085" s="2" t="s">
        <v>9540</v>
      </c>
      <c r="C4085" s="2" t="s">
        <v>26</v>
      </c>
      <c r="D4085" s="2" t="s">
        <v>56</v>
      </c>
      <c r="E4085" s="5">
        <v>-30393</v>
      </c>
      <c r="F4085" s="3" t="s">
        <v>202</v>
      </c>
      <c r="G4085" s="3" t="s">
        <v>47</v>
      </c>
      <c r="H4085" s="2" t="s">
        <v>21</v>
      </c>
      <c r="I4085" s="2" t="s">
        <v>9541</v>
      </c>
      <c r="J4085" s="3" t="str">
        <f>HYPERLINK("https://www.boe.es/gazeta/dias/1816/10/13/pdfs/GMD-1816-128E.pdf#page=5","Abrir facsímil")</f>
        <v>Abrir facsímil</v>
      </c>
      <c r="K4085" s="3" t="s">
        <v>23</v>
      </c>
    </row>
    <row r="4086" spans="1:11" ht="42" customHeight="1">
      <c r="A4086" s="2" t="s">
        <v>9542</v>
      </c>
      <c r="B4086" s="2" t="s">
        <v>9543</v>
      </c>
      <c r="C4086" s="2" t="s">
        <v>67</v>
      </c>
      <c r="D4086" s="2" t="s">
        <v>18</v>
      </c>
      <c r="E4086" s="5">
        <v>-30660</v>
      </c>
      <c r="F4086" s="3" t="s">
        <v>809</v>
      </c>
      <c r="G4086" s="3" t="s">
        <v>810</v>
      </c>
      <c r="H4086" s="2" t="s">
        <v>21</v>
      </c>
      <c r="I4086" s="2" t="s">
        <v>9544</v>
      </c>
      <c r="J4086" s="3" t="str">
        <f>HYPERLINK("https://www.boe.es/gazeta/dias/1816/01/20/pdfs/GMD-1816-9.pdf#page=8","Abrir facsímil")</f>
        <v>Abrir facsímil</v>
      </c>
      <c r="K4086" s="3" t="s">
        <v>23</v>
      </c>
    </row>
    <row r="4087" spans="1:11" ht="42" customHeight="1">
      <c r="A4087" s="2" t="s">
        <v>9545</v>
      </c>
      <c r="B4087" s="2" t="s">
        <v>9546</v>
      </c>
      <c r="C4087" s="2" t="s">
        <v>41</v>
      </c>
      <c r="D4087" s="2" t="s">
        <v>18</v>
      </c>
      <c r="E4087" s="5">
        <v>-30496</v>
      </c>
      <c r="F4087" s="3" t="s">
        <v>290</v>
      </c>
      <c r="G4087" s="3" t="s">
        <v>291</v>
      </c>
      <c r="H4087" s="2" t="s">
        <v>21</v>
      </c>
      <c r="I4087" s="2" t="s">
        <v>9547</v>
      </c>
      <c r="J4087" s="3" t="str">
        <f>HYPERLINK("https://www.boe.es/gazeta/dias/1816/07/02/pdfs/GMD-1816-82.pdf#page=7","Abrir facsímil")</f>
        <v>Abrir facsímil</v>
      </c>
      <c r="K4087" s="3" t="s">
        <v>23</v>
      </c>
    </row>
    <row r="4088" spans="1:11" ht="42" customHeight="1">
      <c r="A4088" s="2" t="s">
        <v>9548</v>
      </c>
      <c r="B4088" s="2" t="s">
        <v>9548</v>
      </c>
      <c r="C4088" s="2" t="s">
        <v>111</v>
      </c>
      <c r="D4088" s="2" t="s">
        <v>112</v>
      </c>
      <c r="E4088" s="5">
        <v>-30494</v>
      </c>
      <c r="F4088" s="3" t="s">
        <v>174</v>
      </c>
      <c r="G4088" s="3" t="s">
        <v>72</v>
      </c>
      <c r="H4088" s="2" t="s">
        <v>21</v>
      </c>
      <c r="I4088" s="2" t="s">
        <v>9549</v>
      </c>
      <c r="J4088" s="3" t="str">
        <f>HYPERLINK("https://www.boe.es/gazeta/dias/1816/07/04/pdfs/GMD-1816-83.pdf#page=7","Abrir facsímil")</f>
        <v>Abrir facsímil</v>
      </c>
      <c r="K4088" s="3" t="s">
        <v>23</v>
      </c>
    </row>
    <row r="4089" spans="1:11" ht="42" customHeight="1">
      <c r="A4089" s="2" t="s">
        <v>9550</v>
      </c>
      <c r="B4089" s="2" t="s">
        <v>9550</v>
      </c>
      <c r="C4089" s="2" t="s">
        <v>111</v>
      </c>
      <c r="D4089" s="2" t="s">
        <v>112</v>
      </c>
      <c r="E4089" s="5">
        <v>-30494</v>
      </c>
      <c r="F4089" s="3" t="s">
        <v>174</v>
      </c>
      <c r="G4089" s="3" t="s">
        <v>72</v>
      </c>
      <c r="H4089" s="2" t="s">
        <v>21</v>
      </c>
      <c r="I4089" s="2" t="s">
        <v>9551</v>
      </c>
      <c r="J4089" s="3" t="str">
        <f>HYPERLINK("https://www.boe.es/gazeta/dias/1816/07/04/pdfs/GMD-1816-83.pdf#page=7","Abrir facsímil")</f>
        <v>Abrir facsímil</v>
      </c>
      <c r="K4089" s="3" t="s">
        <v>23</v>
      </c>
    </row>
    <row r="4090" spans="1:11" ht="42" customHeight="1">
      <c r="A4090" s="2" t="s">
        <v>9550</v>
      </c>
      <c r="B4090" s="2" t="s">
        <v>9550</v>
      </c>
      <c r="C4090" s="2" t="s">
        <v>111</v>
      </c>
      <c r="D4090" s="2" t="s">
        <v>112</v>
      </c>
      <c r="E4090" s="5">
        <v>-30494</v>
      </c>
      <c r="F4090" s="3" t="s">
        <v>174</v>
      </c>
      <c r="G4090" s="3" t="s">
        <v>42</v>
      </c>
      <c r="H4090" s="2" t="s">
        <v>21</v>
      </c>
      <c r="I4090" s="2" t="s">
        <v>9552</v>
      </c>
      <c r="J4090" s="3" t="str">
        <f>HYPERLINK("https://www.boe.es/gazeta/dias/1816/07/04/pdfs/GMD-1816-83.pdf#page=8","Abrir facsímil")</f>
        <v>Abrir facsímil</v>
      </c>
      <c r="K4090" s="3" t="s">
        <v>23</v>
      </c>
    </row>
    <row r="4091" spans="1:11" ht="42" customHeight="1">
      <c r="A4091" s="2" t="s">
        <v>9550</v>
      </c>
      <c r="B4091" s="2" t="s">
        <v>9550</v>
      </c>
      <c r="C4091" s="2" t="s">
        <v>81</v>
      </c>
      <c r="D4091" s="2" t="s">
        <v>18</v>
      </c>
      <c r="E4091" s="5">
        <v>-30443</v>
      </c>
      <c r="F4091" s="3" t="s">
        <v>259</v>
      </c>
      <c r="G4091" s="3" t="s">
        <v>3380</v>
      </c>
      <c r="H4091" s="2" t="s">
        <v>21</v>
      </c>
      <c r="I4091" s="2" t="s">
        <v>9553</v>
      </c>
      <c r="J4091" s="3" t="str">
        <f>HYPERLINK("https://www.boe.es/gazeta/dias/1816/08/24/pdfs/GMD-1816-105.pdf#page=6","Abrir facsímil")</f>
        <v>Abrir facsímil</v>
      </c>
      <c r="K4091" s="3" t="s">
        <v>23</v>
      </c>
    </row>
    <row r="4092" spans="1:11" ht="42" customHeight="1">
      <c r="A4092" s="2" t="s">
        <v>9554</v>
      </c>
      <c r="B4092" s="2" t="s">
        <v>9554</v>
      </c>
      <c r="C4092" s="2" t="s">
        <v>26</v>
      </c>
      <c r="D4092" s="2" t="s">
        <v>18</v>
      </c>
      <c r="E4092" s="5">
        <v>-30494</v>
      </c>
      <c r="F4092" s="3" t="s">
        <v>174</v>
      </c>
      <c r="G4092" s="3" t="s">
        <v>72</v>
      </c>
      <c r="H4092" s="2" t="s">
        <v>21</v>
      </c>
      <c r="I4092" s="2" t="s">
        <v>9555</v>
      </c>
      <c r="J4092" s="3" t="str">
        <f>HYPERLINK("https://www.boe.es/gazeta/dias/1816/07/04/pdfs/GMD-1816-83.pdf#page=7","Abrir facsímil")</f>
        <v>Abrir facsímil</v>
      </c>
      <c r="K4092" s="3" t="s">
        <v>23</v>
      </c>
    </row>
    <row r="4093" spans="1:11" ht="42" customHeight="1">
      <c r="A4093" s="2" t="s">
        <v>9556</v>
      </c>
      <c r="B4093" s="2" t="s">
        <v>9557</v>
      </c>
      <c r="C4093" s="2" t="s">
        <v>34</v>
      </c>
      <c r="D4093" s="2" t="s">
        <v>35</v>
      </c>
      <c r="E4093" s="5">
        <v>-30359</v>
      </c>
      <c r="F4093" s="3" t="s">
        <v>812</v>
      </c>
      <c r="G4093" s="3" t="s">
        <v>28</v>
      </c>
      <c r="H4093" s="2" t="s">
        <v>21</v>
      </c>
      <c r="I4093" s="2" t="s">
        <v>9558</v>
      </c>
      <c r="J4093" s="3" t="str">
        <f>HYPERLINK("https://www.boe.es/gazeta/dias/1816/11/16/pdfs/GMD-1816-143.pdf#page=6","Abrir facsímil")</f>
        <v>Abrir facsímil</v>
      </c>
      <c r="K4093" s="3" t="s">
        <v>23</v>
      </c>
    </row>
    <row r="4094" spans="1:11" ht="42" customHeight="1">
      <c r="A4094" s="2" t="s">
        <v>9559</v>
      </c>
      <c r="B4094" s="2" t="s">
        <v>9560</v>
      </c>
      <c r="C4094" s="2" t="s">
        <v>81</v>
      </c>
      <c r="D4094" s="2" t="s">
        <v>18</v>
      </c>
      <c r="E4094" s="5">
        <v>-30366</v>
      </c>
      <c r="F4094" s="3" t="s">
        <v>179</v>
      </c>
      <c r="G4094" s="3" t="s">
        <v>52</v>
      </c>
      <c r="H4094" s="2" t="s">
        <v>21</v>
      </c>
      <c r="I4094" s="2" t="s">
        <v>9561</v>
      </c>
      <c r="J4094" s="3" t="str">
        <f>HYPERLINK("https://www.boe.es/gazeta/dias/1816/11/09/pdfs/GMD-1816-140.pdf#page=12","Abrir facsímil")</f>
        <v>Abrir facsímil</v>
      </c>
      <c r="K4094" s="3" t="s">
        <v>23</v>
      </c>
    </row>
    <row r="4095" spans="1:11" ht="42" customHeight="1">
      <c r="A4095" s="2" t="s">
        <v>9562</v>
      </c>
      <c r="B4095" s="2" t="s">
        <v>9563</v>
      </c>
      <c r="C4095" s="2" t="s">
        <v>34</v>
      </c>
      <c r="D4095" s="2" t="s">
        <v>35</v>
      </c>
      <c r="E4095" s="5">
        <v>-30487</v>
      </c>
      <c r="F4095" s="3" t="s">
        <v>397</v>
      </c>
      <c r="G4095" s="3" t="s">
        <v>103</v>
      </c>
      <c r="H4095" s="2" t="s">
        <v>21</v>
      </c>
      <c r="I4095" s="2" t="s">
        <v>9564</v>
      </c>
      <c r="J4095" s="3" t="str">
        <f>HYPERLINK("https://www.boe.es/gazeta/dias/1816/07/11/pdfs/GMD-1816-86.pdf#page=4","Abrir facsímil")</f>
        <v>Abrir facsímil</v>
      </c>
      <c r="K4095" s="3" t="s">
        <v>23</v>
      </c>
    </row>
    <row r="4096" spans="1:11" ht="42" customHeight="1">
      <c r="A4096" s="2" t="s">
        <v>9565</v>
      </c>
      <c r="B4096" s="2" t="s">
        <v>9566</v>
      </c>
      <c r="C4096" s="2" t="s">
        <v>26</v>
      </c>
      <c r="D4096" s="2" t="s">
        <v>56</v>
      </c>
      <c r="E4096" s="5">
        <v>-30393</v>
      </c>
      <c r="F4096" s="3" t="s">
        <v>202</v>
      </c>
      <c r="G4096" s="3" t="s">
        <v>203</v>
      </c>
      <c r="H4096" s="2" t="s">
        <v>21</v>
      </c>
      <c r="I4096" s="2" t="s">
        <v>9567</v>
      </c>
      <c r="J4096" s="3" t="str">
        <f>HYPERLINK("https://www.boe.es/gazeta/dias/1816/10/13/pdfs/GMD-1816-128E.pdf#page=7","Abrir facsímil")</f>
        <v>Abrir facsímil</v>
      </c>
      <c r="K4096" s="3" t="s">
        <v>23</v>
      </c>
    </row>
    <row r="4097" spans="1:11" ht="42" customHeight="1">
      <c r="A4097" s="2" t="s">
        <v>9568</v>
      </c>
      <c r="B4097" s="2" t="s">
        <v>9569</v>
      </c>
      <c r="C4097" s="2" t="s">
        <v>34</v>
      </c>
      <c r="D4097" s="2" t="s">
        <v>35</v>
      </c>
      <c r="E4097" s="5">
        <v>-30599</v>
      </c>
      <c r="F4097" s="3" t="s">
        <v>552</v>
      </c>
      <c r="G4097" s="3" t="s">
        <v>103</v>
      </c>
      <c r="H4097" s="2" t="s">
        <v>21</v>
      </c>
      <c r="I4097" s="2" t="s">
        <v>9570</v>
      </c>
      <c r="J4097" s="3" t="str">
        <f>HYPERLINK("https://www.boe.es/gazeta/dias/1816/03/21/pdfs/GMD-1816-38.pdf#page=4","Abrir facsímil")</f>
        <v>Abrir facsímil</v>
      </c>
      <c r="K4097" s="3" t="s">
        <v>23</v>
      </c>
    </row>
    <row r="4098" spans="1:11" ht="42" customHeight="1">
      <c r="A4098" s="2" t="s">
        <v>9571</v>
      </c>
      <c r="B4098" s="2" t="s">
        <v>9571</v>
      </c>
      <c r="C4098" s="2" t="s">
        <v>34</v>
      </c>
      <c r="D4098" s="2" t="s">
        <v>35</v>
      </c>
      <c r="E4098" s="5">
        <v>-30513</v>
      </c>
      <c r="F4098" s="3" t="s">
        <v>582</v>
      </c>
      <c r="G4098" s="3" t="s">
        <v>1129</v>
      </c>
      <c r="H4098" s="2" t="s">
        <v>21</v>
      </c>
      <c r="I4098" s="2" t="s">
        <v>9572</v>
      </c>
      <c r="J4098" s="3" t="str">
        <f>HYPERLINK("https://www.boe.es/gazeta/dias/1816/06/15/pdfs/GMD-1816-75.pdf#page=4","Abrir facsímil")</f>
        <v>Abrir facsímil</v>
      </c>
      <c r="K4098" s="3" t="s">
        <v>23</v>
      </c>
    </row>
    <row r="4099" spans="1:11" ht="42" customHeight="1">
      <c r="A4099" s="2" t="s">
        <v>9573</v>
      </c>
      <c r="B4099" s="2" t="s">
        <v>9574</v>
      </c>
      <c r="C4099" s="2" t="s">
        <v>34</v>
      </c>
      <c r="D4099" s="2" t="s">
        <v>35</v>
      </c>
      <c r="E4099" s="5">
        <v>-30389</v>
      </c>
      <c r="F4099" s="3" t="s">
        <v>522</v>
      </c>
      <c r="G4099" s="3" t="s">
        <v>42</v>
      </c>
      <c r="H4099" s="2" t="s">
        <v>21</v>
      </c>
      <c r="I4099" s="2" t="s">
        <v>9575</v>
      </c>
      <c r="J4099" s="3" t="str">
        <f>HYPERLINK("https://www.boe.es/gazeta/dias/1816/10/17/pdfs/GMD-1816-130.pdf#page=8","Abrir facsímil")</f>
        <v>Abrir facsímil</v>
      </c>
      <c r="K4099" s="3" t="s">
        <v>23</v>
      </c>
    </row>
    <row r="4100" spans="1:11" ht="42" customHeight="1">
      <c r="A4100" s="2" t="s">
        <v>9576</v>
      </c>
      <c r="B4100" s="2" t="s">
        <v>9577</v>
      </c>
      <c r="C4100" s="2" t="s">
        <v>26</v>
      </c>
      <c r="D4100" s="2" t="s">
        <v>18</v>
      </c>
      <c r="E4100" s="5">
        <v>-30429</v>
      </c>
      <c r="F4100" s="3" t="s">
        <v>598</v>
      </c>
      <c r="G4100" s="3" t="s">
        <v>184</v>
      </c>
      <c r="H4100" s="2" t="s">
        <v>21</v>
      </c>
      <c r="I4100" s="2" t="s">
        <v>9578</v>
      </c>
      <c r="J4100" s="3" t="str">
        <f>HYPERLINK("https://www.boe.es/gazeta/dias/1816/09/07/pdfs/GMD-1816-111.pdf#page=3","Abrir facsímil")</f>
        <v>Abrir facsímil</v>
      </c>
      <c r="K4100" s="3" t="s">
        <v>23</v>
      </c>
    </row>
    <row r="4101" spans="1:11" ht="42" customHeight="1">
      <c r="A4101" s="2" t="s">
        <v>9579</v>
      </c>
      <c r="B4101" s="2" t="s">
        <v>9580</v>
      </c>
      <c r="C4101" s="2" t="s">
        <v>111</v>
      </c>
      <c r="D4101" s="2" t="s">
        <v>112</v>
      </c>
      <c r="E4101" s="5">
        <v>-30438</v>
      </c>
      <c r="F4101" s="3" t="s">
        <v>299</v>
      </c>
      <c r="G4101" s="3" t="s">
        <v>300</v>
      </c>
      <c r="H4101" s="2" t="s">
        <v>21</v>
      </c>
      <c r="I4101" s="2" t="s">
        <v>9581</v>
      </c>
      <c r="J4101" s="3" t="str">
        <f>HYPERLINK("https://www.boe.es/gazeta/dias/1816/08/29/pdfs/GMD-1816-107.pdf#page=12","Abrir facsímil")</f>
        <v>Abrir facsímil</v>
      </c>
      <c r="K4101" s="3" t="s">
        <v>23</v>
      </c>
    </row>
    <row r="4102" spans="1:11" ht="42" customHeight="1">
      <c r="A4102" s="2" t="s">
        <v>9582</v>
      </c>
      <c r="B4102" s="2" t="s">
        <v>9583</v>
      </c>
      <c r="C4102" s="2" t="s">
        <v>34</v>
      </c>
      <c r="D4102" s="2" t="s">
        <v>35</v>
      </c>
      <c r="E4102" s="5">
        <v>-30564</v>
      </c>
      <c r="F4102" s="3" t="s">
        <v>963</v>
      </c>
      <c r="G4102" s="3" t="s">
        <v>47</v>
      </c>
      <c r="H4102" s="2" t="s">
        <v>21</v>
      </c>
      <c r="I4102" s="2" t="s">
        <v>9584</v>
      </c>
      <c r="J4102" s="3" t="str">
        <f>HYPERLINK("https://www.boe.es/gazeta/dias/1816/04/25/pdfs/GMD-1816-53.pdf#page=5","Abrir facsímil")</f>
        <v>Abrir facsímil</v>
      </c>
      <c r="K4102" s="3" t="s">
        <v>23</v>
      </c>
    </row>
    <row r="4103" spans="1:11" ht="42" customHeight="1">
      <c r="A4103" s="2" t="s">
        <v>9585</v>
      </c>
      <c r="B4103" s="2" t="s">
        <v>9585</v>
      </c>
      <c r="C4103" s="2" t="s">
        <v>34</v>
      </c>
      <c r="D4103" s="2" t="s">
        <v>35</v>
      </c>
      <c r="E4103" s="5">
        <v>-30366</v>
      </c>
      <c r="F4103" s="3" t="s">
        <v>179</v>
      </c>
      <c r="G4103" s="3" t="s">
        <v>58</v>
      </c>
      <c r="H4103" s="2" t="s">
        <v>21</v>
      </c>
      <c r="I4103" s="2" t="s">
        <v>9586</v>
      </c>
      <c r="J4103" s="3" t="str">
        <f>HYPERLINK("https://www.boe.es/gazeta/dias/1816/11/09/pdfs/GMD-1816-140.pdf#page=1","Abrir facsímil")</f>
        <v>Abrir facsímil</v>
      </c>
      <c r="K4103" s="3" t="s">
        <v>23</v>
      </c>
    </row>
    <row r="4104" spans="1:11" ht="42" customHeight="1">
      <c r="A4104" s="2" t="s">
        <v>9587</v>
      </c>
      <c r="B4104" s="2" t="s">
        <v>9588</v>
      </c>
      <c r="C4104" s="2" t="s">
        <v>111</v>
      </c>
      <c r="D4104" s="2" t="s">
        <v>112</v>
      </c>
      <c r="E4104" s="5">
        <v>-30676</v>
      </c>
      <c r="F4104" s="3" t="s">
        <v>1932</v>
      </c>
      <c r="G4104" s="3" t="s">
        <v>47</v>
      </c>
      <c r="H4104" s="2" t="s">
        <v>21</v>
      </c>
      <c r="I4104" s="2" t="s">
        <v>9589</v>
      </c>
      <c r="J4104" s="3" t="str">
        <f>HYPERLINK("https://www.boe.es/gazeta/dias/1816/01/04/pdfs/GMD-1816-2.pdf#page=5","Abrir facsímil")</f>
        <v>Abrir facsímil</v>
      </c>
      <c r="K4104" s="3" t="s">
        <v>23</v>
      </c>
    </row>
    <row r="4105" spans="1:11" ht="42" customHeight="1">
      <c r="A4105" s="2" t="s">
        <v>9590</v>
      </c>
      <c r="B4105" s="2" t="s">
        <v>9591</v>
      </c>
      <c r="C4105" s="2" t="s">
        <v>34</v>
      </c>
      <c r="D4105" s="2" t="s">
        <v>35</v>
      </c>
      <c r="E4105" s="5">
        <v>-30531</v>
      </c>
      <c r="F4105" s="3" t="s">
        <v>535</v>
      </c>
      <c r="G4105" s="3" t="s">
        <v>47</v>
      </c>
      <c r="H4105" s="2" t="s">
        <v>21</v>
      </c>
      <c r="I4105" s="2" t="s">
        <v>9592</v>
      </c>
      <c r="J4105" s="3" t="str">
        <f>HYPERLINK("https://www.boe.es/gazeta/dias/1816/05/28/pdfs/GMD-1816-67.pdf#page=5","Abrir facsímil")</f>
        <v>Abrir facsímil</v>
      </c>
      <c r="K4105" s="3" t="s">
        <v>23</v>
      </c>
    </row>
    <row r="4106" spans="1:11" ht="42" customHeight="1">
      <c r="A4106" s="2" t="s">
        <v>9593</v>
      </c>
      <c r="B4106" s="2" t="s">
        <v>9594</v>
      </c>
      <c r="C4106" s="2" t="s">
        <v>34</v>
      </c>
      <c r="D4106" s="2" t="s">
        <v>35</v>
      </c>
      <c r="E4106" s="5">
        <v>-30387</v>
      </c>
      <c r="F4106" s="3" t="s">
        <v>224</v>
      </c>
      <c r="G4106" s="3" t="s">
        <v>28</v>
      </c>
      <c r="H4106" s="2" t="s">
        <v>21</v>
      </c>
      <c r="I4106" s="2" t="s">
        <v>9595</v>
      </c>
      <c r="J4106" s="3" t="str">
        <f>HYPERLINK("https://www.boe.es/gazeta/dias/1816/10/19/pdfs/GMD-1816-131.pdf#page=6","Abrir facsímil")</f>
        <v>Abrir facsímil</v>
      </c>
      <c r="K4106" s="3" t="s">
        <v>23</v>
      </c>
    </row>
    <row r="4107" spans="1:11" ht="42" customHeight="1">
      <c r="A4107" s="2" t="s">
        <v>9596</v>
      </c>
      <c r="B4107" s="2" t="s">
        <v>9597</v>
      </c>
      <c r="C4107" s="2" t="s">
        <v>26</v>
      </c>
      <c r="D4107" s="2" t="s">
        <v>56</v>
      </c>
      <c r="E4107" s="5">
        <v>-30393</v>
      </c>
      <c r="F4107" s="3" t="s">
        <v>202</v>
      </c>
      <c r="G4107" s="3" t="s">
        <v>834</v>
      </c>
      <c r="H4107" s="2" t="s">
        <v>21</v>
      </c>
      <c r="I4107" s="2" t="s">
        <v>9598</v>
      </c>
      <c r="J4107" s="3" t="str">
        <f>HYPERLINK("https://www.boe.es/gazeta/dias/1816/10/13/pdfs/GMD-1816-128E.pdf#page=6","Abrir facsímil")</f>
        <v>Abrir facsímil</v>
      </c>
      <c r="K4107" s="3" t="s">
        <v>23</v>
      </c>
    </row>
    <row r="4108" spans="1:11" ht="42" customHeight="1">
      <c r="A4108" s="2" t="s">
        <v>9599</v>
      </c>
      <c r="B4108" s="2" t="s">
        <v>9600</v>
      </c>
      <c r="C4108" s="2" t="s">
        <v>26</v>
      </c>
      <c r="D4108" s="2" t="s">
        <v>18</v>
      </c>
      <c r="E4108" s="5">
        <v>-30352</v>
      </c>
      <c r="F4108" s="3" t="s">
        <v>407</v>
      </c>
      <c r="G4108" s="3" t="s">
        <v>184</v>
      </c>
      <c r="H4108" s="2" t="s">
        <v>21</v>
      </c>
      <c r="I4108" s="2" t="s">
        <v>9601</v>
      </c>
      <c r="J4108" s="3" t="str">
        <f>HYPERLINK("https://www.boe.es/gazeta/dias/1816/11/23/pdfs/GMD-1816-146.pdf#page=3","Abrir facsímil")</f>
        <v>Abrir facsímil</v>
      </c>
      <c r="K4108" s="3" t="s">
        <v>23</v>
      </c>
    </row>
    <row r="4109" spans="1:11" ht="42" customHeight="1">
      <c r="A4109" s="2" t="s">
        <v>9602</v>
      </c>
      <c r="B4109" s="2" t="s">
        <v>9602</v>
      </c>
      <c r="C4109" s="2" t="s">
        <v>34</v>
      </c>
      <c r="D4109" s="2" t="s">
        <v>35</v>
      </c>
      <c r="E4109" s="5">
        <v>-30457</v>
      </c>
      <c r="F4109" s="3" t="s">
        <v>539</v>
      </c>
      <c r="G4109" s="3" t="s">
        <v>58</v>
      </c>
      <c r="H4109" s="2" t="s">
        <v>21</v>
      </c>
      <c r="I4109" s="2" t="s">
        <v>9603</v>
      </c>
      <c r="J4109" s="3" t="str">
        <f>HYPERLINK("https://www.boe.es/gazeta/dias/1816/08/10/pdfs/GMD-1816-99.pdf#page=1","Abrir facsímil")</f>
        <v>Abrir facsímil</v>
      </c>
      <c r="K4109" s="3" t="s">
        <v>23</v>
      </c>
    </row>
    <row r="4110" spans="1:11" ht="42" customHeight="1">
      <c r="A4110" s="2" t="s">
        <v>9604</v>
      </c>
      <c r="B4110" s="2" t="s">
        <v>9605</v>
      </c>
      <c r="C4110" s="2" t="s">
        <v>34</v>
      </c>
      <c r="D4110" s="2" t="s">
        <v>35</v>
      </c>
      <c r="E4110" s="5">
        <v>-30354</v>
      </c>
      <c r="F4110" s="3" t="s">
        <v>68</v>
      </c>
      <c r="G4110" s="3" t="s">
        <v>526</v>
      </c>
      <c r="H4110" s="2" t="s">
        <v>21</v>
      </c>
      <c r="I4110" s="2" t="s">
        <v>9606</v>
      </c>
      <c r="J4110" s="3" t="str">
        <f>HYPERLINK("https://www.boe.es/gazeta/dias/1816/11/21/pdfs/GMD-1816-145.pdf#page=6","Abrir facsímil")</f>
        <v>Abrir facsímil</v>
      </c>
      <c r="K4110" s="3" t="s">
        <v>23</v>
      </c>
    </row>
    <row r="4111" spans="1:11" ht="42" customHeight="1">
      <c r="A4111" s="2" t="s">
        <v>9607</v>
      </c>
      <c r="B4111" s="2" t="s">
        <v>9608</v>
      </c>
      <c r="C4111" s="2" t="s">
        <v>111</v>
      </c>
      <c r="D4111" s="2" t="s">
        <v>56</v>
      </c>
      <c r="E4111" s="5">
        <v>-30393</v>
      </c>
      <c r="F4111" s="3" t="s">
        <v>202</v>
      </c>
      <c r="G4111" s="3" t="s">
        <v>645</v>
      </c>
      <c r="H4111" s="2" t="s">
        <v>21</v>
      </c>
      <c r="I4111" s="2" t="s">
        <v>9609</v>
      </c>
      <c r="J4111" s="3" t="str">
        <f>HYPERLINK("https://www.boe.es/gazeta/dias/1816/10/13/pdfs/GMD-1816-128E.pdf#page=4","Abrir facsímil")</f>
        <v>Abrir facsímil</v>
      </c>
      <c r="K4111" s="3" t="s">
        <v>23</v>
      </c>
    </row>
    <row r="4112" spans="1:11" ht="42" customHeight="1">
      <c r="A4112" s="2" t="s">
        <v>9610</v>
      </c>
      <c r="B4112" s="2" t="s">
        <v>9611</v>
      </c>
      <c r="C4112" s="2" t="s">
        <v>387</v>
      </c>
      <c r="D4112" s="2" t="s">
        <v>18</v>
      </c>
      <c r="E4112" s="5">
        <v>-30552</v>
      </c>
      <c r="F4112" s="3" t="s">
        <v>1842</v>
      </c>
      <c r="G4112" s="3" t="s">
        <v>42</v>
      </c>
      <c r="H4112" s="2" t="s">
        <v>21</v>
      </c>
      <c r="I4112" s="2" t="s">
        <v>9612</v>
      </c>
      <c r="J4112" s="3" t="str">
        <f>HYPERLINK("https://www.boe.es/gazeta/dias/1816/05/07/pdfs/GMD-1816-58.pdf#page=8","Abrir facsímil")</f>
        <v>Abrir facsímil</v>
      </c>
      <c r="K4112" s="3" t="s">
        <v>23</v>
      </c>
    </row>
    <row r="4113" spans="1:11" ht="42" customHeight="1">
      <c r="A4113" s="2" t="s">
        <v>9613</v>
      </c>
      <c r="B4113" s="2" t="s">
        <v>9614</v>
      </c>
      <c r="C4113" s="2" t="s">
        <v>34</v>
      </c>
      <c r="D4113" s="2" t="s">
        <v>35</v>
      </c>
      <c r="E4113" s="5">
        <v>-30676</v>
      </c>
      <c r="F4113" s="3" t="s">
        <v>1932</v>
      </c>
      <c r="G4113" s="3" t="s">
        <v>2724</v>
      </c>
      <c r="H4113" s="2" t="s">
        <v>21</v>
      </c>
      <c r="I4113" s="2" t="s">
        <v>9615</v>
      </c>
      <c r="J4113" s="3" t="str">
        <f>HYPERLINK("https://www.boe.es/gazeta/dias/1816/01/04/pdfs/GMD-1816-2.pdf#page=8","Abrir facsímil")</f>
        <v>Abrir facsímil</v>
      </c>
      <c r="K4113" s="3" t="s">
        <v>23</v>
      </c>
    </row>
    <row r="4114" spans="1:11" ht="42" customHeight="1">
      <c r="A4114" s="2" t="s">
        <v>9613</v>
      </c>
      <c r="B4114" s="2" t="s">
        <v>9614</v>
      </c>
      <c r="C4114" s="2" t="s">
        <v>81</v>
      </c>
      <c r="D4114" s="2" t="s">
        <v>18</v>
      </c>
      <c r="E4114" s="5">
        <v>-30573</v>
      </c>
      <c r="F4114" s="3" t="s">
        <v>840</v>
      </c>
      <c r="G4114" s="3" t="s">
        <v>42</v>
      </c>
      <c r="H4114" s="2" t="s">
        <v>21</v>
      </c>
      <c r="I4114" s="2" t="s">
        <v>9616</v>
      </c>
      <c r="J4114" s="3" t="str">
        <f>HYPERLINK("https://www.boe.es/gazeta/dias/1816/04/16/pdfs/GMD-1816-49.pdf#page=8","Abrir facsímil")</f>
        <v>Abrir facsímil</v>
      </c>
      <c r="K4114" s="3" t="s">
        <v>23</v>
      </c>
    </row>
    <row r="4115" spans="1:11" ht="42" customHeight="1">
      <c r="A4115" s="2" t="s">
        <v>9613</v>
      </c>
      <c r="B4115" s="2" t="s">
        <v>9614</v>
      </c>
      <c r="C4115" s="2" t="s">
        <v>34</v>
      </c>
      <c r="D4115" s="2" t="s">
        <v>35</v>
      </c>
      <c r="E4115" s="5">
        <v>-30543</v>
      </c>
      <c r="F4115" s="3" t="s">
        <v>94</v>
      </c>
      <c r="G4115" s="3" t="s">
        <v>3595</v>
      </c>
      <c r="H4115" s="2" t="s">
        <v>21</v>
      </c>
      <c r="I4115" s="2" t="s">
        <v>9617</v>
      </c>
      <c r="J4115" s="3" t="str">
        <f>HYPERLINK("https://www.boe.es/gazeta/dias/1816/05/16/pdfs/GMD-1816-62.pdf#page=8","Abrir facsímil")</f>
        <v>Abrir facsímil</v>
      </c>
      <c r="K4115" s="3" t="s">
        <v>23</v>
      </c>
    </row>
    <row r="4116" spans="1:11" ht="42" customHeight="1">
      <c r="A4116" s="2" t="s">
        <v>9618</v>
      </c>
      <c r="B4116" s="2" t="s">
        <v>9619</v>
      </c>
      <c r="C4116" s="2" t="s">
        <v>26</v>
      </c>
      <c r="D4116" s="2" t="s">
        <v>56</v>
      </c>
      <c r="E4116" s="5">
        <v>-30622</v>
      </c>
      <c r="F4116" s="3" t="s">
        <v>907</v>
      </c>
      <c r="G4116" s="3" t="s">
        <v>184</v>
      </c>
      <c r="H4116" s="2" t="s">
        <v>21</v>
      </c>
      <c r="I4116" s="2" t="s">
        <v>9620</v>
      </c>
      <c r="J4116" s="3" t="str">
        <f>HYPERLINK("https://www.boe.es/gazeta/dias/1816/02/27/pdfs/GMD-1816-27E.pdf#page=3","Abrir facsímil")</f>
        <v>Abrir facsímil</v>
      </c>
      <c r="K4116" s="3" t="s">
        <v>23</v>
      </c>
    </row>
    <row r="4117" spans="1:11" ht="42" customHeight="1">
      <c r="A4117" s="2" t="s">
        <v>9621</v>
      </c>
      <c r="B4117" s="2" t="s">
        <v>9622</v>
      </c>
      <c r="C4117" s="2" t="s">
        <v>26</v>
      </c>
      <c r="D4117" s="2" t="s">
        <v>18</v>
      </c>
      <c r="E4117" s="5">
        <v>-30494</v>
      </c>
      <c r="F4117" s="3" t="s">
        <v>174</v>
      </c>
      <c r="G4117" s="3" t="s">
        <v>175</v>
      </c>
      <c r="H4117" s="2" t="s">
        <v>21</v>
      </c>
      <c r="I4117" s="2" t="s">
        <v>9623</v>
      </c>
      <c r="J4117" s="3" t="str">
        <f>HYPERLINK("https://www.boe.es/gazeta/dias/1816/07/04/pdfs/GMD-1816-83.pdf#page=11","Abrir facsímil")</f>
        <v>Abrir facsímil</v>
      </c>
      <c r="K4117" s="3" t="s">
        <v>23</v>
      </c>
    </row>
    <row r="4118" spans="1:11" ht="42" customHeight="1">
      <c r="A4118" s="2" t="s">
        <v>9624</v>
      </c>
      <c r="B4118" s="2" t="s">
        <v>9625</v>
      </c>
      <c r="C4118" s="2" t="s">
        <v>26</v>
      </c>
      <c r="D4118" s="2" t="s">
        <v>18</v>
      </c>
      <c r="E4118" s="5">
        <v>-30375</v>
      </c>
      <c r="F4118" s="3" t="s">
        <v>404</v>
      </c>
      <c r="G4118" s="3" t="s">
        <v>1278</v>
      </c>
      <c r="H4118" s="2" t="s">
        <v>21</v>
      </c>
      <c r="I4118" s="2" t="s">
        <v>9626</v>
      </c>
      <c r="J4118" s="3" t="str">
        <f>HYPERLINK("https://www.boe.es/gazeta/dias/1816/10/31/pdfs/GMD-1816-136.pdf#page=7","Abrir facsímil")</f>
        <v>Abrir facsímil</v>
      </c>
      <c r="K4118" s="3" t="s">
        <v>23</v>
      </c>
    </row>
    <row r="4119" spans="1:11" ht="42" customHeight="1">
      <c r="A4119" s="2" t="s">
        <v>9627</v>
      </c>
      <c r="B4119" s="2" t="s">
        <v>9628</v>
      </c>
      <c r="C4119" s="2" t="s">
        <v>34</v>
      </c>
      <c r="D4119" s="2" t="s">
        <v>35</v>
      </c>
      <c r="E4119" s="5">
        <v>-30606</v>
      </c>
      <c r="F4119" s="3" t="s">
        <v>761</v>
      </c>
      <c r="G4119" s="3" t="s">
        <v>72</v>
      </c>
      <c r="H4119" s="2" t="s">
        <v>21</v>
      </c>
      <c r="I4119" s="2" t="s">
        <v>9629</v>
      </c>
      <c r="J4119" s="3" t="str">
        <f>HYPERLINK("https://www.boe.es/gazeta/dias/1816/03/14/pdfs/GMD-1816-34.pdf#page=7","Abrir facsímil")</f>
        <v>Abrir facsímil</v>
      </c>
      <c r="K4119" s="3" t="s">
        <v>23</v>
      </c>
    </row>
    <row r="4120" spans="1:11" ht="42" customHeight="1">
      <c r="A4120" s="2" t="s">
        <v>9627</v>
      </c>
      <c r="B4120" s="2" t="s">
        <v>9628</v>
      </c>
      <c r="C4120" s="2" t="s">
        <v>111</v>
      </c>
      <c r="D4120" s="2" t="s">
        <v>112</v>
      </c>
      <c r="E4120" s="5">
        <v>-30571</v>
      </c>
      <c r="F4120" s="3" t="s">
        <v>738</v>
      </c>
      <c r="G4120" s="3" t="s">
        <v>28</v>
      </c>
      <c r="H4120" s="2" t="s">
        <v>21</v>
      </c>
      <c r="I4120" s="2" t="s">
        <v>9630</v>
      </c>
      <c r="J4120" s="3" t="str">
        <f>HYPERLINK("https://www.boe.es/gazeta/dias/1816/04/18/pdfs/GMD-1816-50.pdf#page=6","Abrir facsímil")</f>
        <v>Abrir facsímil</v>
      </c>
      <c r="K4120" s="3" t="s">
        <v>23</v>
      </c>
    </row>
    <row r="4121" spans="1:11" ht="42" customHeight="1">
      <c r="A4121" s="2" t="s">
        <v>9631</v>
      </c>
      <c r="B4121" s="2" t="s">
        <v>9632</v>
      </c>
      <c r="C4121" s="2" t="s">
        <v>26</v>
      </c>
      <c r="D4121" s="2" t="s">
        <v>56</v>
      </c>
      <c r="E4121" s="5">
        <v>-30393</v>
      </c>
      <c r="F4121" s="3" t="s">
        <v>202</v>
      </c>
      <c r="G4121" s="3" t="s">
        <v>47</v>
      </c>
      <c r="H4121" s="2" t="s">
        <v>21</v>
      </c>
      <c r="I4121" s="2" t="s">
        <v>9633</v>
      </c>
      <c r="J4121" s="3" t="str">
        <f>HYPERLINK("https://www.boe.es/gazeta/dias/1816/10/13/pdfs/GMD-1816-128E.pdf#page=5","Abrir facsímil")</f>
        <v>Abrir facsímil</v>
      </c>
      <c r="K4121" s="3" t="s">
        <v>23</v>
      </c>
    </row>
    <row r="4122" spans="1:11" ht="42" customHeight="1">
      <c r="A4122" s="2" t="s">
        <v>9634</v>
      </c>
      <c r="B4122" s="2" t="s">
        <v>9635</v>
      </c>
      <c r="C4122" s="2" t="s">
        <v>26</v>
      </c>
      <c r="D4122" s="2" t="s">
        <v>18</v>
      </c>
      <c r="E4122" s="5">
        <v>-30324</v>
      </c>
      <c r="F4122" s="3" t="s">
        <v>46</v>
      </c>
      <c r="G4122" s="3" t="s">
        <v>42</v>
      </c>
      <c r="H4122" s="2" t="s">
        <v>29</v>
      </c>
      <c r="I4122" s="2" t="s">
        <v>9636</v>
      </c>
      <c r="J4122" s="3" t="str">
        <f>HYPERLINK("https://www.boe.es/gazeta/dias/1816/12/21/pdfs/GMD-1816-158.pdf#page=8","Abrir facsímil")</f>
        <v>Abrir facsímil</v>
      </c>
      <c r="K4122" s="3" t="s">
        <v>31</v>
      </c>
    </row>
    <row r="4123" spans="1:11" ht="42" customHeight="1">
      <c r="A4123" s="2" t="s">
        <v>9637</v>
      </c>
      <c r="B4123" s="2" t="s">
        <v>9638</v>
      </c>
      <c r="C4123" s="2" t="s">
        <v>81</v>
      </c>
      <c r="D4123" s="2" t="s">
        <v>18</v>
      </c>
      <c r="E4123" s="5">
        <v>-30438</v>
      </c>
      <c r="F4123" s="3" t="s">
        <v>299</v>
      </c>
      <c r="G4123" s="3" t="s">
        <v>300</v>
      </c>
      <c r="H4123" s="2" t="s">
        <v>29</v>
      </c>
      <c r="I4123" s="2" t="s">
        <v>9639</v>
      </c>
      <c r="J4123" s="3" t="str">
        <f>HYPERLINK("https://www.boe.es/gazeta/dias/1816/08/29/pdfs/GMD-1816-107.pdf#page=12","Abrir facsímil")</f>
        <v>Abrir facsímil</v>
      </c>
      <c r="K4123" s="3" t="s">
        <v>31</v>
      </c>
    </row>
    <row r="4124" spans="1:11" ht="42" customHeight="1">
      <c r="A4124" s="2" t="s">
        <v>9640</v>
      </c>
      <c r="B4124" s="2" t="s">
        <v>9641</v>
      </c>
      <c r="C4124" s="2" t="s">
        <v>26</v>
      </c>
      <c r="D4124" s="2" t="s">
        <v>18</v>
      </c>
      <c r="E4124" s="5">
        <v>-30608</v>
      </c>
      <c r="F4124" s="3" t="s">
        <v>550</v>
      </c>
      <c r="G4124" s="3" t="s">
        <v>28</v>
      </c>
      <c r="H4124" s="2" t="s">
        <v>21</v>
      </c>
      <c r="I4124" s="2" t="s">
        <v>9642</v>
      </c>
      <c r="J4124" s="3" t="str">
        <f>HYPERLINK("https://www.boe.es/gazeta/dias/1816/03/12/pdfs/GMD-1816-33.pdf#page=6","Abrir facsímil")</f>
        <v>Abrir facsímil</v>
      </c>
      <c r="K4124" s="3" t="s">
        <v>23</v>
      </c>
    </row>
    <row r="4125" spans="1:11" ht="42" customHeight="1">
      <c r="A4125" s="2" t="s">
        <v>9643</v>
      </c>
      <c r="B4125" s="2" t="s">
        <v>9644</v>
      </c>
      <c r="C4125" s="2" t="s">
        <v>111</v>
      </c>
      <c r="D4125" s="2" t="s">
        <v>112</v>
      </c>
      <c r="E4125" s="5">
        <v>-30559</v>
      </c>
      <c r="F4125" s="3" t="s">
        <v>165</v>
      </c>
      <c r="G4125" s="3" t="s">
        <v>42</v>
      </c>
      <c r="H4125" s="2" t="s">
        <v>21</v>
      </c>
      <c r="I4125" s="2" t="s">
        <v>9645</v>
      </c>
      <c r="J4125" s="3" t="str">
        <f>HYPERLINK("https://www.boe.es/gazeta/dias/1816/04/30/pdfs/GMD-1816-55.pdf#page=8","Abrir facsímil")</f>
        <v>Abrir facsímil</v>
      </c>
      <c r="K4125" s="3" t="s">
        <v>23</v>
      </c>
    </row>
    <row r="4126" spans="1:11" ht="42" customHeight="1">
      <c r="A4126" s="2" t="s">
        <v>9643</v>
      </c>
      <c r="B4126" s="2" t="s">
        <v>9644</v>
      </c>
      <c r="C4126" s="2" t="s">
        <v>111</v>
      </c>
      <c r="D4126" s="2" t="s">
        <v>112</v>
      </c>
      <c r="E4126" s="5">
        <v>-30489</v>
      </c>
      <c r="F4126" s="3" t="s">
        <v>1120</v>
      </c>
      <c r="G4126" s="3" t="s">
        <v>42</v>
      </c>
      <c r="H4126" s="2" t="s">
        <v>21</v>
      </c>
      <c r="I4126" s="2" t="s">
        <v>9646</v>
      </c>
      <c r="J4126" s="3" t="str">
        <f>HYPERLINK("https://www.boe.es/gazeta/dias/1816/07/09/pdfs/GMD-1816-85.pdf#page=8","Abrir facsímil")</f>
        <v>Abrir facsímil</v>
      </c>
      <c r="K4126" s="3" t="s">
        <v>23</v>
      </c>
    </row>
    <row r="4127" spans="1:11" ht="42" customHeight="1">
      <c r="A4127" s="2" t="s">
        <v>9643</v>
      </c>
      <c r="B4127" s="2" t="s">
        <v>9644</v>
      </c>
      <c r="C4127" s="2" t="s">
        <v>111</v>
      </c>
      <c r="D4127" s="2" t="s">
        <v>112</v>
      </c>
      <c r="E4127" s="5">
        <v>-30473</v>
      </c>
      <c r="F4127" s="3" t="s">
        <v>336</v>
      </c>
      <c r="G4127" s="3" t="s">
        <v>562</v>
      </c>
      <c r="H4127" s="2" t="s">
        <v>21</v>
      </c>
      <c r="I4127" s="2" t="s">
        <v>9647</v>
      </c>
      <c r="J4127" s="3" t="str">
        <f>HYPERLINK("https://www.boe.es/gazeta/dias/1816/07/25/pdfs/GMD-1816-92.pdf#page=16","Abrir facsímil")</f>
        <v>Abrir facsímil</v>
      </c>
      <c r="K4127" s="3" t="s">
        <v>23</v>
      </c>
    </row>
    <row r="4128" spans="1:11" ht="42" customHeight="1">
      <c r="A4128" s="2" t="s">
        <v>9643</v>
      </c>
      <c r="B4128" s="2" t="s">
        <v>9644</v>
      </c>
      <c r="C4128" s="2" t="s">
        <v>111</v>
      </c>
      <c r="D4128" s="2" t="s">
        <v>112</v>
      </c>
      <c r="E4128" s="5">
        <v>-30445</v>
      </c>
      <c r="F4128" s="3" t="s">
        <v>51</v>
      </c>
      <c r="G4128" s="3" t="s">
        <v>52</v>
      </c>
      <c r="H4128" s="2" t="s">
        <v>21</v>
      </c>
      <c r="I4128" s="2" t="s">
        <v>9648</v>
      </c>
      <c r="J4128" s="3" t="str">
        <f>HYPERLINK("https://www.boe.es/gazeta/dias/1816/08/22/pdfs/GMD-1816-104.pdf#page=12","Abrir facsímil")</f>
        <v>Abrir facsímil</v>
      </c>
      <c r="K4128" s="3" t="s">
        <v>23</v>
      </c>
    </row>
    <row r="4129" spans="1:11" ht="42" customHeight="1">
      <c r="A4129" s="2" t="s">
        <v>9643</v>
      </c>
      <c r="B4129" s="2" t="s">
        <v>9644</v>
      </c>
      <c r="C4129" s="2" t="s">
        <v>111</v>
      </c>
      <c r="D4129" s="2" t="s">
        <v>112</v>
      </c>
      <c r="E4129" s="5">
        <v>-30433</v>
      </c>
      <c r="F4129" s="3" t="s">
        <v>954</v>
      </c>
      <c r="G4129" s="3" t="s">
        <v>1124</v>
      </c>
      <c r="H4129" s="2" t="s">
        <v>21</v>
      </c>
      <c r="I4129" s="2" t="s">
        <v>9649</v>
      </c>
      <c r="J4129" s="3" t="str">
        <f>HYPERLINK("https://www.boe.es/gazeta/dias/1816/09/03/pdfs/GMD-1816-109.pdf#page=8","Abrir facsímil")</f>
        <v>Abrir facsímil</v>
      </c>
      <c r="K4129" s="3" t="s">
        <v>23</v>
      </c>
    </row>
    <row r="4130" spans="1:11" ht="42" customHeight="1">
      <c r="A4130" s="2" t="s">
        <v>9643</v>
      </c>
      <c r="B4130" s="2" t="s">
        <v>9644</v>
      </c>
      <c r="C4130" s="2" t="s">
        <v>111</v>
      </c>
      <c r="D4130" s="2" t="s">
        <v>112</v>
      </c>
      <c r="E4130" s="5">
        <v>-30382</v>
      </c>
      <c r="F4130" s="3" t="s">
        <v>326</v>
      </c>
      <c r="G4130" s="3" t="s">
        <v>42</v>
      </c>
      <c r="H4130" s="2" t="s">
        <v>21</v>
      </c>
      <c r="I4130" s="2" t="s">
        <v>9650</v>
      </c>
      <c r="J4130" s="3" t="str">
        <f>HYPERLINK("https://www.boe.es/gazeta/dias/1816/10/24/pdfs/GMD-1816-133.pdf#page=8","Abrir facsímil")</f>
        <v>Abrir facsímil</v>
      </c>
      <c r="K4130" s="3" t="s">
        <v>23</v>
      </c>
    </row>
    <row r="4131" spans="1:11" ht="42" customHeight="1">
      <c r="A4131" s="2" t="s">
        <v>9651</v>
      </c>
      <c r="B4131" s="2" t="s">
        <v>9652</v>
      </c>
      <c r="C4131" s="2" t="s">
        <v>111</v>
      </c>
      <c r="D4131" s="2" t="s">
        <v>112</v>
      </c>
      <c r="E4131" s="5">
        <v>-30384</v>
      </c>
      <c r="F4131" s="3" t="s">
        <v>460</v>
      </c>
      <c r="G4131" s="3" t="s">
        <v>42</v>
      </c>
      <c r="H4131" s="2" t="s">
        <v>21</v>
      </c>
      <c r="I4131" s="2" t="s">
        <v>9653</v>
      </c>
      <c r="J4131" s="3" t="str">
        <f>HYPERLINK("https://www.boe.es/gazeta/dias/1816/10/22/pdfs/GMD-1816-132.pdf#page=8","Abrir facsímil")</f>
        <v>Abrir facsímil</v>
      </c>
      <c r="K4131" s="3" t="s">
        <v>23</v>
      </c>
    </row>
    <row r="4132" spans="1:11" ht="42" customHeight="1">
      <c r="A4132" s="2" t="s">
        <v>9654</v>
      </c>
      <c r="B4132" s="2" t="s">
        <v>9655</v>
      </c>
      <c r="C4132" s="2" t="s">
        <v>111</v>
      </c>
      <c r="D4132" s="2" t="s">
        <v>112</v>
      </c>
      <c r="E4132" s="5">
        <v>-30380</v>
      </c>
      <c r="F4132" s="3" t="s">
        <v>819</v>
      </c>
      <c r="G4132" s="3" t="s">
        <v>47</v>
      </c>
      <c r="H4132" s="2" t="s">
        <v>29</v>
      </c>
      <c r="I4132" s="2" t="s">
        <v>9656</v>
      </c>
      <c r="J4132" s="3" t="str">
        <f>HYPERLINK("https://www.boe.es/gazeta/dias/1816/10/26/pdfs/GMD-1816-134.pdf#page=5","Abrir facsímil")</f>
        <v>Abrir facsímil</v>
      </c>
      <c r="K4132" s="3" t="s">
        <v>31</v>
      </c>
    </row>
    <row r="4133" spans="1:11" ht="42" customHeight="1">
      <c r="A4133" s="2" t="s">
        <v>9657</v>
      </c>
      <c r="B4133" s="2" t="s">
        <v>9657</v>
      </c>
      <c r="C4133" s="2" t="s">
        <v>111</v>
      </c>
      <c r="D4133" s="2" t="s">
        <v>112</v>
      </c>
      <c r="E4133" s="5">
        <v>-30622</v>
      </c>
      <c r="F4133" s="3" t="s">
        <v>27</v>
      </c>
      <c r="G4133" s="3" t="s">
        <v>2195</v>
      </c>
      <c r="H4133" s="2" t="s">
        <v>21</v>
      </c>
      <c r="I4133" s="2" t="s">
        <v>9658</v>
      </c>
      <c r="J4133" s="3" t="str">
        <f>HYPERLINK("https://www.boe.es/gazeta/dias/1816/02/27/pdfs/GMD-1816-26.pdf#page=8","Abrir facsímil")</f>
        <v>Abrir facsímil</v>
      </c>
      <c r="K4133" s="3" t="s">
        <v>23</v>
      </c>
    </row>
    <row r="4134" spans="1:11" ht="42" customHeight="1">
      <c r="A4134" s="2" t="s">
        <v>9659</v>
      </c>
      <c r="B4134" s="2" t="s">
        <v>9660</v>
      </c>
      <c r="C4134" s="2" t="s">
        <v>26</v>
      </c>
      <c r="D4134" s="2" t="s">
        <v>56</v>
      </c>
      <c r="E4134" s="5">
        <v>-30393</v>
      </c>
      <c r="F4134" s="3" t="s">
        <v>202</v>
      </c>
      <c r="G4134" s="3" t="s">
        <v>47</v>
      </c>
      <c r="H4134" s="2" t="s">
        <v>21</v>
      </c>
      <c r="I4134" s="2" t="s">
        <v>9661</v>
      </c>
      <c r="J4134" s="3" t="str">
        <f>HYPERLINK("https://www.boe.es/gazeta/dias/1816/10/13/pdfs/GMD-1816-128E.pdf#page=5","Abrir facsímil")</f>
        <v>Abrir facsímil</v>
      </c>
      <c r="K4134" s="3" t="s">
        <v>23</v>
      </c>
    </row>
    <row r="4135" spans="1:11" ht="42" customHeight="1">
      <c r="A4135" s="2" t="s">
        <v>9662</v>
      </c>
      <c r="B4135" s="2" t="s">
        <v>9663</v>
      </c>
      <c r="C4135" s="2" t="s">
        <v>67</v>
      </c>
      <c r="D4135" s="2" t="s">
        <v>18</v>
      </c>
      <c r="E4135" s="5">
        <v>-30389</v>
      </c>
      <c r="F4135" s="3" t="s">
        <v>522</v>
      </c>
      <c r="G4135" s="3" t="s">
        <v>28</v>
      </c>
      <c r="H4135" s="2" t="s">
        <v>21</v>
      </c>
      <c r="I4135" s="2" t="s">
        <v>9664</v>
      </c>
      <c r="J4135" s="3" t="str">
        <f>HYPERLINK("https://www.boe.es/gazeta/dias/1816/10/17/pdfs/GMD-1816-130.pdf#page=6","Abrir facsímil")</f>
        <v>Abrir facsímil</v>
      </c>
      <c r="K4135" s="3" t="s">
        <v>23</v>
      </c>
    </row>
    <row r="4136" spans="1:11" ht="42" customHeight="1">
      <c r="A4136" s="2" t="s">
        <v>9665</v>
      </c>
      <c r="B4136" s="2" t="s">
        <v>9666</v>
      </c>
      <c r="C4136" s="2" t="s">
        <v>34</v>
      </c>
      <c r="D4136" s="2" t="s">
        <v>35</v>
      </c>
      <c r="E4136" s="5">
        <v>-30594</v>
      </c>
      <c r="F4136" s="3" t="s">
        <v>234</v>
      </c>
      <c r="G4136" s="3" t="s">
        <v>42</v>
      </c>
      <c r="H4136" s="2" t="s">
        <v>21</v>
      </c>
      <c r="I4136" s="2" t="s">
        <v>9667</v>
      </c>
      <c r="J4136" s="3" t="str">
        <f>HYPERLINK("https://www.boe.es/gazeta/dias/1816/03/26/pdfs/GMD-1816-40.pdf#page=8","Abrir facsímil")</f>
        <v>Abrir facsímil</v>
      </c>
      <c r="K4136" s="3" t="s">
        <v>23</v>
      </c>
    </row>
    <row r="4137" spans="1:11" ht="42" customHeight="1">
      <c r="A4137" s="2" t="s">
        <v>9668</v>
      </c>
      <c r="B4137" s="2" t="s">
        <v>9669</v>
      </c>
      <c r="C4137" s="2" t="s">
        <v>67</v>
      </c>
      <c r="D4137" s="2" t="s">
        <v>18</v>
      </c>
      <c r="E4137" s="5">
        <v>-30461</v>
      </c>
      <c r="F4137" s="3" t="s">
        <v>912</v>
      </c>
      <c r="G4137" s="3" t="s">
        <v>1375</v>
      </c>
      <c r="H4137" s="2" t="s">
        <v>21</v>
      </c>
      <c r="I4137" s="2" t="s">
        <v>9670</v>
      </c>
      <c r="J4137" s="3" t="str">
        <f>HYPERLINK("https://www.boe.es/gazeta/dias/1816/08/06/pdfs/GMD-1816-97.pdf#page=6","Abrir facsímil")</f>
        <v>Abrir facsímil</v>
      </c>
      <c r="K4137" s="3" t="s">
        <v>23</v>
      </c>
    </row>
    <row r="4138" spans="1:11" ht="42" customHeight="1">
      <c r="A4138" s="2" t="s">
        <v>9671</v>
      </c>
      <c r="B4138" s="2" t="s">
        <v>9672</v>
      </c>
      <c r="C4138" s="2" t="s">
        <v>34</v>
      </c>
      <c r="D4138" s="2" t="s">
        <v>35</v>
      </c>
      <c r="E4138" s="5">
        <v>-30564</v>
      </c>
      <c r="F4138" s="3" t="s">
        <v>963</v>
      </c>
      <c r="G4138" s="3" t="s">
        <v>47</v>
      </c>
      <c r="H4138" s="2" t="s">
        <v>21</v>
      </c>
      <c r="I4138" s="2" t="s">
        <v>9673</v>
      </c>
      <c r="J4138" s="3" t="str">
        <f>HYPERLINK("https://www.boe.es/gazeta/dias/1816/04/25/pdfs/GMD-1816-53.pdf#page=5","Abrir facsímil")</f>
        <v>Abrir facsímil</v>
      </c>
      <c r="K4138" s="3" t="s">
        <v>23</v>
      </c>
    </row>
    <row r="4139" spans="1:11" ht="42" customHeight="1">
      <c r="A4139" s="2" t="s">
        <v>9674</v>
      </c>
      <c r="B4139" s="2" t="s">
        <v>9675</v>
      </c>
      <c r="C4139" s="2" t="s">
        <v>34</v>
      </c>
      <c r="D4139" s="2" t="s">
        <v>56</v>
      </c>
      <c r="E4139" s="5">
        <v>-30393</v>
      </c>
      <c r="F4139" s="3" t="s">
        <v>202</v>
      </c>
      <c r="G4139" s="3" t="s">
        <v>645</v>
      </c>
      <c r="H4139" s="2" t="s">
        <v>21</v>
      </c>
      <c r="I4139" s="2" t="s">
        <v>9676</v>
      </c>
      <c r="J4139" s="3" t="str">
        <f>HYPERLINK("https://www.boe.es/gazeta/dias/1816/10/13/pdfs/GMD-1816-128E.pdf#page=4","Abrir facsímil")</f>
        <v>Abrir facsímil</v>
      </c>
      <c r="K4139" s="3" t="s">
        <v>23</v>
      </c>
    </row>
    <row r="4140" spans="1:11" ht="42" customHeight="1">
      <c r="A4140" s="2" t="s">
        <v>9677</v>
      </c>
      <c r="B4140" s="2" t="s">
        <v>9678</v>
      </c>
      <c r="C4140" s="2" t="s">
        <v>81</v>
      </c>
      <c r="D4140" s="2" t="s">
        <v>18</v>
      </c>
      <c r="E4140" s="5">
        <v>-30433</v>
      </c>
      <c r="F4140" s="3" t="s">
        <v>954</v>
      </c>
      <c r="G4140" s="3" t="s">
        <v>1124</v>
      </c>
      <c r="H4140" s="2" t="s">
        <v>21</v>
      </c>
      <c r="I4140" s="2" t="s">
        <v>9679</v>
      </c>
      <c r="J4140" s="3" t="str">
        <f>HYPERLINK("https://www.boe.es/gazeta/dias/1816/09/03/pdfs/GMD-1816-109.pdf#page=8","Abrir facsímil")</f>
        <v>Abrir facsímil</v>
      </c>
      <c r="K4140" s="3" t="s">
        <v>23</v>
      </c>
    </row>
    <row r="4141" spans="1:11" ht="42" customHeight="1">
      <c r="A4141" s="2" t="s">
        <v>9680</v>
      </c>
      <c r="B4141" s="2" t="s">
        <v>9681</v>
      </c>
      <c r="C4141" s="2" t="s">
        <v>26</v>
      </c>
      <c r="D4141" s="2" t="s">
        <v>18</v>
      </c>
      <c r="E4141" s="5">
        <v>-30576</v>
      </c>
      <c r="F4141" s="3" t="s">
        <v>353</v>
      </c>
      <c r="G4141" s="3" t="s">
        <v>72</v>
      </c>
      <c r="H4141" s="2" t="s">
        <v>21</v>
      </c>
      <c r="I4141" s="2" t="s">
        <v>9682</v>
      </c>
      <c r="J4141" s="3" t="str">
        <f>HYPERLINK("https://www.boe.es/gazeta/dias/1816/04/13/pdfs/GMD-1816-48.pdf#page=7","Abrir facsímil")</f>
        <v>Abrir facsímil</v>
      </c>
      <c r="K4141" s="3" t="s">
        <v>23</v>
      </c>
    </row>
    <row r="4142" spans="1:11" ht="42" customHeight="1">
      <c r="A4142" s="2" t="s">
        <v>9683</v>
      </c>
      <c r="B4142" s="2" t="s">
        <v>9684</v>
      </c>
      <c r="C4142" s="2" t="s">
        <v>26</v>
      </c>
      <c r="D4142" s="2" t="s">
        <v>18</v>
      </c>
      <c r="E4142" s="5">
        <v>-30494</v>
      </c>
      <c r="F4142" s="3" t="s">
        <v>174</v>
      </c>
      <c r="G4142" s="3" t="s">
        <v>175</v>
      </c>
      <c r="H4142" s="2" t="s">
        <v>21</v>
      </c>
      <c r="I4142" s="2" t="s">
        <v>9685</v>
      </c>
      <c r="J4142" s="3" t="str">
        <f>HYPERLINK("https://www.boe.es/gazeta/dias/1816/07/04/pdfs/GMD-1816-83.pdf#page=11","Abrir facsímil")</f>
        <v>Abrir facsímil</v>
      </c>
      <c r="K4142" s="3" t="s">
        <v>23</v>
      </c>
    </row>
    <row r="4143" spans="1:11" ht="42" customHeight="1">
      <c r="A4143" s="2" t="s">
        <v>9686</v>
      </c>
      <c r="B4143" s="2" t="s">
        <v>9687</v>
      </c>
      <c r="C4143" s="2" t="s">
        <v>26</v>
      </c>
      <c r="D4143" s="2" t="s">
        <v>56</v>
      </c>
      <c r="E4143" s="5">
        <v>-30393</v>
      </c>
      <c r="F4143" s="3" t="s">
        <v>202</v>
      </c>
      <c r="G4143" s="3" t="s">
        <v>47</v>
      </c>
      <c r="H4143" s="2" t="s">
        <v>21</v>
      </c>
      <c r="I4143" s="2" t="s">
        <v>9688</v>
      </c>
      <c r="J4143" s="3" t="str">
        <f>HYPERLINK("https://www.boe.es/gazeta/dias/1816/10/13/pdfs/GMD-1816-128E.pdf#page=5","Abrir facsímil")</f>
        <v>Abrir facsímil</v>
      </c>
      <c r="K4143" s="3" t="s">
        <v>23</v>
      </c>
    </row>
    <row r="4144" spans="1:11" ht="42" customHeight="1">
      <c r="A4144" s="2" t="s">
        <v>9689</v>
      </c>
      <c r="B4144" s="2" t="s">
        <v>9690</v>
      </c>
      <c r="C4144" s="2" t="s">
        <v>26</v>
      </c>
      <c r="D4144" s="2" t="s">
        <v>18</v>
      </c>
      <c r="E4144" s="5">
        <v>-30464</v>
      </c>
      <c r="F4144" s="3" t="s">
        <v>215</v>
      </c>
      <c r="G4144" s="3" t="s">
        <v>175</v>
      </c>
      <c r="H4144" s="2" t="s">
        <v>21</v>
      </c>
      <c r="I4144" s="2" t="s">
        <v>9691</v>
      </c>
      <c r="J4144" s="3" t="str">
        <f>HYPERLINK("https://www.boe.es/gazeta/dias/1816/08/03/pdfs/GMD-1816-96.pdf#page=11","Abrir facsímil")</f>
        <v>Abrir facsímil</v>
      </c>
      <c r="K4144" s="3" t="s">
        <v>23</v>
      </c>
    </row>
    <row r="4145" spans="1:11" ht="42" customHeight="1">
      <c r="A4145" s="2" t="s">
        <v>9692</v>
      </c>
      <c r="B4145" s="2" t="s">
        <v>9693</v>
      </c>
      <c r="C4145" s="2" t="s">
        <v>17</v>
      </c>
      <c r="D4145" s="2" t="s">
        <v>56</v>
      </c>
      <c r="E4145" s="5">
        <v>-30393</v>
      </c>
      <c r="F4145" s="3" t="s">
        <v>202</v>
      </c>
      <c r="G4145" s="3" t="s">
        <v>270</v>
      </c>
      <c r="H4145" s="2" t="s">
        <v>21</v>
      </c>
      <c r="I4145" s="2" t="s">
        <v>9694</v>
      </c>
      <c r="J4145" s="3" t="str">
        <f>HYPERLINK("https://www.boe.es/gazeta/dias/1816/10/13/pdfs/GMD-1816-128E.pdf#page=2","Abrir facsímil")</f>
        <v>Abrir facsímil</v>
      </c>
      <c r="K4145" s="3" t="s">
        <v>23</v>
      </c>
    </row>
    <row r="4146" spans="1:11" ht="42" customHeight="1">
      <c r="A4146" s="2" t="s">
        <v>9695</v>
      </c>
      <c r="B4146" s="2" t="s">
        <v>9696</v>
      </c>
      <c r="C4146" s="2" t="s">
        <v>34</v>
      </c>
      <c r="D4146" s="2" t="s">
        <v>35</v>
      </c>
      <c r="E4146" s="5">
        <v>-30384</v>
      </c>
      <c r="F4146" s="3" t="s">
        <v>460</v>
      </c>
      <c r="G4146" s="3" t="s">
        <v>103</v>
      </c>
      <c r="H4146" s="2" t="s">
        <v>21</v>
      </c>
      <c r="I4146" s="2" t="s">
        <v>9697</v>
      </c>
      <c r="J4146" s="3" t="str">
        <f>HYPERLINK("https://www.boe.es/gazeta/dias/1816/10/22/pdfs/GMD-1816-132.pdf#page=4","Abrir facsímil")</f>
        <v>Abrir facsímil</v>
      </c>
      <c r="K4146" s="3" t="s">
        <v>23</v>
      </c>
    </row>
    <row r="4147" spans="1:11" ht="42" customHeight="1">
      <c r="A4147" s="2" t="s">
        <v>9698</v>
      </c>
      <c r="B4147" s="2" t="s">
        <v>9699</v>
      </c>
      <c r="C4147" s="2" t="s">
        <v>111</v>
      </c>
      <c r="D4147" s="2" t="s">
        <v>112</v>
      </c>
      <c r="E4147" s="5">
        <v>-30457</v>
      </c>
      <c r="F4147" s="3" t="s">
        <v>539</v>
      </c>
      <c r="G4147" s="3" t="s">
        <v>47</v>
      </c>
      <c r="H4147" s="2" t="s">
        <v>21</v>
      </c>
      <c r="I4147" s="2" t="s">
        <v>9700</v>
      </c>
      <c r="J4147" s="3" t="str">
        <f>HYPERLINK("https://www.boe.es/gazeta/dias/1816/08/10/pdfs/GMD-1816-99.pdf#page=5","Abrir facsímil")</f>
        <v>Abrir facsímil</v>
      </c>
      <c r="K4147" s="3" t="s">
        <v>23</v>
      </c>
    </row>
    <row r="4148" spans="1:11" ht="42" customHeight="1">
      <c r="A4148" s="2" t="s">
        <v>9701</v>
      </c>
      <c r="B4148" s="2" t="s">
        <v>9702</v>
      </c>
      <c r="C4148" s="2" t="s">
        <v>26</v>
      </c>
      <c r="D4148" s="2" t="s">
        <v>18</v>
      </c>
      <c r="E4148" s="5">
        <v>-30576</v>
      </c>
      <c r="F4148" s="3" t="s">
        <v>353</v>
      </c>
      <c r="G4148" s="3" t="s">
        <v>72</v>
      </c>
      <c r="H4148" s="2" t="s">
        <v>21</v>
      </c>
      <c r="I4148" s="2" t="s">
        <v>9703</v>
      </c>
      <c r="J4148" s="3" t="str">
        <f>HYPERLINK("https://www.boe.es/gazeta/dias/1816/04/13/pdfs/GMD-1816-48.pdf#page=7","Abrir facsímil")</f>
        <v>Abrir facsímil</v>
      </c>
      <c r="K4148" s="3" t="s">
        <v>23</v>
      </c>
    </row>
    <row r="4149" spans="1:11" ht="42" customHeight="1">
      <c r="A4149" s="2" t="s">
        <v>9704</v>
      </c>
      <c r="B4149" s="2" t="s">
        <v>9705</v>
      </c>
      <c r="C4149" s="2" t="s">
        <v>111</v>
      </c>
      <c r="D4149" s="2" t="s">
        <v>56</v>
      </c>
      <c r="E4149" s="5">
        <v>-30393</v>
      </c>
      <c r="F4149" s="3" t="s">
        <v>202</v>
      </c>
      <c r="G4149" s="3" t="s">
        <v>270</v>
      </c>
      <c r="H4149" s="2" t="s">
        <v>21</v>
      </c>
      <c r="I4149" s="2" t="s">
        <v>9706</v>
      </c>
      <c r="J4149" s="3" t="str">
        <f>HYPERLINK("https://www.boe.es/gazeta/dias/1816/10/13/pdfs/GMD-1816-128E.pdf#page=2","Abrir facsímil")</f>
        <v>Abrir facsímil</v>
      </c>
      <c r="K4149" s="3" t="s">
        <v>23</v>
      </c>
    </row>
    <row r="4150" spans="1:11" ht="42" customHeight="1">
      <c r="A4150" s="2" t="s">
        <v>9707</v>
      </c>
      <c r="B4150" s="2" t="s">
        <v>9708</v>
      </c>
      <c r="C4150" s="2" t="s">
        <v>26</v>
      </c>
      <c r="D4150" s="2" t="s">
        <v>18</v>
      </c>
      <c r="E4150" s="5">
        <v>-30354</v>
      </c>
      <c r="F4150" s="3" t="s">
        <v>68</v>
      </c>
      <c r="G4150" s="3" t="s">
        <v>72</v>
      </c>
      <c r="H4150" s="2" t="s">
        <v>21</v>
      </c>
      <c r="I4150" s="2" t="s">
        <v>9709</v>
      </c>
      <c r="J4150" s="3" t="str">
        <f>HYPERLINK("https://www.boe.es/gazeta/dias/1816/11/21/pdfs/GMD-1816-145.pdf#page=7","Abrir facsímil")</f>
        <v>Abrir facsímil</v>
      </c>
      <c r="K4150" s="3" t="s">
        <v>23</v>
      </c>
    </row>
    <row r="4151" spans="1:11" ht="42" customHeight="1">
      <c r="A4151" s="2" t="s">
        <v>9710</v>
      </c>
      <c r="B4151" s="2" t="s">
        <v>9711</v>
      </c>
      <c r="C4151" s="2" t="s">
        <v>81</v>
      </c>
      <c r="D4151" s="2" t="s">
        <v>18</v>
      </c>
      <c r="E4151" s="5">
        <v>-30468</v>
      </c>
      <c r="F4151" s="3" t="s">
        <v>383</v>
      </c>
      <c r="G4151" s="3" t="s">
        <v>42</v>
      </c>
      <c r="H4151" s="2" t="s">
        <v>21</v>
      </c>
      <c r="I4151" s="2" t="s">
        <v>9712</v>
      </c>
      <c r="J4151" s="3" t="str">
        <f>HYPERLINK("https://www.boe.es/gazeta/dias/1816/07/30/pdfs/GMD-1816-94.pdf#page=8","Abrir facsímil")</f>
        <v>Abrir facsímil</v>
      </c>
      <c r="K4151" s="3" t="s">
        <v>23</v>
      </c>
    </row>
    <row r="4152" spans="1:11" ht="42" customHeight="1">
      <c r="A4152" s="2" t="s">
        <v>9713</v>
      </c>
      <c r="B4152" s="2" t="s">
        <v>9714</v>
      </c>
      <c r="C4152" s="2" t="s">
        <v>34</v>
      </c>
      <c r="D4152" s="2" t="s">
        <v>56</v>
      </c>
      <c r="E4152" s="5">
        <v>-30393</v>
      </c>
      <c r="F4152" s="3" t="s">
        <v>202</v>
      </c>
      <c r="G4152" s="3" t="s">
        <v>47</v>
      </c>
      <c r="H4152" s="2" t="s">
        <v>21</v>
      </c>
      <c r="I4152" s="2" t="s">
        <v>9715</v>
      </c>
      <c r="J4152" s="3" t="str">
        <f>HYPERLINK("https://www.boe.es/gazeta/dias/1816/10/13/pdfs/GMD-1816-128E.pdf#page=5","Abrir facsímil")</f>
        <v>Abrir facsímil</v>
      </c>
      <c r="K4152" s="3" t="s">
        <v>23</v>
      </c>
    </row>
    <row r="4153" spans="1:11" ht="42" customHeight="1">
      <c r="A4153" s="2" t="s">
        <v>9716</v>
      </c>
      <c r="B4153" s="2" t="s">
        <v>9717</v>
      </c>
      <c r="C4153" s="2" t="s">
        <v>26</v>
      </c>
      <c r="D4153" s="2" t="s">
        <v>18</v>
      </c>
      <c r="E4153" s="5">
        <v>-30317</v>
      </c>
      <c r="F4153" s="3" t="s">
        <v>1030</v>
      </c>
      <c r="G4153" s="3" t="s">
        <v>184</v>
      </c>
      <c r="H4153" s="2" t="s">
        <v>21</v>
      </c>
      <c r="I4153" s="2" t="s">
        <v>9718</v>
      </c>
      <c r="J4153" s="3" t="str">
        <f>HYPERLINK("https://www.boe.es/gazeta/dias/1816/12/28/pdfs/GMD-1816-161.pdf#page=3","Abrir facsímil")</f>
        <v>Abrir facsímil</v>
      </c>
      <c r="K4153" s="3" t="s">
        <v>23</v>
      </c>
    </row>
    <row r="4154" spans="1:11" ht="42" customHeight="1">
      <c r="A4154" s="2" t="s">
        <v>9719</v>
      </c>
      <c r="B4154" s="2" t="s">
        <v>9720</v>
      </c>
      <c r="C4154" s="2" t="s">
        <v>17</v>
      </c>
      <c r="D4154" s="2" t="s">
        <v>18</v>
      </c>
      <c r="E4154" s="5">
        <v>-30632</v>
      </c>
      <c r="F4154" s="3" t="s">
        <v>89</v>
      </c>
      <c r="G4154" s="3" t="s">
        <v>72</v>
      </c>
      <c r="H4154" s="2" t="s">
        <v>29</v>
      </c>
      <c r="I4154" s="2" t="s">
        <v>9721</v>
      </c>
      <c r="J4154" s="3" t="str">
        <f>HYPERLINK("https://www.boe.es/gazeta/dias/1816/02/17/pdfs/GMD-1816-22.pdf#page=7","Abrir facsímil")</f>
        <v>Abrir facsímil</v>
      </c>
      <c r="K4154" s="3" t="s">
        <v>31</v>
      </c>
    </row>
    <row r="4155" spans="1:11" ht="42" customHeight="1">
      <c r="A4155" s="2" t="s">
        <v>9722</v>
      </c>
      <c r="B4155" s="2" t="s">
        <v>9723</v>
      </c>
      <c r="C4155" s="2" t="s">
        <v>34</v>
      </c>
      <c r="D4155" s="2" t="s">
        <v>35</v>
      </c>
      <c r="E4155" s="5">
        <v>-30599</v>
      </c>
      <c r="F4155" s="3" t="s">
        <v>552</v>
      </c>
      <c r="G4155" s="3" t="s">
        <v>47</v>
      </c>
      <c r="H4155" s="2" t="s">
        <v>21</v>
      </c>
      <c r="I4155" s="2" t="s">
        <v>9724</v>
      </c>
      <c r="J4155" s="3" t="str">
        <f>HYPERLINK("https://www.boe.es/gazeta/dias/1816/03/21/pdfs/GMD-1816-38.pdf#page=5","Abrir facsímil")</f>
        <v>Abrir facsímil</v>
      </c>
      <c r="K4155" s="3" t="s">
        <v>23</v>
      </c>
    </row>
    <row r="4156" spans="1:11" ht="42" customHeight="1">
      <c r="A4156" s="2" t="s">
        <v>9725</v>
      </c>
      <c r="B4156" s="2" t="s">
        <v>9726</v>
      </c>
      <c r="C4156" s="2" t="s">
        <v>111</v>
      </c>
      <c r="D4156" s="2" t="s">
        <v>112</v>
      </c>
      <c r="E4156" s="5">
        <v>-30601</v>
      </c>
      <c r="F4156" s="3" t="s">
        <v>308</v>
      </c>
      <c r="G4156" s="3" t="s">
        <v>72</v>
      </c>
      <c r="H4156" s="2" t="s">
        <v>21</v>
      </c>
      <c r="I4156" s="2" t="s">
        <v>9727</v>
      </c>
      <c r="J4156" s="3" t="str">
        <f>HYPERLINK("https://www.boe.es/gazeta/dias/1816/03/19/pdfs/GMD-1816-37.pdf#page=7","Abrir facsímil")</f>
        <v>Abrir facsímil</v>
      </c>
      <c r="K4156" s="3" t="s">
        <v>23</v>
      </c>
    </row>
    <row r="4157" spans="1:11" ht="42" customHeight="1">
      <c r="A4157" s="2" t="s">
        <v>9728</v>
      </c>
      <c r="B4157" s="2" t="s">
        <v>9729</v>
      </c>
      <c r="C4157" s="2" t="s">
        <v>34</v>
      </c>
      <c r="D4157" s="2" t="s">
        <v>35</v>
      </c>
      <c r="E4157" s="5">
        <v>-30513</v>
      </c>
      <c r="F4157" s="3" t="s">
        <v>582</v>
      </c>
      <c r="G4157" s="3" t="s">
        <v>47</v>
      </c>
      <c r="H4157" s="2" t="s">
        <v>21</v>
      </c>
      <c r="I4157" s="2" t="s">
        <v>9730</v>
      </c>
      <c r="J4157" s="3" t="str">
        <f>HYPERLINK("https://www.boe.es/gazeta/dias/1816/06/15/pdfs/GMD-1816-75.pdf#page=5","Abrir facsímil")</f>
        <v>Abrir facsímil</v>
      </c>
      <c r="K4157" s="3" t="s">
        <v>23</v>
      </c>
    </row>
    <row r="4158" spans="1:11" ht="42" customHeight="1">
      <c r="A4158" s="2" t="s">
        <v>9731</v>
      </c>
      <c r="B4158" s="2" t="s">
        <v>9732</v>
      </c>
      <c r="C4158" s="2" t="s">
        <v>26</v>
      </c>
      <c r="D4158" s="2" t="s">
        <v>18</v>
      </c>
      <c r="E4158" s="5">
        <v>-30585</v>
      </c>
      <c r="F4158" s="3" t="s">
        <v>633</v>
      </c>
      <c r="G4158" s="3" t="s">
        <v>47</v>
      </c>
      <c r="H4158" s="2" t="s">
        <v>21</v>
      </c>
      <c r="I4158" s="2" t="s">
        <v>9733</v>
      </c>
      <c r="J4158" s="3" t="str">
        <f>HYPERLINK("https://www.boe.es/gazeta/dias/1816/04/04/pdfs/GMD-1816-44.pdf#page=5","Abrir facsímil")</f>
        <v>Abrir facsímil</v>
      </c>
      <c r="K4158" s="3" t="s">
        <v>23</v>
      </c>
    </row>
    <row r="4159" spans="1:11" ht="42" customHeight="1">
      <c r="A4159" s="2" t="s">
        <v>9731</v>
      </c>
      <c r="B4159" s="2" t="s">
        <v>9732</v>
      </c>
      <c r="C4159" s="2" t="s">
        <v>26</v>
      </c>
      <c r="D4159" s="2" t="s">
        <v>56</v>
      </c>
      <c r="E4159" s="5">
        <v>-30393</v>
      </c>
      <c r="F4159" s="3" t="s">
        <v>202</v>
      </c>
      <c r="G4159" s="3" t="s">
        <v>834</v>
      </c>
      <c r="H4159" s="2" t="s">
        <v>21</v>
      </c>
      <c r="I4159" s="2" t="s">
        <v>9734</v>
      </c>
      <c r="J4159" s="3" t="str">
        <f>HYPERLINK("https://www.boe.es/gazeta/dias/1816/10/13/pdfs/GMD-1816-128E.pdf#page=6","Abrir facsímil")</f>
        <v>Abrir facsímil</v>
      </c>
      <c r="K4159" s="3" t="s">
        <v>23</v>
      </c>
    </row>
    <row r="4160" spans="1:11" ht="42" customHeight="1">
      <c r="A4160" s="2" t="s">
        <v>9735</v>
      </c>
      <c r="B4160" s="2" t="s">
        <v>9736</v>
      </c>
      <c r="C4160" s="2" t="s">
        <v>26</v>
      </c>
      <c r="D4160" s="2" t="s">
        <v>18</v>
      </c>
      <c r="E4160" s="5">
        <v>-30445</v>
      </c>
      <c r="F4160" s="3" t="s">
        <v>51</v>
      </c>
      <c r="G4160" s="3" t="s">
        <v>47</v>
      </c>
      <c r="H4160" s="2" t="s">
        <v>21</v>
      </c>
      <c r="I4160" s="2" t="s">
        <v>9737</v>
      </c>
      <c r="J4160" s="3" t="str">
        <f>HYPERLINK("https://www.boe.es/gazeta/dias/1816/08/22/pdfs/GMD-1816-104.pdf#page=5","Abrir facsímil")</f>
        <v>Abrir facsímil</v>
      </c>
      <c r="K4160" s="3" t="s">
        <v>23</v>
      </c>
    </row>
    <row r="4161" spans="1:11" ht="42" customHeight="1">
      <c r="A4161" s="2" t="s">
        <v>9735</v>
      </c>
      <c r="B4161" s="2" t="s">
        <v>9736</v>
      </c>
      <c r="C4161" s="2" t="s">
        <v>26</v>
      </c>
      <c r="D4161" s="2" t="s">
        <v>18</v>
      </c>
      <c r="E4161" s="5">
        <v>-30354</v>
      </c>
      <c r="F4161" s="3" t="s">
        <v>68</v>
      </c>
      <c r="G4161" s="3" t="s">
        <v>72</v>
      </c>
      <c r="H4161" s="2" t="s">
        <v>21</v>
      </c>
      <c r="I4161" s="2" t="s">
        <v>9738</v>
      </c>
      <c r="J4161" s="3" t="str">
        <f>HYPERLINK("https://www.boe.es/gazeta/dias/1816/11/21/pdfs/GMD-1816-145.pdf#page=7","Abrir facsímil")</f>
        <v>Abrir facsímil</v>
      </c>
      <c r="K4161" s="3" t="s">
        <v>23</v>
      </c>
    </row>
    <row r="4162" spans="1:11" ht="42" customHeight="1">
      <c r="A4162" s="2" t="s">
        <v>9739</v>
      </c>
      <c r="B4162" s="2" t="s">
        <v>9740</v>
      </c>
      <c r="C4162" s="2" t="s">
        <v>41</v>
      </c>
      <c r="D4162" s="2" t="s">
        <v>18</v>
      </c>
      <c r="E4162" s="5">
        <v>-30494</v>
      </c>
      <c r="F4162" s="3" t="s">
        <v>174</v>
      </c>
      <c r="G4162" s="3" t="s">
        <v>175</v>
      </c>
      <c r="H4162" s="2" t="s">
        <v>21</v>
      </c>
      <c r="I4162" s="2" t="s">
        <v>9741</v>
      </c>
      <c r="J4162" s="3" t="str">
        <f>HYPERLINK("https://www.boe.es/gazeta/dias/1816/07/04/pdfs/GMD-1816-83.pdf#page=11","Abrir facsímil")</f>
        <v>Abrir facsímil</v>
      </c>
      <c r="K4162" s="3" t="s">
        <v>23</v>
      </c>
    </row>
    <row r="4163" spans="1:11" ht="42" customHeight="1">
      <c r="A4163" s="2" t="s">
        <v>9742</v>
      </c>
      <c r="B4163" s="2" t="s">
        <v>9743</v>
      </c>
      <c r="C4163" s="2" t="s">
        <v>111</v>
      </c>
      <c r="D4163" s="2" t="s">
        <v>112</v>
      </c>
      <c r="E4163" s="5">
        <v>-30445</v>
      </c>
      <c r="F4163" s="3" t="s">
        <v>51</v>
      </c>
      <c r="G4163" s="3" t="s">
        <v>175</v>
      </c>
      <c r="H4163" s="2" t="s">
        <v>21</v>
      </c>
      <c r="I4163" s="2" t="s">
        <v>9744</v>
      </c>
      <c r="J4163" s="3" t="str">
        <f>HYPERLINK("https://www.boe.es/gazeta/dias/1816/08/22/pdfs/GMD-1816-104.pdf#page=11","Abrir facsímil")</f>
        <v>Abrir facsímil</v>
      </c>
      <c r="K4163" s="3" t="s">
        <v>23</v>
      </c>
    </row>
    <row r="4164" spans="1:11" ht="42" customHeight="1">
      <c r="A4164" s="2" t="s">
        <v>9745</v>
      </c>
      <c r="B4164" s="2" t="s">
        <v>9746</v>
      </c>
      <c r="C4164" s="2" t="s">
        <v>67</v>
      </c>
      <c r="D4164" s="2" t="s">
        <v>18</v>
      </c>
      <c r="E4164" s="5">
        <v>-30324</v>
      </c>
      <c r="F4164" s="3" t="s">
        <v>46</v>
      </c>
      <c r="G4164" s="3" t="s">
        <v>42</v>
      </c>
      <c r="H4164" s="2" t="s">
        <v>29</v>
      </c>
      <c r="I4164" s="2" t="s">
        <v>9747</v>
      </c>
      <c r="J4164" s="3" t="str">
        <f>HYPERLINK("https://www.boe.es/gazeta/dias/1816/12/21/pdfs/GMD-1816-158.pdf#page=8","Abrir facsímil")</f>
        <v>Abrir facsímil</v>
      </c>
      <c r="K4164" s="3" t="s">
        <v>31</v>
      </c>
    </row>
    <row r="4165" spans="1:11" ht="42" customHeight="1">
      <c r="A4165" s="2" t="s">
        <v>9748</v>
      </c>
      <c r="B4165" s="2" t="s">
        <v>9749</v>
      </c>
      <c r="C4165" s="2" t="s">
        <v>67</v>
      </c>
      <c r="D4165" s="2" t="s">
        <v>18</v>
      </c>
      <c r="E4165" s="5">
        <v>-30548</v>
      </c>
      <c r="F4165" s="3" t="s">
        <v>472</v>
      </c>
      <c r="G4165" s="3" t="s">
        <v>42</v>
      </c>
      <c r="H4165" s="2" t="s">
        <v>21</v>
      </c>
      <c r="I4165" s="2" t="s">
        <v>9750</v>
      </c>
      <c r="J4165" s="3" t="str">
        <f>HYPERLINK("https://www.boe.es/gazeta/dias/1816/05/11/pdfs/GMD-1816-60.pdf#page=8","Abrir facsímil")</f>
        <v>Abrir facsímil</v>
      </c>
      <c r="K4165" s="3" t="s">
        <v>23</v>
      </c>
    </row>
    <row r="4166" spans="1:11" ht="42" customHeight="1">
      <c r="A4166" s="2" t="s">
        <v>9751</v>
      </c>
      <c r="B4166" s="2" t="s">
        <v>9752</v>
      </c>
      <c r="C4166" s="2" t="s">
        <v>111</v>
      </c>
      <c r="D4166" s="2" t="s">
        <v>112</v>
      </c>
      <c r="E4166" s="5">
        <v>-30347</v>
      </c>
      <c r="F4166" s="3" t="s">
        <v>2994</v>
      </c>
      <c r="G4166" s="3" t="s">
        <v>72</v>
      </c>
      <c r="H4166" s="2" t="s">
        <v>21</v>
      </c>
      <c r="I4166" s="2" t="s">
        <v>9753</v>
      </c>
      <c r="J4166" s="3" t="str">
        <f>HYPERLINK("https://www.boe.es/gazeta/dias/1816/11/28/pdfs/GMD-1816-148.pdf#page=7","Abrir facsímil")</f>
        <v>Abrir facsímil</v>
      </c>
      <c r="K4166" s="3" t="s">
        <v>23</v>
      </c>
    </row>
    <row r="4167" spans="1:11" ht="42" customHeight="1">
      <c r="A4167" s="2" t="s">
        <v>9754</v>
      </c>
      <c r="B4167" s="2" t="s">
        <v>9755</v>
      </c>
      <c r="C4167" s="2" t="s">
        <v>17</v>
      </c>
      <c r="D4167" s="2" t="s">
        <v>56</v>
      </c>
      <c r="E4167" s="5">
        <v>-30393</v>
      </c>
      <c r="F4167" s="3" t="s">
        <v>202</v>
      </c>
      <c r="G4167" s="3" t="s">
        <v>270</v>
      </c>
      <c r="H4167" s="2" t="s">
        <v>21</v>
      </c>
      <c r="I4167" s="2" t="s">
        <v>9756</v>
      </c>
      <c r="J4167" s="3" t="str">
        <f>HYPERLINK("https://www.boe.es/gazeta/dias/1816/10/13/pdfs/GMD-1816-128E.pdf#page=2","Abrir facsímil")</f>
        <v>Abrir facsímil</v>
      </c>
      <c r="K4167" s="3" t="s">
        <v>23</v>
      </c>
    </row>
    <row r="4168" spans="1:11" ht="42" customHeight="1">
      <c r="A4168" s="2" t="s">
        <v>9757</v>
      </c>
      <c r="B4168" s="2" t="s">
        <v>9758</v>
      </c>
      <c r="C4168" s="2" t="s">
        <v>111</v>
      </c>
      <c r="D4168" s="2" t="s">
        <v>112</v>
      </c>
      <c r="E4168" s="5">
        <v>-30566</v>
      </c>
      <c r="F4168" s="3" t="s">
        <v>113</v>
      </c>
      <c r="G4168" s="3" t="s">
        <v>28</v>
      </c>
      <c r="H4168" s="2" t="s">
        <v>21</v>
      </c>
      <c r="I4168" s="2" t="s">
        <v>9759</v>
      </c>
      <c r="J4168" s="3" t="str">
        <f>HYPERLINK("https://www.boe.es/gazeta/dias/1816/04/23/pdfs/GMD-1816-52.pdf#page=6","Abrir facsímil")</f>
        <v>Abrir facsímil</v>
      </c>
      <c r="K4168" s="3" t="s">
        <v>23</v>
      </c>
    </row>
    <row r="4169" spans="1:11" ht="42" customHeight="1">
      <c r="A4169" s="2" t="s">
        <v>9760</v>
      </c>
      <c r="B4169" s="2" t="s">
        <v>9761</v>
      </c>
      <c r="C4169" s="2" t="s">
        <v>67</v>
      </c>
      <c r="D4169" s="2" t="s">
        <v>18</v>
      </c>
      <c r="E4169" s="5">
        <v>-30443</v>
      </c>
      <c r="F4169" s="3" t="s">
        <v>259</v>
      </c>
      <c r="G4169" s="3" t="s">
        <v>260</v>
      </c>
      <c r="H4169" s="2" t="s">
        <v>21</v>
      </c>
      <c r="I4169" s="2" t="s">
        <v>9762</v>
      </c>
      <c r="J4169" s="3" t="str">
        <f>HYPERLINK("https://www.boe.es/gazeta/dias/1816/08/24/pdfs/GMD-1816-105.pdf#page=8","Abrir facsímil")</f>
        <v>Abrir facsímil</v>
      </c>
      <c r="K4169" s="3" t="s">
        <v>23</v>
      </c>
    </row>
    <row r="4170" spans="1:11" ht="42" customHeight="1">
      <c r="A4170" s="2" t="s">
        <v>9763</v>
      </c>
      <c r="B4170" s="2" t="s">
        <v>9764</v>
      </c>
      <c r="C4170" s="2" t="s">
        <v>111</v>
      </c>
      <c r="D4170" s="2" t="s">
        <v>112</v>
      </c>
      <c r="E4170" s="5">
        <v>-30366</v>
      </c>
      <c r="F4170" s="3" t="s">
        <v>179</v>
      </c>
      <c r="G4170" s="3" t="s">
        <v>28</v>
      </c>
      <c r="H4170" s="2" t="s">
        <v>21</v>
      </c>
      <c r="I4170" s="2" t="s">
        <v>9765</v>
      </c>
      <c r="J4170" s="3" t="str">
        <f>HYPERLINK("https://www.boe.es/gazeta/dias/1816/11/09/pdfs/GMD-1816-140.pdf#page=6","Abrir facsímil")</f>
        <v>Abrir facsímil</v>
      </c>
      <c r="K4170" s="3" t="s">
        <v>23</v>
      </c>
    </row>
    <row r="4171" spans="1:11" ht="42" customHeight="1">
      <c r="A4171" s="2" t="s">
        <v>9766</v>
      </c>
      <c r="B4171" s="2" t="s">
        <v>9767</v>
      </c>
      <c r="C4171" s="2" t="s">
        <v>34</v>
      </c>
      <c r="D4171" s="2" t="s">
        <v>35</v>
      </c>
      <c r="E4171" s="5">
        <v>-30580</v>
      </c>
      <c r="F4171" s="3" t="s">
        <v>107</v>
      </c>
      <c r="G4171" s="3" t="s">
        <v>103</v>
      </c>
      <c r="H4171" s="2" t="s">
        <v>29</v>
      </c>
      <c r="I4171" s="2" t="s">
        <v>9768</v>
      </c>
      <c r="J4171" s="3" t="str">
        <f>HYPERLINK("https://www.boe.es/gazeta/dias/1816/04/09/pdfs/GMD-1816-46.pdf#page=4","Abrir facsímil")</f>
        <v>Abrir facsímil</v>
      </c>
      <c r="K4171" s="3" t="s">
        <v>31</v>
      </c>
    </row>
    <row r="4172" spans="1:11" ht="42" customHeight="1">
      <c r="A4172" s="2" t="s">
        <v>9769</v>
      </c>
      <c r="B4172" s="2" t="s">
        <v>9770</v>
      </c>
      <c r="C4172" s="2" t="s">
        <v>26</v>
      </c>
      <c r="D4172" s="2" t="s">
        <v>18</v>
      </c>
      <c r="E4172" s="5">
        <v>-30445</v>
      </c>
      <c r="F4172" s="3" t="s">
        <v>51</v>
      </c>
      <c r="G4172" s="3" t="s">
        <v>47</v>
      </c>
      <c r="H4172" s="2" t="s">
        <v>21</v>
      </c>
      <c r="I4172" s="2" t="s">
        <v>9771</v>
      </c>
      <c r="J4172" s="3" t="str">
        <f>HYPERLINK("https://www.boe.es/gazeta/dias/1816/08/22/pdfs/GMD-1816-104.pdf#page=5","Abrir facsímil")</f>
        <v>Abrir facsímil</v>
      </c>
      <c r="K4172" s="3" t="s">
        <v>23</v>
      </c>
    </row>
    <row r="4173" spans="1:11" ht="42" customHeight="1">
      <c r="A4173" s="2" t="s">
        <v>9772</v>
      </c>
      <c r="B4173" s="2" t="s">
        <v>9773</v>
      </c>
      <c r="C4173" s="2" t="s">
        <v>111</v>
      </c>
      <c r="D4173" s="2" t="s">
        <v>112</v>
      </c>
      <c r="E4173" s="5">
        <v>-30342</v>
      </c>
      <c r="F4173" s="3" t="s">
        <v>116</v>
      </c>
      <c r="G4173" s="3" t="s">
        <v>47</v>
      </c>
      <c r="H4173" s="2" t="s">
        <v>21</v>
      </c>
      <c r="I4173" s="2" t="s">
        <v>9774</v>
      </c>
      <c r="J4173" s="3" t="str">
        <f>HYPERLINK("https://www.boe.es/gazeta/dias/1816/12/03/pdfs/GMD-1816-150.pdf#page=5","Abrir facsímil")</f>
        <v>Abrir facsímil</v>
      </c>
      <c r="K4173" s="3" t="s">
        <v>23</v>
      </c>
    </row>
    <row r="4174" spans="1:11" ht="42" customHeight="1">
      <c r="A4174" s="2" t="s">
        <v>9775</v>
      </c>
      <c r="B4174" s="2" t="s">
        <v>9775</v>
      </c>
      <c r="C4174" s="2" t="s">
        <v>34</v>
      </c>
      <c r="D4174" s="2" t="s">
        <v>35</v>
      </c>
      <c r="E4174" s="5">
        <v>-30564</v>
      </c>
      <c r="F4174" s="3" t="s">
        <v>963</v>
      </c>
      <c r="G4174" s="3" t="s">
        <v>47</v>
      </c>
      <c r="H4174" s="2" t="s">
        <v>21</v>
      </c>
      <c r="I4174" s="2" t="s">
        <v>9776</v>
      </c>
      <c r="J4174" s="3" t="str">
        <f>HYPERLINK("https://www.boe.es/gazeta/dias/1816/04/25/pdfs/GMD-1816-53.pdf#page=5","Abrir facsímil")</f>
        <v>Abrir facsímil</v>
      </c>
      <c r="K4174" s="3" t="s">
        <v>23</v>
      </c>
    </row>
    <row r="4175" spans="1:11" ht="42" customHeight="1">
      <c r="A4175" s="2" t="s">
        <v>9777</v>
      </c>
      <c r="B4175" s="2" t="s">
        <v>9778</v>
      </c>
      <c r="C4175" s="2" t="s">
        <v>34</v>
      </c>
      <c r="D4175" s="2" t="s">
        <v>35</v>
      </c>
      <c r="E4175" s="5">
        <v>-30564</v>
      </c>
      <c r="F4175" s="3" t="s">
        <v>963</v>
      </c>
      <c r="G4175" s="3" t="s">
        <v>47</v>
      </c>
      <c r="H4175" s="2" t="s">
        <v>21</v>
      </c>
      <c r="I4175" s="2" t="s">
        <v>9779</v>
      </c>
      <c r="J4175" s="3" t="str">
        <f>HYPERLINK("https://www.boe.es/gazeta/dias/1816/04/25/pdfs/GMD-1816-53.pdf#page=5","Abrir facsímil")</f>
        <v>Abrir facsímil</v>
      </c>
      <c r="K4175" s="3" t="s">
        <v>23</v>
      </c>
    </row>
    <row r="4176" spans="1:11" ht="42" customHeight="1">
      <c r="A4176" s="2" t="s">
        <v>9780</v>
      </c>
      <c r="B4176" s="2" t="s">
        <v>9781</v>
      </c>
      <c r="C4176" s="2" t="s">
        <v>26</v>
      </c>
      <c r="D4176" s="2" t="s">
        <v>18</v>
      </c>
      <c r="E4176" s="5">
        <v>-30580</v>
      </c>
      <c r="F4176" s="3" t="s">
        <v>107</v>
      </c>
      <c r="G4176" s="3" t="s">
        <v>72</v>
      </c>
      <c r="H4176" s="2" t="s">
        <v>21</v>
      </c>
      <c r="I4176" s="2" t="s">
        <v>9782</v>
      </c>
      <c r="J4176" s="3" t="str">
        <f>HYPERLINK("https://www.boe.es/gazeta/dias/1816/04/09/pdfs/GMD-1816-46.pdf#page=7","Abrir facsímil")</f>
        <v>Abrir facsímil</v>
      </c>
      <c r="K4176" s="3" t="s">
        <v>23</v>
      </c>
    </row>
    <row r="4177" spans="1:11" ht="42" customHeight="1">
      <c r="A4177" s="2" t="s">
        <v>9783</v>
      </c>
      <c r="B4177" s="2" t="s">
        <v>9784</v>
      </c>
      <c r="C4177" s="2" t="s">
        <v>26</v>
      </c>
      <c r="D4177" s="2" t="s">
        <v>18</v>
      </c>
      <c r="E4177" s="5">
        <v>-30655</v>
      </c>
      <c r="F4177" s="3" t="s">
        <v>170</v>
      </c>
      <c r="G4177" s="3" t="s">
        <v>72</v>
      </c>
      <c r="H4177" s="2" t="s">
        <v>21</v>
      </c>
      <c r="I4177" s="2" t="s">
        <v>9785</v>
      </c>
      <c r="J4177" s="3" t="str">
        <f>HYPERLINK("https://www.boe.es/gazeta/dias/1816/01/25/pdfs/GMD-1816-11.pdf#page=7","Abrir facsímil")</f>
        <v>Abrir facsímil</v>
      </c>
      <c r="K4177" s="3" t="s">
        <v>23</v>
      </c>
    </row>
    <row r="4178" spans="1:11" ht="42" customHeight="1">
      <c r="A4178" s="2" t="s">
        <v>9786</v>
      </c>
      <c r="B4178" s="2" t="s">
        <v>9786</v>
      </c>
      <c r="C4178" s="2" t="s">
        <v>34</v>
      </c>
      <c r="D4178" s="2" t="s">
        <v>35</v>
      </c>
      <c r="E4178" s="5">
        <v>-30471</v>
      </c>
      <c r="F4178" s="3" t="s">
        <v>639</v>
      </c>
      <c r="G4178" s="3" t="s">
        <v>28</v>
      </c>
      <c r="H4178" s="2" t="s">
        <v>21</v>
      </c>
      <c r="I4178" s="2" t="s">
        <v>9787</v>
      </c>
      <c r="J4178" s="3" t="str">
        <f>HYPERLINK("https://www.boe.es/gazeta/dias/1816/07/27/pdfs/GMD-1816-93.pdf#page=6","Abrir facsímil")</f>
        <v>Abrir facsímil</v>
      </c>
      <c r="K4178" s="3" t="s">
        <v>23</v>
      </c>
    </row>
    <row r="4179" spans="1:11" ht="42" customHeight="1">
      <c r="A4179" s="2" t="s">
        <v>9788</v>
      </c>
      <c r="B4179" s="2" t="s">
        <v>9789</v>
      </c>
      <c r="C4179" s="2" t="s">
        <v>111</v>
      </c>
      <c r="D4179" s="2" t="s">
        <v>56</v>
      </c>
      <c r="E4179" s="5">
        <v>-30393</v>
      </c>
      <c r="F4179" s="3" t="s">
        <v>202</v>
      </c>
      <c r="G4179" s="3" t="s">
        <v>645</v>
      </c>
      <c r="H4179" s="2" t="s">
        <v>21</v>
      </c>
      <c r="I4179" s="2" t="s">
        <v>9790</v>
      </c>
      <c r="J4179" s="3" t="str">
        <f>HYPERLINK("https://www.boe.es/gazeta/dias/1816/10/13/pdfs/GMD-1816-128E.pdf#page=4","Abrir facsímil")</f>
        <v>Abrir facsímil</v>
      </c>
      <c r="K4179" s="3" t="s">
        <v>23</v>
      </c>
    </row>
    <row r="4180" spans="1:11" ht="42" customHeight="1">
      <c r="A4180" s="2" t="s">
        <v>9791</v>
      </c>
      <c r="B4180" s="2" t="s">
        <v>9792</v>
      </c>
      <c r="C4180" s="2" t="s">
        <v>41</v>
      </c>
      <c r="D4180" s="2" t="s">
        <v>18</v>
      </c>
      <c r="E4180" s="5">
        <v>-30317</v>
      </c>
      <c r="F4180" s="3" t="s">
        <v>1030</v>
      </c>
      <c r="G4180" s="3" t="s">
        <v>1031</v>
      </c>
      <c r="H4180" s="2" t="s">
        <v>21</v>
      </c>
      <c r="I4180" s="2" t="s">
        <v>9793</v>
      </c>
      <c r="J4180" s="3" t="str">
        <f>HYPERLINK("https://www.boe.es/gazeta/dias/1816/12/28/pdfs/GMD-1816-161.pdf#page=6","Abrir facsímil")</f>
        <v>Abrir facsímil</v>
      </c>
      <c r="K4180" s="3" t="s">
        <v>23</v>
      </c>
    </row>
    <row r="4181" spans="1:11" ht="42" customHeight="1">
      <c r="A4181" s="2" t="s">
        <v>9794</v>
      </c>
      <c r="B4181" s="2" t="s">
        <v>9794</v>
      </c>
      <c r="C4181" s="2" t="s">
        <v>34</v>
      </c>
      <c r="D4181" s="2" t="s">
        <v>35</v>
      </c>
      <c r="E4181" s="5">
        <v>-30676</v>
      </c>
      <c r="F4181" s="3" t="s">
        <v>1932</v>
      </c>
      <c r="G4181" s="3" t="s">
        <v>9795</v>
      </c>
      <c r="H4181" s="2" t="s">
        <v>21</v>
      </c>
      <c r="I4181" s="2" t="s">
        <v>9796</v>
      </c>
      <c r="J4181" s="3" t="str">
        <f>HYPERLINK("https://www.boe.es/gazeta/dias/1816/01/04/pdfs/GMD-1816-2.pdf#page=6","Abrir facsímil")</f>
        <v>Abrir facsímil</v>
      </c>
      <c r="K4181" s="3" t="s">
        <v>23</v>
      </c>
    </row>
    <row r="4182" spans="1:11" ht="42" customHeight="1">
      <c r="A4182" s="2" t="s">
        <v>9794</v>
      </c>
      <c r="B4182" s="2" t="s">
        <v>9794</v>
      </c>
      <c r="C4182" s="2" t="s">
        <v>387</v>
      </c>
      <c r="D4182" s="2" t="s">
        <v>18</v>
      </c>
      <c r="E4182" s="5">
        <v>-30443</v>
      </c>
      <c r="F4182" s="3" t="s">
        <v>259</v>
      </c>
      <c r="G4182" s="3" t="s">
        <v>58</v>
      </c>
      <c r="H4182" s="2" t="s">
        <v>21</v>
      </c>
      <c r="I4182" s="2" t="s">
        <v>9797</v>
      </c>
      <c r="J4182" s="3" t="str">
        <f>HYPERLINK("https://www.boe.es/gazeta/dias/1816/08/24/pdfs/GMD-1816-105.pdf#page=1","Abrir facsímil")</f>
        <v>Abrir facsímil</v>
      </c>
      <c r="K4182" s="3" t="s">
        <v>23</v>
      </c>
    </row>
    <row r="4183" spans="1:11" ht="42" customHeight="1">
      <c r="A4183" s="2" t="s">
        <v>9798</v>
      </c>
      <c r="B4183" s="2" t="s">
        <v>9799</v>
      </c>
      <c r="C4183" s="2" t="s">
        <v>41</v>
      </c>
      <c r="D4183" s="2" t="s">
        <v>18</v>
      </c>
      <c r="E4183" s="5">
        <v>-30632</v>
      </c>
      <c r="F4183" s="3" t="s">
        <v>89</v>
      </c>
      <c r="G4183" s="3" t="s">
        <v>270</v>
      </c>
      <c r="H4183" s="2" t="s">
        <v>21</v>
      </c>
      <c r="I4183" s="2" t="s">
        <v>9800</v>
      </c>
      <c r="J4183" s="3" t="str">
        <f>HYPERLINK("https://www.boe.es/gazeta/dias/1816/02/17/pdfs/GMD-1816-22.pdf#page=2","Abrir facsímil")</f>
        <v>Abrir facsímil</v>
      </c>
      <c r="K4183" s="3" t="s">
        <v>23</v>
      </c>
    </row>
    <row r="4184" spans="1:11" ht="42" customHeight="1">
      <c r="A4184" s="2" t="s">
        <v>9801</v>
      </c>
      <c r="B4184" s="2" t="s">
        <v>9802</v>
      </c>
      <c r="C4184" s="2" t="s">
        <v>26</v>
      </c>
      <c r="D4184" s="2" t="s">
        <v>18</v>
      </c>
      <c r="E4184" s="5">
        <v>-30335</v>
      </c>
      <c r="F4184" s="3" t="s">
        <v>468</v>
      </c>
      <c r="G4184" s="3" t="s">
        <v>103</v>
      </c>
      <c r="H4184" s="2" t="s">
        <v>21</v>
      </c>
      <c r="I4184" s="2" t="s">
        <v>9803</v>
      </c>
      <c r="J4184" s="3" t="str">
        <f>HYPERLINK("https://www.boe.es/gazeta/dias/1816/12/10/pdfs/GMD-1816-153.pdf#page=4","Abrir facsímil")</f>
        <v>Abrir facsímil</v>
      </c>
      <c r="K4184" s="3" t="s">
        <v>23</v>
      </c>
    </row>
    <row r="4185" spans="1:11" ht="42" customHeight="1">
      <c r="A4185" s="2" t="s">
        <v>9804</v>
      </c>
      <c r="B4185" s="2" t="s">
        <v>9805</v>
      </c>
      <c r="C4185" s="2" t="s">
        <v>34</v>
      </c>
      <c r="D4185" s="2" t="s">
        <v>35</v>
      </c>
      <c r="E4185" s="5">
        <v>-30375</v>
      </c>
      <c r="F4185" s="3" t="s">
        <v>404</v>
      </c>
      <c r="G4185" s="3" t="s">
        <v>1276</v>
      </c>
      <c r="H4185" s="2" t="s">
        <v>21</v>
      </c>
      <c r="I4185" s="2" t="s">
        <v>9806</v>
      </c>
      <c r="J4185" s="3" t="str">
        <f>HYPERLINK("https://www.boe.es/gazeta/dias/1816/10/31/pdfs/GMD-1816-136.pdf#page=5","Abrir facsímil")</f>
        <v>Abrir facsímil</v>
      </c>
      <c r="K4185" s="3" t="s">
        <v>23</v>
      </c>
    </row>
    <row r="4186" spans="1:11" ht="42" customHeight="1">
      <c r="A4186" s="2" t="s">
        <v>9807</v>
      </c>
      <c r="B4186" s="2" t="s">
        <v>9808</v>
      </c>
      <c r="C4186" s="2" t="s">
        <v>111</v>
      </c>
      <c r="D4186" s="2" t="s">
        <v>112</v>
      </c>
      <c r="E4186" s="5">
        <v>-30655</v>
      </c>
      <c r="F4186" s="3" t="s">
        <v>170</v>
      </c>
      <c r="G4186" s="3" t="s">
        <v>72</v>
      </c>
      <c r="H4186" s="2" t="s">
        <v>29</v>
      </c>
      <c r="I4186" s="2" t="s">
        <v>9809</v>
      </c>
      <c r="J4186" s="3" t="str">
        <f>HYPERLINK("https://www.boe.es/gazeta/dias/1816/01/25/pdfs/GMD-1816-11.pdf#page=7","Abrir facsímil")</f>
        <v>Abrir facsímil</v>
      </c>
      <c r="K4186" s="3" t="s">
        <v>31</v>
      </c>
    </row>
    <row r="4187" spans="1:11" ht="42" customHeight="1">
      <c r="A4187" s="2" t="s">
        <v>9810</v>
      </c>
      <c r="B4187" s="2" t="s">
        <v>9811</v>
      </c>
      <c r="C4187" s="2" t="s">
        <v>17</v>
      </c>
      <c r="D4187" s="2" t="s">
        <v>18</v>
      </c>
      <c r="E4187" s="5">
        <v>-30375</v>
      </c>
      <c r="F4187" s="3" t="s">
        <v>404</v>
      </c>
      <c r="G4187" s="3" t="s">
        <v>3038</v>
      </c>
      <c r="H4187" s="2" t="s">
        <v>21</v>
      </c>
      <c r="I4187" s="2" t="s">
        <v>9812</v>
      </c>
      <c r="J4187" s="3" t="str">
        <f>HYPERLINK("https://www.boe.es/gazeta/dias/1816/10/31/pdfs/GMD-1816-136.pdf#page=8","Abrir facsímil")</f>
        <v>Abrir facsímil</v>
      </c>
      <c r="K4187" s="3" t="s">
        <v>23</v>
      </c>
    </row>
    <row r="4188" spans="1:11" ht="42" customHeight="1">
      <c r="A4188" s="2" t="s">
        <v>9813</v>
      </c>
      <c r="B4188" s="2" t="s">
        <v>9814</v>
      </c>
      <c r="C4188" s="2" t="s">
        <v>111</v>
      </c>
      <c r="D4188" s="2" t="s">
        <v>112</v>
      </c>
      <c r="E4188" s="5">
        <v>-30375</v>
      </c>
      <c r="F4188" s="3" t="s">
        <v>404</v>
      </c>
      <c r="G4188" s="3" t="s">
        <v>1276</v>
      </c>
      <c r="H4188" s="2" t="s">
        <v>21</v>
      </c>
      <c r="I4188" s="2" t="s">
        <v>9815</v>
      </c>
      <c r="J4188" s="3" t="str">
        <f>HYPERLINK("https://www.boe.es/gazeta/dias/1816/10/31/pdfs/GMD-1816-136.pdf#page=5","Abrir facsímil")</f>
        <v>Abrir facsímil</v>
      </c>
      <c r="K4188" s="3" t="s">
        <v>23</v>
      </c>
    </row>
    <row r="4189" spans="1:11" ht="42" customHeight="1">
      <c r="A4189" s="2" t="s">
        <v>9816</v>
      </c>
      <c r="B4189" s="2" t="s">
        <v>9817</v>
      </c>
      <c r="C4189" s="2" t="s">
        <v>26</v>
      </c>
      <c r="D4189" s="2" t="s">
        <v>56</v>
      </c>
      <c r="E4189" s="5">
        <v>-30393</v>
      </c>
      <c r="F4189" s="3" t="s">
        <v>202</v>
      </c>
      <c r="G4189" s="3" t="s">
        <v>47</v>
      </c>
      <c r="H4189" s="2" t="s">
        <v>21</v>
      </c>
      <c r="I4189" s="2" t="s">
        <v>9818</v>
      </c>
      <c r="J4189" s="3" t="str">
        <f>HYPERLINK("https://www.boe.es/gazeta/dias/1816/10/13/pdfs/GMD-1816-128E.pdf#page=5","Abrir facsímil")</f>
        <v>Abrir facsímil</v>
      </c>
      <c r="K4189" s="3" t="s">
        <v>23</v>
      </c>
    </row>
    <row r="4190" spans="1:11" ht="42" customHeight="1">
      <c r="A4190" s="2" t="s">
        <v>9819</v>
      </c>
      <c r="B4190" s="2" t="s">
        <v>9820</v>
      </c>
      <c r="C4190" s="2" t="s">
        <v>41</v>
      </c>
      <c r="D4190" s="2" t="s">
        <v>18</v>
      </c>
      <c r="E4190" s="5">
        <v>-30475</v>
      </c>
      <c r="F4190" s="3" t="s">
        <v>319</v>
      </c>
      <c r="G4190" s="3" t="s">
        <v>2731</v>
      </c>
      <c r="H4190" s="2" t="s">
        <v>21</v>
      </c>
      <c r="I4190" s="2" t="s">
        <v>9821</v>
      </c>
      <c r="J4190" s="3" t="str">
        <f>HYPERLINK("https://www.boe.es/gazeta/dias/1816/07/23/pdfs/GMD-1816-91.pdf#page=6","Abrir facsímil")</f>
        <v>Abrir facsímil</v>
      </c>
      <c r="K4190" s="3" t="s">
        <v>23</v>
      </c>
    </row>
    <row r="4191" spans="1:11" ht="42" customHeight="1">
      <c r="A4191" s="2" t="s">
        <v>9822</v>
      </c>
      <c r="B4191" s="2" t="s">
        <v>9823</v>
      </c>
      <c r="C4191" s="2" t="s">
        <v>111</v>
      </c>
      <c r="D4191" s="2" t="s">
        <v>112</v>
      </c>
      <c r="E4191" s="5">
        <v>-30559</v>
      </c>
      <c r="F4191" s="3" t="s">
        <v>165</v>
      </c>
      <c r="G4191" s="3" t="s">
        <v>42</v>
      </c>
      <c r="H4191" s="2" t="s">
        <v>21</v>
      </c>
      <c r="I4191" s="2" t="s">
        <v>9824</v>
      </c>
      <c r="J4191" s="3" t="str">
        <f>HYPERLINK("https://www.boe.es/gazeta/dias/1816/04/30/pdfs/GMD-1816-55.pdf#page=8","Abrir facsímil")</f>
        <v>Abrir facsímil</v>
      </c>
      <c r="K4191" s="3" t="s">
        <v>23</v>
      </c>
    </row>
    <row r="4192" spans="1:11" ht="42" customHeight="1">
      <c r="A4192" s="2" t="s">
        <v>9825</v>
      </c>
      <c r="B4192" s="2" t="s">
        <v>9826</v>
      </c>
      <c r="C4192" s="2" t="s">
        <v>34</v>
      </c>
      <c r="D4192" s="2" t="s">
        <v>35</v>
      </c>
      <c r="E4192" s="5">
        <v>-30650</v>
      </c>
      <c r="F4192" s="3" t="s">
        <v>1170</v>
      </c>
      <c r="G4192" s="3" t="s">
        <v>42</v>
      </c>
      <c r="H4192" s="2" t="s">
        <v>21</v>
      </c>
      <c r="I4192" s="2" t="s">
        <v>9827</v>
      </c>
      <c r="J4192" s="3" t="str">
        <f>HYPERLINK("https://www.boe.es/gazeta/dias/1816/01/30/pdfs/GMD-1816-14.pdf#page=8","Abrir facsímil")</f>
        <v>Abrir facsímil</v>
      </c>
      <c r="K4192" s="3" t="s">
        <v>23</v>
      </c>
    </row>
    <row r="4193" spans="1:11" ht="42" customHeight="1">
      <c r="A4193" s="2" t="s">
        <v>9828</v>
      </c>
      <c r="B4193" s="2" t="s">
        <v>9829</v>
      </c>
      <c r="C4193" s="2" t="s">
        <v>34</v>
      </c>
      <c r="D4193" s="2" t="s">
        <v>35</v>
      </c>
      <c r="E4193" s="5">
        <v>-30580</v>
      </c>
      <c r="F4193" s="3" t="s">
        <v>107</v>
      </c>
      <c r="G4193" s="3" t="s">
        <v>28</v>
      </c>
      <c r="H4193" s="2" t="s">
        <v>21</v>
      </c>
      <c r="I4193" s="2" t="s">
        <v>9830</v>
      </c>
      <c r="J4193" s="3" t="str">
        <f>HYPERLINK("https://www.boe.es/gazeta/dias/1816/04/09/pdfs/GMD-1816-46.pdf#page=6","Abrir facsímil")</f>
        <v>Abrir facsímil</v>
      </c>
      <c r="K4193" s="3" t="s">
        <v>23</v>
      </c>
    </row>
    <row r="4194" spans="1:11" ht="42" customHeight="1">
      <c r="A4194" s="2" t="s">
        <v>9831</v>
      </c>
      <c r="B4194" s="2" t="s">
        <v>9832</v>
      </c>
      <c r="C4194" s="2" t="s">
        <v>41</v>
      </c>
      <c r="D4194" s="2" t="s">
        <v>18</v>
      </c>
      <c r="E4194" s="5">
        <v>-30552</v>
      </c>
      <c r="F4194" s="3" t="s">
        <v>1842</v>
      </c>
      <c r="G4194" s="3" t="s">
        <v>42</v>
      </c>
      <c r="H4194" s="2" t="s">
        <v>21</v>
      </c>
      <c r="I4194" s="2" t="s">
        <v>9833</v>
      </c>
      <c r="J4194" s="3" t="str">
        <f>HYPERLINK("https://www.boe.es/gazeta/dias/1816/05/07/pdfs/GMD-1816-58.pdf#page=8","Abrir facsímil")</f>
        <v>Abrir facsímil</v>
      </c>
      <c r="K4194" s="3" t="s">
        <v>23</v>
      </c>
    </row>
    <row r="4195" spans="1:11" ht="42" customHeight="1">
      <c r="A4195" s="2" t="s">
        <v>9834</v>
      </c>
      <c r="B4195" s="2" t="s">
        <v>9835</v>
      </c>
      <c r="C4195" s="2" t="s">
        <v>111</v>
      </c>
      <c r="D4195" s="2" t="s">
        <v>112</v>
      </c>
      <c r="E4195" s="5">
        <v>-30487</v>
      </c>
      <c r="F4195" s="3" t="s">
        <v>397</v>
      </c>
      <c r="G4195" s="3" t="s">
        <v>92</v>
      </c>
      <c r="H4195" s="2" t="s">
        <v>21</v>
      </c>
      <c r="I4195" s="2" t="s">
        <v>9836</v>
      </c>
      <c r="J4195" s="3" t="str">
        <f>HYPERLINK("https://www.boe.es/gazeta/dias/1816/07/11/pdfs/GMD-1816-86.pdf#page=9","Abrir facsímil")</f>
        <v>Abrir facsímil</v>
      </c>
      <c r="K4195" s="3" t="s">
        <v>23</v>
      </c>
    </row>
    <row r="4196" spans="1:11" ht="42" customHeight="1">
      <c r="A4196" s="2" t="s">
        <v>9837</v>
      </c>
      <c r="B4196" s="2" t="s">
        <v>9838</v>
      </c>
      <c r="C4196" s="2" t="s">
        <v>111</v>
      </c>
      <c r="D4196" s="2" t="s">
        <v>56</v>
      </c>
      <c r="E4196" s="5">
        <v>-30393</v>
      </c>
      <c r="F4196" s="3" t="s">
        <v>202</v>
      </c>
      <c r="G4196" s="3" t="s">
        <v>270</v>
      </c>
      <c r="H4196" s="2" t="s">
        <v>21</v>
      </c>
      <c r="I4196" s="2" t="s">
        <v>9839</v>
      </c>
      <c r="J4196" s="3" t="str">
        <f>HYPERLINK("https://www.boe.es/gazeta/dias/1816/10/13/pdfs/GMD-1816-128E.pdf#page=2","Abrir facsímil")</f>
        <v>Abrir facsímil</v>
      </c>
      <c r="K4196" s="3" t="s">
        <v>23</v>
      </c>
    </row>
    <row r="4197" spans="1:11" ht="42" customHeight="1">
      <c r="A4197" s="2" t="s">
        <v>9840</v>
      </c>
      <c r="B4197" s="2" t="s">
        <v>9840</v>
      </c>
      <c r="C4197" s="2" t="s">
        <v>111</v>
      </c>
      <c r="D4197" s="2" t="s">
        <v>112</v>
      </c>
      <c r="E4197" s="5">
        <v>-30576</v>
      </c>
      <c r="F4197" s="3" t="s">
        <v>353</v>
      </c>
      <c r="G4197" s="3" t="s">
        <v>270</v>
      </c>
      <c r="H4197" s="2" t="s">
        <v>21</v>
      </c>
      <c r="I4197" s="2" t="s">
        <v>9841</v>
      </c>
      <c r="J4197" s="3" t="str">
        <f>HYPERLINK("https://www.boe.es/gazeta/dias/1816/04/13/pdfs/GMD-1816-48.pdf#page=2","Abrir facsímil")</f>
        <v>Abrir facsímil</v>
      </c>
      <c r="K4197" s="3" t="s">
        <v>23</v>
      </c>
    </row>
    <row r="4198" spans="1:11" ht="42" customHeight="1">
      <c r="A4198" s="2" t="s">
        <v>9842</v>
      </c>
      <c r="B4198" s="2" t="s">
        <v>9843</v>
      </c>
      <c r="C4198" s="2" t="s">
        <v>34</v>
      </c>
      <c r="D4198" s="2" t="s">
        <v>35</v>
      </c>
      <c r="E4198" s="5">
        <v>-30499</v>
      </c>
      <c r="F4198" s="3" t="s">
        <v>971</v>
      </c>
      <c r="G4198" s="3" t="s">
        <v>92</v>
      </c>
      <c r="H4198" s="2" t="s">
        <v>21</v>
      </c>
      <c r="I4198" s="2" t="s">
        <v>9844</v>
      </c>
      <c r="J4198" s="3" t="str">
        <f>HYPERLINK("https://www.boe.es/gazeta/dias/1816/06/29/pdfs/GMD-1816-81.pdf#page=9","Abrir facsímil")</f>
        <v>Abrir facsímil</v>
      </c>
      <c r="K4198" s="3" t="s">
        <v>23</v>
      </c>
    </row>
    <row r="4199" spans="1:11" ht="42" customHeight="1">
      <c r="A4199" s="2" t="s">
        <v>9845</v>
      </c>
      <c r="B4199" s="2" t="s">
        <v>9845</v>
      </c>
      <c r="C4199" s="2" t="s">
        <v>26</v>
      </c>
      <c r="D4199" s="2" t="s">
        <v>18</v>
      </c>
      <c r="E4199" s="5">
        <v>-30578</v>
      </c>
      <c r="F4199" s="3" t="s">
        <v>91</v>
      </c>
      <c r="G4199" s="3" t="s">
        <v>270</v>
      </c>
      <c r="H4199" s="2" t="s">
        <v>21</v>
      </c>
      <c r="I4199" s="2" t="s">
        <v>9846</v>
      </c>
      <c r="J4199" s="3" t="str">
        <f>HYPERLINK("https://www.boe.es/gazeta/dias/1816/04/11/pdfs/GMD-1816-47.pdf#page=2","Abrir facsímil")</f>
        <v>Abrir facsímil</v>
      </c>
      <c r="K4199" s="3" t="s">
        <v>23</v>
      </c>
    </row>
    <row r="4200" spans="1:11" ht="42" customHeight="1">
      <c r="A4200" s="2" t="s">
        <v>9847</v>
      </c>
      <c r="B4200" s="2" t="s">
        <v>9848</v>
      </c>
      <c r="C4200" s="2" t="s">
        <v>111</v>
      </c>
      <c r="D4200" s="2" t="s">
        <v>112</v>
      </c>
      <c r="E4200" s="5">
        <v>-30438</v>
      </c>
      <c r="F4200" s="3" t="s">
        <v>299</v>
      </c>
      <c r="G4200" s="3" t="s">
        <v>300</v>
      </c>
      <c r="H4200" s="2" t="s">
        <v>21</v>
      </c>
      <c r="I4200" s="2" t="s">
        <v>9849</v>
      </c>
      <c r="J4200" s="3" t="str">
        <f>HYPERLINK("https://www.boe.es/gazeta/dias/1816/08/29/pdfs/GMD-1816-107.pdf#page=12","Abrir facsímil")</f>
        <v>Abrir facsímil</v>
      </c>
      <c r="K4200" s="3" t="s">
        <v>23</v>
      </c>
    </row>
    <row r="4201" spans="1:11" ht="42" customHeight="1">
      <c r="A4201" s="2" t="s">
        <v>9850</v>
      </c>
      <c r="B4201" s="2" t="s">
        <v>9851</v>
      </c>
      <c r="C4201" s="2" t="s">
        <v>34</v>
      </c>
      <c r="D4201" s="2" t="s">
        <v>35</v>
      </c>
      <c r="E4201" s="5">
        <v>-30531</v>
      </c>
      <c r="F4201" s="3" t="s">
        <v>535</v>
      </c>
      <c r="G4201" s="3" t="s">
        <v>47</v>
      </c>
      <c r="H4201" s="2" t="s">
        <v>21</v>
      </c>
      <c r="I4201" s="2" t="s">
        <v>9852</v>
      </c>
      <c r="J4201" s="3" t="str">
        <f>HYPERLINK("https://www.boe.es/gazeta/dias/1816/05/28/pdfs/GMD-1816-67.pdf#page=5","Abrir facsímil")</f>
        <v>Abrir facsímil</v>
      </c>
      <c r="K4201" s="3" t="s">
        <v>23</v>
      </c>
    </row>
    <row r="4202" spans="1:11" ht="42" customHeight="1">
      <c r="A4202" s="2" t="s">
        <v>9853</v>
      </c>
      <c r="B4202" s="2" t="s">
        <v>9854</v>
      </c>
      <c r="C4202" s="2" t="s">
        <v>34</v>
      </c>
      <c r="D4202" s="2" t="s">
        <v>35</v>
      </c>
      <c r="E4202" s="5">
        <v>-30387</v>
      </c>
      <c r="F4202" s="3" t="s">
        <v>224</v>
      </c>
      <c r="G4202" s="3" t="s">
        <v>28</v>
      </c>
      <c r="H4202" s="2" t="s">
        <v>21</v>
      </c>
      <c r="I4202" s="2" t="s">
        <v>9855</v>
      </c>
      <c r="J4202" s="3" t="str">
        <f>HYPERLINK("https://www.boe.es/gazeta/dias/1816/10/19/pdfs/GMD-1816-131.pdf#page=6","Abrir facsímil")</f>
        <v>Abrir facsímil</v>
      </c>
      <c r="K4202" s="3" t="s">
        <v>23</v>
      </c>
    </row>
    <row r="4203" spans="1:11" ht="42" customHeight="1">
      <c r="A4203" s="2" t="s">
        <v>9856</v>
      </c>
      <c r="B4203" s="2" t="s">
        <v>9857</v>
      </c>
      <c r="C4203" s="2" t="s">
        <v>111</v>
      </c>
      <c r="D4203" s="2" t="s">
        <v>112</v>
      </c>
      <c r="E4203" s="5">
        <v>-30375</v>
      </c>
      <c r="F4203" s="3" t="s">
        <v>404</v>
      </c>
      <c r="G4203" s="3" t="s">
        <v>405</v>
      </c>
      <c r="H4203" s="2" t="s">
        <v>21</v>
      </c>
      <c r="I4203" s="2" t="s">
        <v>9858</v>
      </c>
      <c r="J4203" s="3" t="str">
        <f>HYPERLINK("https://www.boe.es/gazeta/dias/1816/10/31/pdfs/GMD-1816-136.pdf#page=6","Abrir facsímil")</f>
        <v>Abrir facsímil</v>
      </c>
      <c r="K4203" s="3" t="s">
        <v>23</v>
      </c>
    </row>
    <row r="4204" spans="1:11" ht="42" customHeight="1">
      <c r="A4204" s="2" t="s">
        <v>9859</v>
      </c>
      <c r="B4204" s="2" t="s">
        <v>9860</v>
      </c>
      <c r="C4204" s="2" t="s">
        <v>81</v>
      </c>
      <c r="D4204" s="2" t="s">
        <v>18</v>
      </c>
      <c r="E4204" s="5">
        <v>-30438</v>
      </c>
      <c r="F4204" s="3" t="s">
        <v>299</v>
      </c>
      <c r="G4204" s="3" t="s">
        <v>300</v>
      </c>
      <c r="H4204" s="2" t="s">
        <v>21</v>
      </c>
      <c r="I4204" s="2" t="s">
        <v>9861</v>
      </c>
      <c r="J4204" s="3" t="str">
        <f>HYPERLINK("https://www.boe.es/gazeta/dias/1816/08/29/pdfs/GMD-1816-107.pdf#page=12","Abrir facsímil")</f>
        <v>Abrir facsímil</v>
      </c>
      <c r="K4204" s="3" t="s">
        <v>23</v>
      </c>
    </row>
    <row r="4205" spans="1:11" ht="42" customHeight="1">
      <c r="A4205" s="2" t="s">
        <v>9862</v>
      </c>
      <c r="B4205" s="2" t="s">
        <v>9863</v>
      </c>
      <c r="C4205" s="2" t="s">
        <v>26</v>
      </c>
      <c r="D4205" s="2" t="s">
        <v>18</v>
      </c>
      <c r="E4205" s="5">
        <v>-30655</v>
      </c>
      <c r="F4205" s="3" t="s">
        <v>170</v>
      </c>
      <c r="G4205" s="3" t="s">
        <v>72</v>
      </c>
      <c r="H4205" s="2" t="s">
        <v>21</v>
      </c>
      <c r="I4205" s="2" t="s">
        <v>9864</v>
      </c>
      <c r="J4205" s="3" t="str">
        <f>HYPERLINK("https://www.boe.es/gazeta/dias/1816/01/25/pdfs/GMD-1816-11.pdf#page=7","Abrir facsímil")</f>
        <v>Abrir facsímil</v>
      </c>
      <c r="K4205" s="3" t="s">
        <v>23</v>
      </c>
    </row>
    <row r="4206" spans="1:11" ht="42" customHeight="1">
      <c r="A4206" s="2" t="s">
        <v>9865</v>
      </c>
      <c r="B4206" s="2" t="s">
        <v>9866</v>
      </c>
      <c r="C4206" s="2" t="s">
        <v>34</v>
      </c>
      <c r="D4206" s="2" t="s">
        <v>56</v>
      </c>
      <c r="E4206" s="5">
        <v>-30393</v>
      </c>
      <c r="F4206" s="3" t="s">
        <v>202</v>
      </c>
      <c r="G4206" s="3" t="s">
        <v>184</v>
      </c>
      <c r="H4206" s="2" t="s">
        <v>21</v>
      </c>
      <c r="I4206" s="2" t="s">
        <v>9867</v>
      </c>
      <c r="J4206" s="3" t="str">
        <f>HYPERLINK("https://www.boe.es/gazeta/dias/1816/10/13/pdfs/GMD-1816-128E.pdf#page=3","Abrir facsímil")</f>
        <v>Abrir facsímil</v>
      </c>
      <c r="K4206" s="3" t="s">
        <v>23</v>
      </c>
    </row>
    <row r="4207" spans="1:11" ht="42" customHeight="1">
      <c r="A4207" s="2" t="s">
        <v>9868</v>
      </c>
      <c r="B4207" s="2" t="s">
        <v>9869</v>
      </c>
      <c r="C4207" s="2" t="s">
        <v>34</v>
      </c>
      <c r="D4207" s="2" t="s">
        <v>35</v>
      </c>
      <c r="E4207" s="5">
        <v>-30657</v>
      </c>
      <c r="F4207" s="3" t="s">
        <v>899</v>
      </c>
      <c r="G4207" s="3" t="s">
        <v>5210</v>
      </c>
      <c r="H4207" s="2" t="s">
        <v>21</v>
      </c>
      <c r="I4207" s="2" t="s">
        <v>9870</v>
      </c>
      <c r="J4207" s="3" t="str">
        <f>HYPERLINK("https://www.boe.es/gazeta/dias/1816/01/23/pdfs/GMD-1816-10.pdf#page=6","Abrir facsímil")</f>
        <v>Abrir facsímil</v>
      </c>
      <c r="K4207" s="3" t="s">
        <v>23</v>
      </c>
    </row>
    <row r="4208" spans="1:11" ht="42" customHeight="1">
      <c r="A4208" s="2" t="s">
        <v>9871</v>
      </c>
      <c r="B4208" s="2" t="s">
        <v>9872</v>
      </c>
      <c r="C4208" s="2" t="s">
        <v>67</v>
      </c>
      <c r="D4208" s="2" t="s">
        <v>18</v>
      </c>
      <c r="E4208" s="5">
        <v>-30408</v>
      </c>
      <c r="F4208" s="3" t="s">
        <v>295</v>
      </c>
      <c r="G4208" s="3" t="s">
        <v>47</v>
      </c>
      <c r="H4208" s="2" t="s">
        <v>21</v>
      </c>
      <c r="I4208" s="2" t="s">
        <v>9873</v>
      </c>
      <c r="J4208" s="3" t="str">
        <f>HYPERLINK("https://www.boe.es/gazeta/dias/1816/09/28/pdfs/GMD-1816-120.pdf#page=5","Abrir facsímil")</f>
        <v>Abrir facsímil</v>
      </c>
      <c r="K4208" s="3" t="s">
        <v>23</v>
      </c>
    </row>
    <row r="4209" spans="1:11" ht="42" customHeight="1">
      <c r="A4209" s="2" t="s">
        <v>9874</v>
      </c>
      <c r="B4209" s="2" t="s">
        <v>9875</v>
      </c>
      <c r="C4209" s="2" t="s">
        <v>81</v>
      </c>
      <c r="D4209" s="2" t="s">
        <v>18</v>
      </c>
      <c r="E4209" s="5">
        <v>-30552</v>
      </c>
      <c r="F4209" s="3" t="s">
        <v>1842</v>
      </c>
      <c r="G4209" s="3" t="s">
        <v>42</v>
      </c>
      <c r="H4209" s="2" t="s">
        <v>29</v>
      </c>
      <c r="I4209" s="2" t="s">
        <v>9876</v>
      </c>
      <c r="J4209" s="3" t="str">
        <f>HYPERLINK("https://www.boe.es/gazeta/dias/1816/05/07/pdfs/GMD-1816-58.pdf#page=8","Abrir facsímil")</f>
        <v>Abrir facsímil</v>
      </c>
      <c r="K4209" s="3" t="s">
        <v>31</v>
      </c>
    </row>
    <row r="4210" spans="1:11" ht="42" customHeight="1">
      <c r="A4210" s="2" t="s">
        <v>9877</v>
      </c>
      <c r="B4210" s="2" t="s">
        <v>9878</v>
      </c>
      <c r="C4210" s="2" t="s">
        <v>387</v>
      </c>
      <c r="D4210" s="2" t="s">
        <v>18</v>
      </c>
      <c r="E4210" s="5">
        <v>-30552</v>
      </c>
      <c r="F4210" s="3" t="s">
        <v>1842</v>
      </c>
      <c r="G4210" s="3" t="s">
        <v>42</v>
      </c>
      <c r="H4210" s="2" t="s">
        <v>21</v>
      </c>
      <c r="I4210" s="2" t="s">
        <v>9879</v>
      </c>
      <c r="J4210" s="3" t="str">
        <f>HYPERLINK("https://www.boe.es/gazeta/dias/1816/05/07/pdfs/GMD-1816-58.pdf#page=8","Abrir facsímil")</f>
        <v>Abrir facsímil</v>
      </c>
      <c r="K4210" s="3" t="s">
        <v>23</v>
      </c>
    </row>
    <row r="4211" spans="1:11" ht="42" customHeight="1">
      <c r="A4211" s="2" t="s">
        <v>9880</v>
      </c>
      <c r="B4211" s="2" t="s">
        <v>9881</v>
      </c>
      <c r="C4211" s="2" t="s">
        <v>111</v>
      </c>
      <c r="D4211" s="2" t="s">
        <v>112</v>
      </c>
      <c r="E4211" s="5">
        <v>-30375</v>
      </c>
      <c r="F4211" s="3" t="s">
        <v>404</v>
      </c>
      <c r="G4211" s="3" t="s">
        <v>1276</v>
      </c>
      <c r="H4211" s="2" t="s">
        <v>21</v>
      </c>
      <c r="I4211" s="2" t="s">
        <v>9882</v>
      </c>
      <c r="J4211" s="3" t="str">
        <f>HYPERLINK("https://www.boe.es/gazeta/dias/1816/10/31/pdfs/GMD-1816-136.pdf#page=5","Abrir facsímil")</f>
        <v>Abrir facsímil</v>
      </c>
      <c r="K4211" s="3" t="s">
        <v>23</v>
      </c>
    </row>
    <row r="4212" spans="1:11" ht="42" customHeight="1">
      <c r="A4212" s="2" t="s">
        <v>9883</v>
      </c>
      <c r="B4212" s="2" t="s">
        <v>9884</v>
      </c>
      <c r="C4212" s="2" t="s">
        <v>111</v>
      </c>
      <c r="D4212" s="2" t="s">
        <v>112</v>
      </c>
      <c r="E4212" s="5">
        <v>-30333</v>
      </c>
      <c r="F4212" s="3" t="s">
        <v>1005</v>
      </c>
      <c r="G4212" s="3" t="s">
        <v>1006</v>
      </c>
      <c r="H4212" s="2" t="s">
        <v>21</v>
      </c>
      <c r="I4212" s="2" t="s">
        <v>9885</v>
      </c>
      <c r="J4212" s="3" t="str">
        <f>HYPERLINK("https://www.boe.es/gazeta/dias/1816/12/12/pdfs/GMD-1816-154.pdf#page=5","Abrir facsímil")</f>
        <v>Abrir facsímil</v>
      </c>
      <c r="K4212" s="3" t="s">
        <v>23</v>
      </c>
    </row>
    <row r="4213" spans="1:11" ht="42" customHeight="1">
      <c r="A4213" s="2" t="s">
        <v>9886</v>
      </c>
      <c r="B4213" s="2" t="s">
        <v>9887</v>
      </c>
      <c r="C4213" s="2" t="s">
        <v>111</v>
      </c>
      <c r="D4213" s="2" t="s">
        <v>112</v>
      </c>
      <c r="E4213" s="5">
        <v>-30671</v>
      </c>
      <c r="F4213" s="3" t="s">
        <v>2049</v>
      </c>
      <c r="G4213" s="3" t="s">
        <v>5367</v>
      </c>
      <c r="H4213" s="2" t="s">
        <v>21</v>
      </c>
      <c r="I4213" s="2" t="s">
        <v>9888</v>
      </c>
      <c r="J4213" s="3" t="str">
        <f>HYPERLINK("https://www.boe.es/gazeta/dias/1816/01/09/pdfs/GMD-1816-4.pdf#page=8","Abrir facsímil")</f>
        <v>Abrir facsímil</v>
      </c>
      <c r="K4213" s="3" t="s">
        <v>23</v>
      </c>
    </row>
    <row r="4214" spans="1:11" ht="42" customHeight="1">
      <c r="A4214" s="2" t="s">
        <v>9889</v>
      </c>
      <c r="B4214" s="2" t="s">
        <v>9890</v>
      </c>
      <c r="C4214" s="2" t="s">
        <v>111</v>
      </c>
      <c r="D4214" s="2" t="s">
        <v>112</v>
      </c>
      <c r="E4214" s="5">
        <v>-30671</v>
      </c>
      <c r="F4214" s="3" t="s">
        <v>2049</v>
      </c>
      <c r="G4214" s="3" t="s">
        <v>5367</v>
      </c>
      <c r="H4214" s="2" t="s">
        <v>21</v>
      </c>
      <c r="I4214" s="2" t="s">
        <v>9891</v>
      </c>
      <c r="J4214" s="3" t="str">
        <f>HYPERLINK("https://www.boe.es/gazeta/dias/1816/01/09/pdfs/GMD-1816-4.pdf#page=8","Abrir facsímil")</f>
        <v>Abrir facsímil</v>
      </c>
      <c r="K4214" s="3" t="s">
        <v>23</v>
      </c>
    </row>
    <row r="4215" spans="1:11" ht="42" customHeight="1">
      <c r="A4215" s="2" t="s">
        <v>9892</v>
      </c>
      <c r="B4215" s="2" t="s">
        <v>9893</v>
      </c>
      <c r="C4215" s="2" t="s">
        <v>34</v>
      </c>
      <c r="D4215" s="2" t="s">
        <v>35</v>
      </c>
      <c r="E4215" s="5">
        <v>-30391</v>
      </c>
      <c r="F4215" s="3" t="s">
        <v>482</v>
      </c>
      <c r="G4215" s="3" t="s">
        <v>28</v>
      </c>
      <c r="H4215" s="2" t="s">
        <v>21</v>
      </c>
      <c r="I4215" s="2" t="s">
        <v>9894</v>
      </c>
      <c r="J4215" s="3" t="str">
        <f>HYPERLINK("https://www.boe.es/gazeta/dias/1816/10/15/pdfs/GMD-1816-129.pdf#page=6","Abrir facsímil")</f>
        <v>Abrir facsímil</v>
      </c>
      <c r="K4215" s="3" t="s">
        <v>23</v>
      </c>
    </row>
    <row r="4216" spans="1:11" ht="42" customHeight="1">
      <c r="A4216" s="2" t="s">
        <v>9895</v>
      </c>
      <c r="B4216" s="2" t="s">
        <v>9896</v>
      </c>
      <c r="C4216" s="2" t="s">
        <v>111</v>
      </c>
      <c r="D4216" s="2" t="s">
        <v>112</v>
      </c>
      <c r="E4216" s="5">
        <v>-30597</v>
      </c>
      <c r="F4216" s="3" t="s">
        <v>696</v>
      </c>
      <c r="G4216" s="3" t="s">
        <v>5227</v>
      </c>
      <c r="H4216" s="2" t="s">
        <v>21</v>
      </c>
      <c r="I4216" s="2" t="s">
        <v>9897</v>
      </c>
      <c r="J4216" s="3" t="str">
        <f>HYPERLINK("https://www.boe.es/gazeta/dias/1816/03/23/pdfs/GMD-1816-39.pdf#page=8","Abrir facsímil")</f>
        <v>Abrir facsímil</v>
      </c>
      <c r="K4216" s="3" t="s">
        <v>23</v>
      </c>
    </row>
    <row r="4217" spans="1:11" ht="42" customHeight="1">
      <c r="A4217" s="2" t="s">
        <v>9898</v>
      </c>
      <c r="B4217" s="2" t="s">
        <v>9898</v>
      </c>
      <c r="C4217" s="2" t="s">
        <v>34</v>
      </c>
      <c r="D4217" s="2" t="s">
        <v>35</v>
      </c>
      <c r="E4217" s="5">
        <v>-30510</v>
      </c>
      <c r="F4217" s="3" t="s">
        <v>450</v>
      </c>
      <c r="G4217" s="3" t="s">
        <v>270</v>
      </c>
      <c r="H4217" s="2" t="s">
        <v>21</v>
      </c>
      <c r="I4217" s="2" t="s">
        <v>9899</v>
      </c>
      <c r="J4217" s="3" t="str">
        <f>HYPERLINK("https://www.boe.es/gazeta/dias/1816/06/18/pdfs/GMD-1816-76.pdf#page=2","Abrir facsímil")</f>
        <v>Abrir facsímil</v>
      </c>
      <c r="K4217" s="3" t="s">
        <v>23</v>
      </c>
    </row>
    <row r="4218" spans="1:11" ht="42" customHeight="1">
      <c r="A4218" s="2" t="s">
        <v>9900</v>
      </c>
      <c r="B4218" s="2" t="s">
        <v>9901</v>
      </c>
      <c r="C4218" s="2" t="s">
        <v>111</v>
      </c>
      <c r="D4218" s="2" t="s">
        <v>56</v>
      </c>
      <c r="E4218" s="5">
        <v>-30393</v>
      </c>
      <c r="F4218" s="3" t="s">
        <v>202</v>
      </c>
      <c r="G4218" s="3" t="s">
        <v>645</v>
      </c>
      <c r="H4218" s="2" t="s">
        <v>21</v>
      </c>
      <c r="I4218" s="2" t="s">
        <v>9902</v>
      </c>
      <c r="J4218" s="3" t="str">
        <f>HYPERLINK("https://www.boe.es/gazeta/dias/1816/10/13/pdfs/GMD-1816-128E.pdf#page=4","Abrir facsímil")</f>
        <v>Abrir facsímil</v>
      </c>
      <c r="K4218" s="3" t="s">
        <v>23</v>
      </c>
    </row>
    <row r="4219" spans="1:11" ht="42" customHeight="1">
      <c r="A4219" s="2" t="s">
        <v>9903</v>
      </c>
      <c r="B4219" s="2" t="s">
        <v>9904</v>
      </c>
      <c r="C4219" s="2" t="s">
        <v>34</v>
      </c>
      <c r="D4219" s="2" t="s">
        <v>35</v>
      </c>
      <c r="E4219" s="5">
        <v>-30618</v>
      </c>
      <c r="F4219" s="3" t="s">
        <v>207</v>
      </c>
      <c r="G4219" s="3" t="s">
        <v>42</v>
      </c>
      <c r="H4219" s="2" t="s">
        <v>21</v>
      </c>
      <c r="I4219" s="2" t="s">
        <v>9905</v>
      </c>
      <c r="J4219" s="3" t="str">
        <f>HYPERLINK("https://www.boe.es/gazeta/dias/1816/03/02/pdfs/GMD-1816-29.pdf#page=8","Abrir facsímil")</f>
        <v>Abrir facsímil</v>
      </c>
      <c r="K4219" s="3" t="s">
        <v>23</v>
      </c>
    </row>
    <row r="4220" spans="1:11" ht="42" customHeight="1">
      <c r="A4220" s="2" t="s">
        <v>9906</v>
      </c>
      <c r="B4220" s="2" t="s">
        <v>9907</v>
      </c>
      <c r="C4220" s="2" t="s">
        <v>387</v>
      </c>
      <c r="D4220" s="2" t="s">
        <v>18</v>
      </c>
      <c r="E4220" s="5">
        <v>-30464</v>
      </c>
      <c r="F4220" s="3" t="s">
        <v>215</v>
      </c>
      <c r="G4220" s="3" t="s">
        <v>175</v>
      </c>
      <c r="H4220" s="2" t="s">
        <v>29</v>
      </c>
      <c r="I4220" s="2" t="s">
        <v>9908</v>
      </c>
      <c r="J4220" s="3" t="str">
        <f>HYPERLINK("https://www.boe.es/gazeta/dias/1816/08/03/pdfs/GMD-1816-96.pdf#page=11","Abrir facsímil")</f>
        <v>Abrir facsímil</v>
      </c>
      <c r="K4220" s="3" t="s">
        <v>31</v>
      </c>
    </row>
    <row r="4221" spans="1:11" ht="42" customHeight="1">
      <c r="A4221" s="2" t="s">
        <v>9909</v>
      </c>
      <c r="B4221" s="2" t="s">
        <v>9910</v>
      </c>
      <c r="C4221" s="2" t="s">
        <v>111</v>
      </c>
      <c r="D4221" s="2" t="s">
        <v>112</v>
      </c>
      <c r="E4221" s="5">
        <v>-30454</v>
      </c>
      <c r="F4221" s="3" t="s">
        <v>188</v>
      </c>
      <c r="G4221" s="3" t="s">
        <v>52</v>
      </c>
      <c r="H4221" s="2" t="s">
        <v>29</v>
      </c>
      <c r="I4221" s="2" t="s">
        <v>9911</v>
      </c>
      <c r="J4221" s="3" t="str">
        <f>HYPERLINK("https://www.boe.es/gazeta/dias/1816/08/13/pdfs/GMD-1816-100.pdf#page=12","Abrir facsímil")</f>
        <v>Abrir facsímil</v>
      </c>
      <c r="K4221" s="3" t="s">
        <v>31</v>
      </c>
    </row>
    <row r="4222" spans="1:11" ht="42" customHeight="1">
      <c r="A4222" s="2" t="s">
        <v>9912</v>
      </c>
      <c r="B4222" s="2" t="s">
        <v>9913</v>
      </c>
      <c r="C4222" s="2" t="s">
        <v>26</v>
      </c>
      <c r="D4222" s="2" t="s">
        <v>18</v>
      </c>
      <c r="E4222" s="5">
        <v>-30580</v>
      </c>
      <c r="F4222" s="3" t="s">
        <v>107</v>
      </c>
      <c r="G4222" s="3" t="s">
        <v>72</v>
      </c>
      <c r="H4222" s="2" t="s">
        <v>29</v>
      </c>
      <c r="I4222" s="2" t="s">
        <v>9914</v>
      </c>
      <c r="J4222" s="3" t="str">
        <f>HYPERLINK("https://www.boe.es/gazeta/dias/1816/04/09/pdfs/GMD-1816-46.pdf#page=7","Abrir facsímil")</f>
        <v>Abrir facsímil</v>
      </c>
      <c r="K4222" s="3" t="s">
        <v>31</v>
      </c>
    </row>
    <row r="4223" spans="1:11" ht="42" customHeight="1">
      <c r="A4223" s="2" t="s">
        <v>9915</v>
      </c>
      <c r="B4223" s="2" t="s">
        <v>9916</v>
      </c>
      <c r="C4223" s="2" t="s">
        <v>26</v>
      </c>
      <c r="D4223" s="2" t="s">
        <v>18</v>
      </c>
      <c r="E4223" s="5">
        <v>-30424</v>
      </c>
      <c r="F4223" s="3" t="s">
        <v>142</v>
      </c>
      <c r="G4223" s="3" t="s">
        <v>4386</v>
      </c>
      <c r="H4223" s="2" t="s">
        <v>21</v>
      </c>
      <c r="I4223" s="2" t="s">
        <v>9917</v>
      </c>
      <c r="J4223" s="3" t="str">
        <f>HYPERLINK("https://www.boe.es/gazeta/dias/1816/09/12/pdfs/GMD-1816-113.pdf#page=5","Abrir facsímil")</f>
        <v>Abrir facsímil</v>
      </c>
      <c r="K4223" s="3" t="s">
        <v>23</v>
      </c>
    </row>
    <row r="4224" spans="1:11" ht="42" customHeight="1">
      <c r="A4224" s="2" t="s">
        <v>9918</v>
      </c>
      <c r="B4224" s="2" t="s">
        <v>9919</v>
      </c>
      <c r="C4224" s="2" t="s">
        <v>26</v>
      </c>
      <c r="D4224" s="2" t="s">
        <v>18</v>
      </c>
      <c r="E4224" s="5">
        <v>-30424</v>
      </c>
      <c r="F4224" s="3" t="s">
        <v>142</v>
      </c>
      <c r="G4224" s="3" t="s">
        <v>28</v>
      </c>
      <c r="H4224" s="2" t="s">
        <v>29</v>
      </c>
      <c r="I4224" s="2" t="s">
        <v>9920</v>
      </c>
      <c r="J4224" s="3" t="str">
        <f>HYPERLINK("https://www.boe.es/gazeta/dias/1816/09/12/pdfs/GMD-1816-113.pdf#page=6","Abrir facsímil")</f>
        <v>Abrir facsímil</v>
      </c>
      <c r="K4224" s="3" t="s">
        <v>31</v>
      </c>
    </row>
    <row r="4225" spans="1:11" ht="42" customHeight="1">
      <c r="A4225" s="2" t="s">
        <v>9921</v>
      </c>
      <c r="B4225" s="2" t="s">
        <v>9922</v>
      </c>
      <c r="C4225" s="2" t="s">
        <v>111</v>
      </c>
      <c r="D4225" s="2" t="s">
        <v>112</v>
      </c>
      <c r="E4225" s="5">
        <v>-30489</v>
      </c>
      <c r="F4225" s="3" t="s">
        <v>1120</v>
      </c>
      <c r="G4225" s="3" t="s">
        <v>103</v>
      </c>
      <c r="H4225" s="2" t="s">
        <v>21</v>
      </c>
      <c r="I4225" s="2" t="s">
        <v>9923</v>
      </c>
      <c r="J4225" s="3" t="str">
        <f>HYPERLINK("https://www.boe.es/gazeta/dias/1816/07/09/pdfs/GMD-1816-85.pdf#page=4","Abrir facsímil")</f>
        <v>Abrir facsímil</v>
      </c>
      <c r="K4225" s="3" t="s">
        <v>23</v>
      </c>
    </row>
    <row r="4226" spans="1:11" ht="42" customHeight="1">
      <c r="A4226" s="2" t="s">
        <v>9924</v>
      </c>
      <c r="B4226" s="2" t="s">
        <v>9925</v>
      </c>
      <c r="C4226" s="2" t="s">
        <v>67</v>
      </c>
      <c r="D4226" s="2" t="s">
        <v>18</v>
      </c>
      <c r="E4226" s="5">
        <v>-30412</v>
      </c>
      <c r="F4226" s="3" t="s">
        <v>388</v>
      </c>
      <c r="G4226" s="3" t="s">
        <v>389</v>
      </c>
      <c r="H4226" s="2" t="s">
        <v>21</v>
      </c>
      <c r="I4226" s="2" t="s">
        <v>9926</v>
      </c>
      <c r="J4226" s="3" t="str">
        <f>HYPERLINK("https://www.boe.es/gazeta/dias/1816/09/24/pdfs/GMD-1816-118.pdf#page=4","Abrir facsímil")</f>
        <v>Abrir facsímil</v>
      </c>
      <c r="K4226" s="3" t="s">
        <v>23</v>
      </c>
    </row>
    <row r="4227" spans="1:11" ht="42" customHeight="1">
      <c r="A4227" s="2" t="s">
        <v>9927</v>
      </c>
      <c r="B4227" s="2" t="s">
        <v>9927</v>
      </c>
      <c r="C4227" s="2" t="s">
        <v>34</v>
      </c>
      <c r="D4227" s="2" t="s">
        <v>35</v>
      </c>
      <c r="E4227" s="5">
        <v>-30573</v>
      </c>
      <c r="F4227" s="3" t="s">
        <v>840</v>
      </c>
      <c r="G4227" s="3" t="s">
        <v>103</v>
      </c>
      <c r="H4227" s="2" t="s">
        <v>21</v>
      </c>
      <c r="I4227" s="2" t="s">
        <v>9928</v>
      </c>
      <c r="J4227" s="3" t="str">
        <f>HYPERLINK("https://www.boe.es/gazeta/dias/1816/04/16/pdfs/GMD-1816-49.pdf#page=4","Abrir facsímil")</f>
        <v>Abrir facsímil</v>
      </c>
      <c r="K4227" s="3" t="s">
        <v>23</v>
      </c>
    </row>
    <row r="4228" spans="1:11" ht="42" customHeight="1">
      <c r="A4228" s="2" t="s">
        <v>9929</v>
      </c>
      <c r="B4228" s="2" t="s">
        <v>9930</v>
      </c>
      <c r="C4228" s="2" t="s">
        <v>26</v>
      </c>
      <c r="D4228" s="2" t="s">
        <v>18</v>
      </c>
      <c r="E4228" s="5">
        <v>-30461</v>
      </c>
      <c r="F4228" s="3" t="s">
        <v>912</v>
      </c>
      <c r="G4228" s="3" t="s">
        <v>1375</v>
      </c>
      <c r="H4228" s="2" t="s">
        <v>21</v>
      </c>
      <c r="I4228" s="2" t="s">
        <v>9931</v>
      </c>
      <c r="J4228" s="3" t="str">
        <f>HYPERLINK("https://www.boe.es/gazeta/dias/1816/08/06/pdfs/GMD-1816-97.pdf#page=6","Abrir facsímil")</f>
        <v>Abrir facsímil</v>
      </c>
      <c r="K4228" s="3" t="s">
        <v>23</v>
      </c>
    </row>
    <row r="4229" spans="1:11" ht="42" customHeight="1">
      <c r="A4229" s="2" t="s">
        <v>9932</v>
      </c>
      <c r="B4229" s="2" t="s">
        <v>9933</v>
      </c>
      <c r="C4229" s="2" t="s">
        <v>111</v>
      </c>
      <c r="D4229" s="2" t="s">
        <v>112</v>
      </c>
      <c r="E4229" s="5">
        <v>-30541</v>
      </c>
      <c r="F4229" s="3" t="s">
        <v>96</v>
      </c>
      <c r="G4229" s="3" t="s">
        <v>42</v>
      </c>
      <c r="H4229" s="2" t="s">
        <v>21</v>
      </c>
      <c r="I4229" s="2" t="s">
        <v>9934</v>
      </c>
      <c r="J4229" s="3" t="str">
        <f>HYPERLINK("https://www.boe.es/gazeta/dias/1816/05/18/pdfs/GMD-1816-63.pdf#page=8","Abrir facsímil")</f>
        <v>Abrir facsímil</v>
      </c>
      <c r="K4229" s="3" t="s">
        <v>23</v>
      </c>
    </row>
    <row r="4230" spans="1:11" ht="42" customHeight="1">
      <c r="A4230" s="2" t="s">
        <v>9935</v>
      </c>
      <c r="B4230" s="2" t="s">
        <v>9936</v>
      </c>
      <c r="C4230" s="2" t="s">
        <v>111</v>
      </c>
      <c r="D4230" s="2" t="s">
        <v>112</v>
      </c>
      <c r="E4230" s="5">
        <v>-30573</v>
      </c>
      <c r="F4230" s="3" t="s">
        <v>840</v>
      </c>
      <c r="G4230" s="3" t="s">
        <v>270</v>
      </c>
      <c r="H4230" s="2" t="s">
        <v>21</v>
      </c>
      <c r="I4230" s="2" t="s">
        <v>9937</v>
      </c>
      <c r="J4230" s="3" t="str">
        <f>HYPERLINK("https://www.boe.es/gazeta/dias/1816/04/16/pdfs/GMD-1816-49.pdf#page=2","Abrir facsímil")</f>
        <v>Abrir facsímil</v>
      </c>
      <c r="K4230" s="3" t="s">
        <v>23</v>
      </c>
    </row>
    <row r="4231" spans="1:11" ht="42" customHeight="1">
      <c r="A4231" s="2" t="s">
        <v>9938</v>
      </c>
      <c r="B4231" s="2" t="s">
        <v>9939</v>
      </c>
      <c r="C4231" s="2" t="s">
        <v>26</v>
      </c>
      <c r="D4231" s="2" t="s">
        <v>18</v>
      </c>
      <c r="E4231" s="5">
        <v>-30354</v>
      </c>
      <c r="F4231" s="3" t="s">
        <v>68</v>
      </c>
      <c r="G4231" s="3" t="s">
        <v>42</v>
      </c>
      <c r="H4231" s="2" t="s">
        <v>21</v>
      </c>
      <c r="I4231" s="2" t="s">
        <v>9940</v>
      </c>
      <c r="J4231" s="3" t="str">
        <f>HYPERLINK("https://www.boe.es/gazeta/dias/1816/11/21/pdfs/GMD-1816-145.pdf#page=8","Abrir facsímil")</f>
        <v>Abrir facsímil</v>
      </c>
      <c r="K4231" s="3" t="s">
        <v>23</v>
      </c>
    </row>
    <row r="4232" spans="1:11" ht="42" customHeight="1">
      <c r="A4232" s="2" t="s">
        <v>9941</v>
      </c>
      <c r="B4232" s="2" t="s">
        <v>9942</v>
      </c>
      <c r="C4232" s="2" t="s">
        <v>26</v>
      </c>
      <c r="D4232" s="2" t="s">
        <v>18</v>
      </c>
      <c r="E4232" s="5">
        <v>-30401</v>
      </c>
      <c r="F4232" s="3" t="s">
        <v>652</v>
      </c>
      <c r="G4232" s="3" t="s">
        <v>47</v>
      </c>
      <c r="H4232" s="2" t="s">
        <v>21</v>
      </c>
      <c r="I4232" s="2" t="s">
        <v>9943</v>
      </c>
      <c r="J4232" s="3" t="str">
        <f>HYPERLINK("https://www.boe.es/gazeta/dias/1816/10/05/pdfs/GMD-1816-123.pdf#page=5","Abrir facsímil")</f>
        <v>Abrir facsímil</v>
      </c>
      <c r="K4232" s="3" t="s">
        <v>23</v>
      </c>
    </row>
    <row r="4233" spans="1:11" ht="42" customHeight="1">
      <c r="A4233" s="2" t="s">
        <v>9944</v>
      </c>
      <c r="B4233" s="2" t="s">
        <v>9945</v>
      </c>
      <c r="C4233" s="2" t="s">
        <v>26</v>
      </c>
      <c r="D4233" s="2" t="s">
        <v>56</v>
      </c>
      <c r="E4233" s="5">
        <v>-30393</v>
      </c>
      <c r="F4233" s="3" t="s">
        <v>202</v>
      </c>
      <c r="G4233" s="3" t="s">
        <v>203</v>
      </c>
      <c r="H4233" s="2" t="s">
        <v>21</v>
      </c>
      <c r="I4233" s="2" t="s">
        <v>9946</v>
      </c>
      <c r="J4233" s="3" t="str">
        <f>HYPERLINK("https://www.boe.es/gazeta/dias/1816/10/13/pdfs/GMD-1816-128E.pdf#page=7","Abrir facsímil")</f>
        <v>Abrir facsímil</v>
      </c>
      <c r="K4233" s="3" t="s">
        <v>23</v>
      </c>
    </row>
    <row r="4234" spans="1:11" ht="42" customHeight="1">
      <c r="A4234" s="2" t="s">
        <v>9947</v>
      </c>
      <c r="B4234" s="2" t="s">
        <v>9948</v>
      </c>
      <c r="C4234" s="2" t="s">
        <v>26</v>
      </c>
      <c r="D4234" s="2" t="s">
        <v>18</v>
      </c>
      <c r="E4234" s="5">
        <v>-30461</v>
      </c>
      <c r="F4234" s="3" t="s">
        <v>912</v>
      </c>
      <c r="G4234" s="3" t="s">
        <v>1375</v>
      </c>
      <c r="H4234" s="2" t="s">
        <v>21</v>
      </c>
      <c r="I4234" s="2" t="s">
        <v>9949</v>
      </c>
      <c r="J4234" s="3" t="str">
        <f>HYPERLINK("https://www.boe.es/gazeta/dias/1816/08/06/pdfs/GMD-1816-97.pdf#page=6","Abrir facsímil")</f>
        <v>Abrir facsímil</v>
      </c>
      <c r="K4234" s="3" t="s">
        <v>23</v>
      </c>
    </row>
    <row r="4235" spans="1:11" ht="42" customHeight="1">
      <c r="A4235" s="2" t="s">
        <v>9950</v>
      </c>
      <c r="B4235" s="2" t="s">
        <v>9951</v>
      </c>
      <c r="C4235" s="2" t="s">
        <v>111</v>
      </c>
      <c r="D4235" s="2" t="s">
        <v>112</v>
      </c>
      <c r="E4235" s="5">
        <v>-30396</v>
      </c>
      <c r="F4235" s="3" t="s">
        <v>1623</v>
      </c>
      <c r="G4235" s="3" t="s">
        <v>52</v>
      </c>
      <c r="H4235" s="2" t="s">
        <v>21</v>
      </c>
      <c r="I4235" s="2" t="s">
        <v>9952</v>
      </c>
      <c r="J4235" s="3" t="str">
        <f>HYPERLINK("https://www.boe.es/gazeta/dias/1816/10/10/pdfs/GMD-1816-126.pdf#page=12","Abrir facsímil")</f>
        <v>Abrir facsímil</v>
      </c>
      <c r="K4235" s="3" t="s">
        <v>23</v>
      </c>
    </row>
    <row r="4236" spans="1:11" ht="42" customHeight="1">
      <c r="A4236" s="2" t="s">
        <v>9953</v>
      </c>
      <c r="B4236" s="2" t="s">
        <v>9954</v>
      </c>
      <c r="C4236" s="2" t="s">
        <v>34</v>
      </c>
      <c r="D4236" s="2" t="s">
        <v>35</v>
      </c>
      <c r="E4236" s="5">
        <v>-30580</v>
      </c>
      <c r="F4236" s="3" t="s">
        <v>107</v>
      </c>
      <c r="G4236" s="3" t="s">
        <v>28</v>
      </c>
      <c r="H4236" s="2" t="s">
        <v>21</v>
      </c>
      <c r="I4236" s="2" t="s">
        <v>9955</v>
      </c>
      <c r="J4236" s="3" t="str">
        <f>HYPERLINK("https://www.boe.es/gazeta/dias/1816/04/09/pdfs/GMD-1816-46.pdf#page=6","Abrir facsímil")</f>
        <v>Abrir facsímil</v>
      </c>
      <c r="K4236" s="3" t="s">
        <v>23</v>
      </c>
    </row>
    <row r="4237" spans="1:11" ht="42" customHeight="1">
      <c r="A4237" s="2" t="s">
        <v>9956</v>
      </c>
      <c r="B4237" s="2" t="s">
        <v>9957</v>
      </c>
      <c r="C4237" s="2" t="s">
        <v>17</v>
      </c>
      <c r="D4237" s="2" t="s">
        <v>18</v>
      </c>
      <c r="E4237" s="5">
        <v>-30499</v>
      </c>
      <c r="F4237" s="3" t="s">
        <v>971</v>
      </c>
      <c r="G4237" s="3" t="s">
        <v>92</v>
      </c>
      <c r="H4237" s="2" t="s">
        <v>21</v>
      </c>
      <c r="I4237" s="2" t="s">
        <v>9958</v>
      </c>
      <c r="J4237" s="3" t="str">
        <f>HYPERLINK("https://www.boe.es/gazeta/dias/1816/06/29/pdfs/GMD-1816-81.pdf#page=9","Abrir facsímil")</f>
        <v>Abrir facsímil</v>
      </c>
      <c r="K4237" s="3" t="s">
        <v>23</v>
      </c>
    </row>
    <row r="4238" spans="1:11" ht="42" customHeight="1">
      <c r="A4238" s="2" t="s">
        <v>9959</v>
      </c>
      <c r="B4238" s="2" t="s">
        <v>9960</v>
      </c>
      <c r="C4238" s="2" t="s">
        <v>41</v>
      </c>
      <c r="D4238" s="2" t="s">
        <v>18</v>
      </c>
      <c r="E4238" s="5">
        <v>-30403</v>
      </c>
      <c r="F4238" s="3" t="s">
        <v>1264</v>
      </c>
      <c r="G4238" s="3" t="s">
        <v>28</v>
      </c>
      <c r="H4238" s="2" t="s">
        <v>21</v>
      </c>
      <c r="I4238" s="2" t="s">
        <v>9961</v>
      </c>
      <c r="J4238" s="3" t="str">
        <f>HYPERLINK("https://www.boe.es/gazeta/dias/1816/10/03/pdfs/GMD-1816-122.pdf#page=6","Abrir facsímil")</f>
        <v>Abrir facsímil</v>
      </c>
      <c r="K4238" s="3" t="s">
        <v>23</v>
      </c>
    </row>
    <row r="4239" spans="1:11" ht="42" customHeight="1">
      <c r="A4239" s="2" t="s">
        <v>9962</v>
      </c>
      <c r="B4239" s="2" t="s">
        <v>9963</v>
      </c>
      <c r="C4239" s="2" t="s">
        <v>34</v>
      </c>
      <c r="D4239" s="2" t="s">
        <v>35</v>
      </c>
      <c r="E4239" s="5">
        <v>-30410</v>
      </c>
      <c r="F4239" s="3" t="s">
        <v>1259</v>
      </c>
      <c r="G4239" s="3" t="s">
        <v>47</v>
      </c>
      <c r="H4239" s="2" t="s">
        <v>21</v>
      </c>
      <c r="I4239" s="2" t="s">
        <v>9964</v>
      </c>
      <c r="J4239" s="3" t="str">
        <f>HYPERLINK("https://www.boe.es/gazeta/dias/1816/09/26/pdfs/GMD-1816-119.pdf#page=5","Abrir facsímil")</f>
        <v>Abrir facsímil</v>
      </c>
      <c r="K4239" s="3" t="s">
        <v>23</v>
      </c>
    </row>
    <row r="4240" spans="1:11" ht="42" customHeight="1">
      <c r="A4240" s="2" t="s">
        <v>9965</v>
      </c>
      <c r="B4240" s="2" t="s">
        <v>9966</v>
      </c>
      <c r="C4240" s="2" t="s">
        <v>26</v>
      </c>
      <c r="D4240" s="2" t="s">
        <v>18</v>
      </c>
      <c r="E4240" s="5">
        <v>-30431</v>
      </c>
      <c r="F4240" s="3" t="s">
        <v>756</v>
      </c>
      <c r="G4240" s="3" t="s">
        <v>72</v>
      </c>
      <c r="H4240" s="2" t="s">
        <v>21</v>
      </c>
      <c r="I4240" s="2" t="s">
        <v>9967</v>
      </c>
      <c r="J4240" s="3" t="str">
        <f>HYPERLINK("https://www.boe.es/gazeta/dias/1816/09/05/pdfs/GMD-1816-110.pdf#page=7","Abrir facsímil")</f>
        <v>Abrir facsímil</v>
      </c>
      <c r="K4240" s="3" t="s">
        <v>23</v>
      </c>
    </row>
    <row r="4241" spans="1:11" ht="42" customHeight="1">
      <c r="A4241" s="2" t="s">
        <v>9968</v>
      </c>
      <c r="B4241" s="2" t="s">
        <v>9969</v>
      </c>
      <c r="C4241" s="2" t="s">
        <v>26</v>
      </c>
      <c r="D4241" s="2" t="s">
        <v>18</v>
      </c>
      <c r="E4241" s="5">
        <v>-30366</v>
      </c>
      <c r="F4241" s="3" t="s">
        <v>179</v>
      </c>
      <c r="G4241" s="3" t="s">
        <v>28</v>
      </c>
      <c r="H4241" s="2" t="s">
        <v>21</v>
      </c>
      <c r="I4241" s="2" t="s">
        <v>9970</v>
      </c>
      <c r="J4241" s="3" t="str">
        <f>HYPERLINK("https://www.boe.es/gazeta/dias/1816/11/09/pdfs/GMD-1816-140.pdf#page=6","Abrir facsímil")</f>
        <v>Abrir facsímil</v>
      </c>
      <c r="K4241" s="3" t="s">
        <v>23</v>
      </c>
    </row>
    <row r="4242" spans="1:11" ht="42" customHeight="1">
      <c r="A4242" s="2" t="s">
        <v>9971</v>
      </c>
      <c r="B4242" s="2" t="s">
        <v>9971</v>
      </c>
      <c r="C4242" s="2" t="s">
        <v>34</v>
      </c>
      <c r="D4242" s="2" t="s">
        <v>35</v>
      </c>
      <c r="E4242" s="5">
        <v>-30643</v>
      </c>
      <c r="F4242" s="3" t="s">
        <v>620</v>
      </c>
      <c r="G4242" s="3" t="s">
        <v>58</v>
      </c>
      <c r="H4242" s="2" t="s">
        <v>21</v>
      </c>
      <c r="I4242" s="2" t="s">
        <v>9972</v>
      </c>
      <c r="J4242" s="3" t="str">
        <f>HYPERLINK("https://www.boe.es/gazeta/dias/1816/02/06/pdfs/GMD-1816-17.pdf#page=1","Abrir facsímil")</f>
        <v>Abrir facsímil</v>
      </c>
      <c r="K4242" s="3" t="s">
        <v>23</v>
      </c>
    </row>
    <row r="4243" spans="1:11" ht="42" customHeight="1">
      <c r="A4243" s="2" t="s">
        <v>9973</v>
      </c>
      <c r="B4243" s="2" t="s">
        <v>9974</v>
      </c>
      <c r="C4243" s="2" t="s">
        <v>111</v>
      </c>
      <c r="D4243" s="2" t="s">
        <v>112</v>
      </c>
      <c r="E4243" s="5">
        <v>-30634</v>
      </c>
      <c r="F4243" s="3" t="s">
        <v>1104</v>
      </c>
      <c r="G4243" s="3" t="s">
        <v>2234</v>
      </c>
      <c r="H4243" s="2" t="s">
        <v>21</v>
      </c>
      <c r="I4243" s="2" t="s">
        <v>9975</v>
      </c>
      <c r="J4243" s="3" t="str">
        <f>HYPERLINK("https://www.boe.es/gazeta/dias/1816/02/15/pdfs/GMD-1816-21.pdf#page=8","Abrir facsímil")</f>
        <v>Abrir facsímil</v>
      </c>
      <c r="K4243" s="3" t="s">
        <v>23</v>
      </c>
    </row>
    <row r="4244" spans="1:11" ht="42" customHeight="1">
      <c r="A4244" s="2" t="s">
        <v>9976</v>
      </c>
      <c r="B4244" s="2" t="s">
        <v>9977</v>
      </c>
      <c r="C4244" s="2" t="s">
        <v>26</v>
      </c>
      <c r="D4244" s="2" t="s">
        <v>56</v>
      </c>
      <c r="E4244" s="5">
        <v>-30393</v>
      </c>
      <c r="F4244" s="3" t="s">
        <v>202</v>
      </c>
      <c r="G4244" s="3" t="s">
        <v>834</v>
      </c>
      <c r="H4244" s="2" t="s">
        <v>21</v>
      </c>
      <c r="I4244" s="2" t="s">
        <v>9978</v>
      </c>
      <c r="J4244" s="3" t="str">
        <f>HYPERLINK("https://www.boe.es/gazeta/dias/1816/10/13/pdfs/GMD-1816-128E.pdf#page=6","Abrir facsímil")</f>
        <v>Abrir facsímil</v>
      </c>
      <c r="K4244" s="3" t="s">
        <v>23</v>
      </c>
    </row>
    <row r="4245" spans="1:11" ht="42" customHeight="1">
      <c r="A4245" s="2" t="s">
        <v>9979</v>
      </c>
      <c r="B4245" s="2" t="s">
        <v>9980</v>
      </c>
      <c r="C4245" s="2" t="s">
        <v>26</v>
      </c>
      <c r="D4245" s="2" t="s">
        <v>18</v>
      </c>
      <c r="E4245" s="5">
        <v>-30594</v>
      </c>
      <c r="F4245" s="3" t="s">
        <v>234</v>
      </c>
      <c r="G4245" s="3" t="s">
        <v>42</v>
      </c>
      <c r="H4245" s="2" t="s">
        <v>21</v>
      </c>
      <c r="I4245" s="2" t="s">
        <v>9981</v>
      </c>
      <c r="J4245" s="3" t="str">
        <f>HYPERLINK("https://www.boe.es/gazeta/dias/1816/03/26/pdfs/GMD-1816-40.pdf#page=8","Abrir facsímil")</f>
        <v>Abrir facsímil</v>
      </c>
      <c r="K4245" s="3" t="s">
        <v>23</v>
      </c>
    </row>
    <row r="4246" spans="1:11" ht="42" customHeight="1">
      <c r="A4246" s="2" t="s">
        <v>9979</v>
      </c>
      <c r="B4246" s="2" t="s">
        <v>9980</v>
      </c>
      <c r="C4246" s="2" t="s">
        <v>34</v>
      </c>
      <c r="D4246" s="2" t="s">
        <v>35</v>
      </c>
      <c r="E4246" s="5">
        <v>-30592</v>
      </c>
      <c r="F4246" s="3" t="s">
        <v>236</v>
      </c>
      <c r="G4246" s="3" t="s">
        <v>42</v>
      </c>
      <c r="H4246" s="2" t="s">
        <v>21</v>
      </c>
      <c r="I4246" s="2" t="s">
        <v>9982</v>
      </c>
      <c r="J4246" s="3" t="str">
        <f>HYPERLINK("https://www.boe.es/gazeta/dias/1816/03/28/pdfs/GMD-1816-41.pdf#page=8","Abrir facsímil")</f>
        <v>Abrir facsímil</v>
      </c>
      <c r="K4246" s="3" t="s">
        <v>23</v>
      </c>
    </row>
    <row r="4247" spans="1:11" ht="42" customHeight="1">
      <c r="A4247" s="2" t="s">
        <v>9979</v>
      </c>
      <c r="B4247" s="2" t="s">
        <v>9980</v>
      </c>
      <c r="C4247" s="2" t="s">
        <v>34</v>
      </c>
      <c r="D4247" s="2" t="s">
        <v>35</v>
      </c>
      <c r="E4247" s="5">
        <v>-30580</v>
      </c>
      <c r="F4247" s="3" t="s">
        <v>107</v>
      </c>
      <c r="G4247" s="3" t="s">
        <v>72</v>
      </c>
      <c r="H4247" s="2" t="s">
        <v>21</v>
      </c>
      <c r="I4247" s="2" t="s">
        <v>9983</v>
      </c>
      <c r="J4247" s="3" t="str">
        <f>HYPERLINK("https://www.boe.es/gazeta/dias/1816/04/09/pdfs/GMD-1816-46.pdf#page=7","Abrir facsímil")</f>
        <v>Abrir facsímil</v>
      </c>
      <c r="K4247" s="3" t="s">
        <v>23</v>
      </c>
    </row>
    <row r="4248" spans="1:11" ht="42" customHeight="1">
      <c r="A4248" s="2" t="s">
        <v>9984</v>
      </c>
      <c r="B4248" s="2" t="s">
        <v>9985</v>
      </c>
      <c r="C4248" s="2" t="s">
        <v>67</v>
      </c>
      <c r="D4248" s="2" t="s">
        <v>18</v>
      </c>
      <c r="E4248" s="5">
        <v>-30478</v>
      </c>
      <c r="F4248" s="3" t="s">
        <v>123</v>
      </c>
      <c r="G4248" s="3" t="s">
        <v>42</v>
      </c>
      <c r="H4248" s="2" t="s">
        <v>21</v>
      </c>
      <c r="I4248" s="2" t="s">
        <v>9986</v>
      </c>
      <c r="J4248" s="3" t="str">
        <f>HYPERLINK("https://www.boe.es/gazeta/dias/1816/07/20/pdfs/GMD-1816-90.pdf#page=8","Abrir facsímil")</f>
        <v>Abrir facsímil</v>
      </c>
      <c r="K4248" s="3" t="s">
        <v>23</v>
      </c>
    </row>
    <row r="4249" spans="1:11" ht="42" customHeight="1">
      <c r="A4249" s="2" t="s">
        <v>9987</v>
      </c>
      <c r="B4249" s="2" t="s">
        <v>9988</v>
      </c>
      <c r="C4249" s="2" t="s">
        <v>34</v>
      </c>
      <c r="D4249" s="2" t="s">
        <v>35</v>
      </c>
      <c r="E4249" s="5">
        <v>-30594</v>
      </c>
      <c r="F4249" s="3" t="s">
        <v>234</v>
      </c>
      <c r="G4249" s="3" t="s">
        <v>42</v>
      </c>
      <c r="H4249" s="2" t="s">
        <v>21</v>
      </c>
      <c r="I4249" s="2" t="s">
        <v>9989</v>
      </c>
      <c r="J4249" s="3" t="str">
        <f>HYPERLINK("https://www.boe.es/gazeta/dias/1816/03/26/pdfs/GMD-1816-40.pdf#page=8","Abrir facsímil")</f>
        <v>Abrir facsímil</v>
      </c>
      <c r="K4249" s="3" t="s">
        <v>23</v>
      </c>
    </row>
    <row r="4250" spans="1:11" ht="42" customHeight="1">
      <c r="A4250" s="2" t="s">
        <v>9987</v>
      </c>
      <c r="B4250" s="2" t="s">
        <v>9988</v>
      </c>
      <c r="C4250" s="2" t="s">
        <v>26</v>
      </c>
      <c r="D4250" s="2" t="s">
        <v>18</v>
      </c>
      <c r="E4250" s="5">
        <v>-30592</v>
      </c>
      <c r="F4250" s="3" t="s">
        <v>236</v>
      </c>
      <c r="G4250" s="3" t="s">
        <v>42</v>
      </c>
      <c r="H4250" s="2" t="s">
        <v>21</v>
      </c>
      <c r="I4250" s="2" t="s">
        <v>9990</v>
      </c>
      <c r="J4250" s="3" t="str">
        <f>HYPERLINK("https://www.boe.es/gazeta/dias/1816/03/28/pdfs/GMD-1816-41.pdf#page=8","Abrir facsímil")</f>
        <v>Abrir facsímil</v>
      </c>
      <c r="K4250" s="3" t="s">
        <v>23</v>
      </c>
    </row>
    <row r="4251" spans="1:11" ht="42" customHeight="1">
      <c r="A4251" s="2" t="s">
        <v>9987</v>
      </c>
      <c r="B4251" s="2" t="s">
        <v>9988</v>
      </c>
      <c r="C4251" s="2" t="s">
        <v>34</v>
      </c>
      <c r="D4251" s="2" t="s">
        <v>35</v>
      </c>
      <c r="E4251" s="5">
        <v>-30580</v>
      </c>
      <c r="F4251" s="3" t="s">
        <v>107</v>
      </c>
      <c r="G4251" s="3" t="s">
        <v>72</v>
      </c>
      <c r="H4251" s="2" t="s">
        <v>21</v>
      </c>
      <c r="I4251" s="2" t="s">
        <v>9991</v>
      </c>
      <c r="J4251" s="3" t="str">
        <f>HYPERLINK("https://www.boe.es/gazeta/dias/1816/04/09/pdfs/GMD-1816-46.pdf#page=7","Abrir facsímil")</f>
        <v>Abrir facsímil</v>
      </c>
      <c r="K4251" s="3" t="s">
        <v>23</v>
      </c>
    </row>
    <row r="4252" spans="1:11" ht="42" customHeight="1">
      <c r="A4252" s="2" t="s">
        <v>9992</v>
      </c>
      <c r="B4252" s="2" t="s">
        <v>9993</v>
      </c>
      <c r="C4252" s="2" t="s">
        <v>81</v>
      </c>
      <c r="D4252" s="2" t="s">
        <v>18</v>
      </c>
      <c r="E4252" s="5">
        <v>-30599</v>
      </c>
      <c r="F4252" s="3" t="s">
        <v>552</v>
      </c>
      <c r="G4252" s="3" t="s">
        <v>42</v>
      </c>
      <c r="H4252" s="2" t="s">
        <v>21</v>
      </c>
      <c r="I4252" s="2" t="s">
        <v>9994</v>
      </c>
      <c r="J4252" s="3" t="str">
        <f>HYPERLINK("https://www.boe.es/gazeta/dias/1816/03/21/pdfs/GMD-1816-38.pdf#page=8","Abrir facsímil")</f>
        <v>Abrir facsímil</v>
      </c>
      <c r="K4252" s="3" t="s">
        <v>23</v>
      </c>
    </row>
    <row r="4253" spans="1:11" ht="42" customHeight="1">
      <c r="A4253" s="2" t="s">
        <v>9995</v>
      </c>
      <c r="B4253" s="2" t="s">
        <v>9996</v>
      </c>
      <c r="C4253" s="2" t="s">
        <v>81</v>
      </c>
      <c r="D4253" s="2" t="s">
        <v>18</v>
      </c>
      <c r="E4253" s="5">
        <v>-30639</v>
      </c>
      <c r="F4253" s="3" t="s">
        <v>87</v>
      </c>
      <c r="G4253" s="3" t="s">
        <v>42</v>
      </c>
      <c r="H4253" s="2" t="s">
        <v>21</v>
      </c>
      <c r="I4253" s="2" t="s">
        <v>9997</v>
      </c>
      <c r="J4253" s="3" t="str">
        <f>HYPERLINK("https://www.boe.es/gazeta/dias/1816/02/10/pdfs/GMD-1816-19.pdf#page=8","Abrir facsímil")</f>
        <v>Abrir facsímil</v>
      </c>
      <c r="K4253" s="3" t="s">
        <v>23</v>
      </c>
    </row>
    <row r="4254" spans="1:11" ht="42" customHeight="1">
      <c r="A4254" s="2" t="s">
        <v>9995</v>
      </c>
      <c r="B4254" s="2" t="s">
        <v>9996</v>
      </c>
      <c r="C4254" s="2" t="s">
        <v>111</v>
      </c>
      <c r="D4254" s="2" t="s">
        <v>112</v>
      </c>
      <c r="E4254" s="5">
        <v>-30594</v>
      </c>
      <c r="F4254" s="3" t="s">
        <v>234</v>
      </c>
      <c r="G4254" s="3" t="s">
        <v>52</v>
      </c>
      <c r="H4254" s="2" t="s">
        <v>21</v>
      </c>
      <c r="I4254" s="2" t="s">
        <v>9998</v>
      </c>
      <c r="J4254" s="3" t="str">
        <f>HYPERLINK("https://www.boe.es/gazeta/dias/1816/03/26/pdfs/GMD-1816-40.pdf#page=12","Abrir facsímil")</f>
        <v>Abrir facsímil</v>
      </c>
      <c r="K4254" s="3" t="s">
        <v>23</v>
      </c>
    </row>
    <row r="4255" spans="1:11" ht="42" customHeight="1">
      <c r="A4255" s="2" t="s">
        <v>9995</v>
      </c>
      <c r="B4255" s="2" t="s">
        <v>9996</v>
      </c>
      <c r="C4255" s="2" t="s">
        <v>111</v>
      </c>
      <c r="D4255" s="2" t="s">
        <v>112</v>
      </c>
      <c r="E4255" s="5">
        <v>-30566</v>
      </c>
      <c r="F4255" s="3" t="s">
        <v>113</v>
      </c>
      <c r="G4255" s="3" t="s">
        <v>42</v>
      </c>
      <c r="H4255" s="2" t="s">
        <v>21</v>
      </c>
      <c r="I4255" s="2" t="s">
        <v>9999</v>
      </c>
      <c r="J4255" s="3" t="str">
        <f>HYPERLINK("https://www.boe.es/gazeta/dias/1816/04/23/pdfs/GMD-1816-52.pdf#page=8","Abrir facsímil")</f>
        <v>Abrir facsímil</v>
      </c>
      <c r="K4255" s="3" t="s">
        <v>23</v>
      </c>
    </row>
    <row r="4256" spans="1:11" ht="42" customHeight="1">
      <c r="A4256" s="2" t="s">
        <v>9995</v>
      </c>
      <c r="B4256" s="2" t="s">
        <v>9996</v>
      </c>
      <c r="C4256" s="2" t="s">
        <v>111</v>
      </c>
      <c r="D4256" s="2" t="s">
        <v>112</v>
      </c>
      <c r="E4256" s="5">
        <v>-30559</v>
      </c>
      <c r="F4256" s="3" t="s">
        <v>165</v>
      </c>
      <c r="G4256" s="3" t="s">
        <v>42</v>
      </c>
      <c r="H4256" s="2" t="s">
        <v>21</v>
      </c>
      <c r="I4256" s="2" t="s">
        <v>10000</v>
      </c>
      <c r="J4256" s="3" t="str">
        <f>HYPERLINK("https://www.boe.es/gazeta/dias/1816/04/30/pdfs/GMD-1816-55.pdf#page=8","Abrir facsímil")</f>
        <v>Abrir facsímil</v>
      </c>
      <c r="K4256" s="3" t="s">
        <v>23</v>
      </c>
    </row>
    <row r="4257" spans="1:11" ht="42" customHeight="1">
      <c r="A4257" s="2" t="s">
        <v>9995</v>
      </c>
      <c r="B4257" s="2" t="s">
        <v>9996</v>
      </c>
      <c r="C4257" s="2" t="s">
        <v>111</v>
      </c>
      <c r="D4257" s="2" t="s">
        <v>112</v>
      </c>
      <c r="E4257" s="5">
        <v>-30522</v>
      </c>
      <c r="F4257" s="3" t="s">
        <v>282</v>
      </c>
      <c r="G4257" s="3" t="s">
        <v>42</v>
      </c>
      <c r="H4257" s="2" t="s">
        <v>21</v>
      </c>
      <c r="I4257" s="2" t="s">
        <v>10001</v>
      </c>
      <c r="J4257" s="3" t="str">
        <f>HYPERLINK("https://www.boe.es/gazeta/dias/1816/06/06/pdfs/GMD-1816-71.pdf#page=8","Abrir facsímil")</f>
        <v>Abrir facsímil</v>
      </c>
      <c r="K4257" s="3" t="s">
        <v>23</v>
      </c>
    </row>
    <row r="4258" spans="1:11" ht="42" customHeight="1">
      <c r="A4258" s="2" t="s">
        <v>9995</v>
      </c>
      <c r="B4258" s="2" t="s">
        <v>9996</v>
      </c>
      <c r="C4258" s="2" t="s">
        <v>26</v>
      </c>
      <c r="D4258" s="2" t="s">
        <v>18</v>
      </c>
      <c r="E4258" s="5">
        <v>-30461</v>
      </c>
      <c r="F4258" s="3" t="s">
        <v>912</v>
      </c>
      <c r="G4258" s="3" t="s">
        <v>72</v>
      </c>
      <c r="H4258" s="2" t="s">
        <v>21</v>
      </c>
      <c r="I4258" s="2" t="s">
        <v>10002</v>
      </c>
      <c r="J4258" s="3" t="str">
        <f>HYPERLINK("https://www.boe.es/gazeta/dias/1816/08/06/pdfs/GMD-1816-97.pdf#page=7","Abrir facsímil")</f>
        <v>Abrir facsímil</v>
      </c>
      <c r="K4258" s="3" t="s">
        <v>23</v>
      </c>
    </row>
    <row r="4259" spans="1:11" ht="42" customHeight="1">
      <c r="A4259" s="2" t="s">
        <v>9995</v>
      </c>
      <c r="B4259" s="2" t="s">
        <v>9996</v>
      </c>
      <c r="C4259" s="2" t="s">
        <v>111</v>
      </c>
      <c r="D4259" s="2" t="s">
        <v>112</v>
      </c>
      <c r="E4259" s="5">
        <v>-30370</v>
      </c>
      <c r="F4259" s="3" t="s">
        <v>669</v>
      </c>
      <c r="G4259" s="3" t="s">
        <v>2076</v>
      </c>
      <c r="H4259" s="2" t="s">
        <v>21</v>
      </c>
      <c r="I4259" s="2" t="s">
        <v>10003</v>
      </c>
      <c r="J4259" s="3" t="str">
        <f>HYPERLINK("https://www.boe.es/gazeta/dias/1816/11/05/pdfs/GMD-1816-138.pdf#page=8","Abrir facsímil")</f>
        <v>Abrir facsímil</v>
      </c>
      <c r="K4259" s="3" t="s">
        <v>23</v>
      </c>
    </row>
    <row r="4260" spans="1:11" ht="42" customHeight="1">
      <c r="A4260" s="2" t="s">
        <v>10004</v>
      </c>
      <c r="B4260" s="2" t="s">
        <v>10005</v>
      </c>
      <c r="C4260" s="2" t="s">
        <v>34</v>
      </c>
      <c r="D4260" s="2" t="s">
        <v>35</v>
      </c>
      <c r="E4260" s="5">
        <v>-30391</v>
      </c>
      <c r="F4260" s="3" t="s">
        <v>482</v>
      </c>
      <c r="G4260" s="3" t="s">
        <v>72</v>
      </c>
      <c r="H4260" s="2" t="s">
        <v>21</v>
      </c>
      <c r="I4260" s="2" t="s">
        <v>10006</v>
      </c>
      <c r="J4260" s="3" t="str">
        <f>HYPERLINK("https://www.boe.es/gazeta/dias/1816/10/15/pdfs/GMD-1816-129.pdf#page=7","Abrir facsímil")</f>
        <v>Abrir facsímil</v>
      </c>
      <c r="K4260" s="3" t="s">
        <v>23</v>
      </c>
    </row>
    <row r="4261" spans="1:11" ht="42" customHeight="1">
      <c r="A4261" s="2" t="s">
        <v>10007</v>
      </c>
      <c r="B4261" s="2" t="s">
        <v>10008</v>
      </c>
      <c r="C4261" s="2" t="s">
        <v>34</v>
      </c>
      <c r="D4261" s="2" t="s">
        <v>35</v>
      </c>
      <c r="E4261" s="5">
        <v>-30529</v>
      </c>
      <c r="F4261" s="3" t="s">
        <v>432</v>
      </c>
      <c r="G4261" s="3" t="s">
        <v>28</v>
      </c>
      <c r="H4261" s="2" t="s">
        <v>21</v>
      </c>
      <c r="I4261" s="2" t="s">
        <v>10009</v>
      </c>
      <c r="J4261" s="3" t="str">
        <f>HYPERLINK("https://www.boe.es/gazeta/dias/1816/05/30/pdfs/GMD-1816-68.pdf#page=6","Abrir facsímil")</f>
        <v>Abrir facsímil</v>
      </c>
      <c r="K4261" s="3" t="s">
        <v>23</v>
      </c>
    </row>
    <row r="4262" spans="1:11" ht="42" customHeight="1">
      <c r="A4262" s="2" t="s">
        <v>10010</v>
      </c>
      <c r="B4262" s="2" t="s">
        <v>10011</v>
      </c>
      <c r="C4262" s="2" t="s">
        <v>34</v>
      </c>
      <c r="D4262" s="2" t="s">
        <v>35</v>
      </c>
      <c r="E4262" s="5">
        <v>-30564</v>
      </c>
      <c r="F4262" s="3" t="s">
        <v>963</v>
      </c>
      <c r="G4262" s="3" t="s">
        <v>1662</v>
      </c>
      <c r="H4262" s="2" t="s">
        <v>21</v>
      </c>
      <c r="I4262" s="2" t="s">
        <v>10012</v>
      </c>
      <c r="J4262" s="3" t="str">
        <f>HYPERLINK("https://www.boe.es/gazeta/dias/1816/04/25/pdfs/GMD-1816-53.pdf#page=7","Abrir facsímil")</f>
        <v>Abrir facsímil</v>
      </c>
      <c r="K4262" s="3" t="s">
        <v>23</v>
      </c>
    </row>
    <row r="4263" spans="1:11" ht="42" customHeight="1">
      <c r="A4263" s="2" t="s">
        <v>10010</v>
      </c>
      <c r="B4263" s="2" t="s">
        <v>10011</v>
      </c>
      <c r="C4263" s="2" t="s">
        <v>34</v>
      </c>
      <c r="D4263" s="2" t="s">
        <v>35</v>
      </c>
      <c r="E4263" s="5">
        <v>-30548</v>
      </c>
      <c r="F4263" s="3" t="s">
        <v>472</v>
      </c>
      <c r="G4263" s="3" t="s">
        <v>28</v>
      </c>
      <c r="H4263" s="2" t="s">
        <v>21</v>
      </c>
      <c r="I4263" s="2" t="s">
        <v>10013</v>
      </c>
      <c r="J4263" s="3" t="str">
        <f>HYPERLINK("https://www.boe.es/gazeta/dias/1816/05/11/pdfs/GMD-1816-60.pdf#page=6","Abrir facsímil")</f>
        <v>Abrir facsímil</v>
      </c>
      <c r="K4263" s="3" t="s">
        <v>23</v>
      </c>
    </row>
    <row r="4264" spans="1:11" ht="42" customHeight="1">
      <c r="A4264" s="2" t="s">
        <v>10014</v>
      </c>
      <c r="B4264" s="2" t="s">
        <v>10015</v>
      </c>
      <c r="C4264" s="2" t="s">
        <v>17</v>
      </c>
      <c r="D4264" s="2" t="s">
        <v>18</v>
      </c>
      <c r="E4264" s="5">
        <v>-30632</v>
      </c>
      <c r="F4264" s="3" t="s">
        <v>89</v>
      </c>
      <c r="G4264" s="3" t="s">
        <v>42</v>
      </c>
      <c r="H4264" s="2" t="s">
        <v>29</v>
      </c>
      <c r="I4264" s="2" t="s">
        <v>10016</v>
      </c>
      <c r="J4264" s="3" t="str">
        <f>HYPERLINK("https://www.boe.es/gazeta/dias/1816/02/17/pdfs/GMD-1816-22.pdf#page=8","Abrir facsímil")</f>
        <v>Abrir facsímil</v>
      </c>
      <c r="K4264" s="3" t="s">
        <v>31</v>
      </c>
    </row>
    <row r="4265" spans="1:11" ht="42" customHeight="1">
      <c r="A4265" s="2" t="s">
        <v>10017</v>
      </c>
      <c r="B4265" s="2" t="s">
        <v>10018</v>
      </c>
      <c r="C4265" s="2" t="s">
        <v>34</v>
      </c>
      <c r="D4265" s="2" t="s">
        <v>35</v>
      </c>
      <c r="E4265" s="5">
        <v>-30594</v>
      </c>
      <c r="F4265" s="3" t="s">
        <v>234</v>
      </c>
      <c r="G4265" s="3" t="s">
        <v>28</v>
      </c>
      <c r="H4265" s="2" t="s">
        <v>21</v>
      </c>
      <c r="I4265" s="2" t="s">
        <v>10019</v>
      </c>
      <c r="J4265" s="3" t="str">
        <f>HYPERLINK("https://www.boe.es/gazeta/dias/1816/03/26/pdfs/GMD-1816-40.pdf#page=6","Abrir facsímil")</f>
        <v>Abrir facsímil</v>
      </c>
      <c r="K4265" s="3" t="s">
        <v>23</v>
      </c>
    </row>
    <row r="4266" spans="1:11" ht="42" customHeight="1">
      <c r="A4266" s="2" t="s">
        <v>10020</v>
      </c>
      <c r="B4266" s="2" t="s">
        <v>10021</v>
      </c>
      <c r="C4266" s="2" t="s">
        <v>111</v>
      </c>
      <c r="D4266" s="2" t="s">
        <v>56</v>
      </c>
      <c r="E4266" s="5">
        <v>-30653</v>
      </c>
      <c r="F4266" s="3" t="s">
        <v>1023</v>
      </c>
      <c r="G4266" s="3" t="s">
        <v>184</v>
      </c>
      <c r="H4266" s="2" t="s">
        <v>21</v>
      </c>
      <c r="I4266" s="2" t="s">
        <v>10022</v>
      </c>
      <c r="J4266" s="3" t="str">
        <f>HYPERLINK("https://www.boe.es/gazeta/dias/1816/01/27/pdfs/GMD-1816-13E.pdf#page=3","Abrir facsímil")</f>
        <v>Abrir facsímil</v>
      </c>
      <c r="K4266" s="3" t="s">
        <v>23</v>
      </c>
    </row>
    <row r="4267" spans="1:11" ht="42" customHeight="1">
      <c r="A4267" s="2" t="s">
        <v>10023</v>
      </c>
      <c r="B4267" s="2" t="s">
        <v>10024</v>
      </c>
      <c r="C4267" s="2" t="s">
        <v>34</v>
      </c>
      <c r="D4267" s="2" t="s">
        <v>35</v>
      </c>
      <c r="E4267" s="5">
        <v>-30410</v>
      </c>
      <c r="F4267" s="3" t="s">
        <v>1259</v>
      </c>
      <c r="G4267" s="3" t="s">
        <v>1318</v>
      </c>
      <c r="H4267" s="2" t="s">
        <v>21</v>
      </c>
      <c r="I4267" s="2" t="s">
        <v>10025</v>
      </c>
      <c r="J4267" s="3" t="str">
        <f>HYPERLINK("https://www.boe.es/gazeta/dias/1816/09/26/pdfs/GMD-1816-119.pdf#page=4","Abrir facsímil")</f>
        <v>Abrir facsímil</v>
      </c>
      <c r="K4267" s="3" t="s">
        <v>23</v>
      </c>
    </row>
    <row r="4268" spans="1:11" ht="42" customHeight="1">
      <c r="A4268" s="2" t="s">
        <v>10026</v>
      </c>
      <c r="B4268" s="2" t="s">
        <v>10027</v>
      </c>
      <c r="C4268" s="2" t="s">
        <v>41</v>
      </c>
      <c r="D4268" s="2" t="s">
        <v>18</v>
      </c>
      <c r="E4268" s="5">
        <v>-30391</v>
      </c>
      <c r="F4268" s="3" t="s">
        <v>482</v>
      </c>
      <c r="G4268" s="3" t="s">
        <v>72</v>
      </c>
      <c r="H4268" s="2" t="s">
        <v>21</v>
      </c>
      <c r="I4268" s="2" t="s">
        <v>10028</v>
      </c>
      <c r="J4268" s="3" t="str">
        <f>HYPERLINK("https://www.boe.es/gazeta/dias/1816/10/15/pdfs/GMD-1816-129.pdf#page=7","Abrir facsímil")</f>
        <v>Abrir facsímil</v>
      </c>
      <c r="K4268" s="3" t="s">
        <v>23</v>
      </c>
    </row>
    <row r="4269" spans="1:11" ht="42" customHeight="1">
      <c r="A4269" s="2" t="s">
        <v>10029</v>
      </c>
      <c r="B4269" s="2" t="s">
        <v>10030</v>
      </c>
      <c r="C4269" s="2" t="s">
        <v>34</v>
      </c>
      <c r="D4269" s="2" t="s">
        <v>35</v>
      </c>
      <c r="E4269" s="5">
        <v>-30384</v>
      </c>
      <c r="F4269" s="3" t="s">
        <v>460</v>
      </c>
      <c r="G4269" s="3" t="s">
        <v>47</v>
      </c>
      <c r="H4269" s="2" t="s">
        <v>21</v>
      </c>
      <c r="I4269" s="2" t="s">
        <v>10031</v>
      </c>
      <c r="J4269" s="3" t="str">
        <f>HYPERLINK("https://www.boe.es/gazeta/dias/1816/10/22/pdfs/GMD-1816-132.pdf#page=5","Abrir facsímil")</f>
        <v>Abrir facsímil</v>
      </c>
      <c r="K4269" s="3" t="s">
        <v>23</v>
      </c>
    </row>
    <row r="4270" spans="1:11" ht="42" customHeight="1">
      <c r="A4270" s="2" t="s">
        <v>10032</v>
      </c>
      <c r="B4270" s="2" t="s">
        <v>10033</v>
      </c>
      <c r="C4270" s="2" t="s">
        <v>26</v>
      </c>
      <c r="D4270" s="2" t="s">
        <v>18</v>
      </c>
      <c r="E4270" s="5">
        <v>-30580</v>
      </c>
      <c r="F4270" s="3" t="s">
        <v>107</v>
      </c>
      <c r="G4270" s="3" t="s">
        <v>72</v>
      </c>
      <c r="H4270" s="2" t="s">
        <v>21</v>
      </c>
      <c r="I4270" s="2" t="s">
        <v>10034</v>
      </c>
      <c r="J4270" s="3" t="str">
        <f>HYPERLINK("https://www.boe.es/gazeta/dias/1816/04/09/pdfs/GMD-1816-46.pdf#page=7","Abrir facsímil")</f>
        <v>Abrir facsímil</v>
      </c>
      <c r="K4270" s="3" t="s">
        <v>23</v>
      </c>
    </row>
    <row r="4271" spans="1:11" ht="42" customHeight="1">
      <c r="A4271" s="2" t="s">
        <v>10035</v>
      </c>
      <c r="B4271" s="2" t="s">
        <v>10036</v>
      </c>
      <c r="C4271" s="2" t="s">
        <v>26</v>
      </c>
      <c r="D4271" s="2" t="s">
        <v>18</v>
      </c>
      <c r="E4271" s="5">
        <v>-30606</v>
      </c>
      <c r="F4271" s="3" t="s">
        <v>761</v>
      </c>
      <c r="G4271" s="3" t="s">
        <v>72</v>
      </c>
      <c r="H4271" s="2" t="s">
        <v>21</v>
      </c>
      <c r="I4271" s="2" t="s">
        <v>10037</v>
      </c>
      <c r="J4271" s="3" t="str">
        <f>HYPERLINK("https://www.boe.es/gazeta/dias/1816/03/14/pdfs/GMD-1816-34.pdf#page=7","Abrir facsímil")</f>
        <v>Abrir facsímil</v>
      </c>
      <c r="K4271" s="3" t="s">
        <v>23</v>
      </c>
    </row>
    <row r="4272" spans="1:11" ht="42" customHeight="1">
      <c r="A4272" s="2" t="s">
        <v>10038</v>
      </c>
      <c r="B4272" s="2" t="s">
        <v>10039</v>
      </c>
      <c r="C4272" s="2" t="s">
        <v>34</v>
      </c>
      <c r="D4272" s="2" t="s">
        <v>35</v>
      </c>
      <c r="E4272" s="5">
        <v>-30335</v>
      </c>
      <c r="F4272" s="3" t="s">
        <v>468</v>
      </c>
      <c r="G4272" s="3" t="s">
        <v>47</v>
      </c>
      <c r="H4272" s="2" t="s">
        <v>21</v>
      </c>
      <c r="I4272" s="2" t="s">
        <v>10040</v>
      </c>
      <c r="J4272" s="3" t="str">
        <f>HYPERLINK("https://www.boe.es/gazeta/dias/1816/12/10/pdfs/GMD-1816-153.pdf#page=5","Abrir facsímil")</f>
        <v>Abrir facsímil</v>
      </c>
      <c r="K4272" s="3" t="s">
        <v>23</v>
      </c>
    </row>
    <row r="4273" spans="1:11" ht="42" customHeight="1">
      <c r="A4273" s="2" t="s">
        <v>10041</v>
      </c>
      <c r="B4273" s="2" t="s">
        <v>10042</v>
      </c>
      <c r="C4273" s="2" t="s">
        <v>26</v>
      </c>
      <c r="D4273" s="2" t="s">
        <v>18</v>
      </c>
      <c r="E4273" s="5">
        <v>-30478</v>
      </c>
      <c r="F4273" s="3" t="s">
        <v>123</v>
      </c>
      <c r="G4273" s="3" t="s">
        <v>28</v>
      </c>
      <c r="H4273" s="2" t="s">
        <v>21</v>
      </c>
      <c r="I4273" s="2" t="s">
        <v>10043</v>
      </c>
      <c r="J4273" s="3" t="str">
        <f>HYPERLINK("https://www.boe.es/gazeta/dias/1816/07/20/pdfs/GMD-1816-90.pdf#page=6","Abrir facsímil")</f>
        <v>Abrir facsímil</v>
      </c>
      <c r="K4273" s="3" t="s">
        <v>23</v>
      </c>
    </row>
    <row r="4274" spans="1:11" ht="42" customHeight="1">
      <c r="A4274" s="2" t="s">
        <v>10044</v>
      </c>
      <c r="B4274" s="2" t="s">
        <v>10045</v>
      </c>
      <c r="C4274" s="2" t="s">
        <v>111</v>
      </c>
      <c r="D4274" s="2" t="s">
        <v>112</v>
      </c>
      <c r="E4274" s="5">
        <v>-30578</v>
      </c>
      <c r="F4274" s="3" t="s">
        <v>91</v>
      </c>
      <c r="G4274" s="3" t="s">
        <v>52</v>
      </c>
      <c r="H4274" s="2" t="s">
        <v>29</v>
      </c>
      <c r="I4274" s="2" t="s">
        <v>10046</v>
      </c>
      <c r="J4274" s="3" t="str">
        <f>HYPERLINK("https://www.boe.es/gazeta/dias/1816/04/11/pdfs/GMD-1816-47.pdf#page=12","Abrir facsímil")</f>
        <v>Abrir facsímil</v>
      </c>
      <c r="K4274" s="3" t="s">
        <v>31</v>
      </c>
    </row>
    <row r="4275" spans="1:11" ht="42" customHeight="1">
      <c r="A4275" s="2" t="s">
        <v>10047</v>
      </c>
      <c r="B4275" s="2" t="s">
        <v>10048</v>
      </c>
      <c r="C4275" s="2" t="s">
        <v>111</v>
      </c>
      <c r="D4275" s="2" t="s">
        <v>112</v>
      </c>
      <c r="E4275" s="5">
        <v>-30601</v>
      </c>
      <c r="F4275" s="3" t="s">
        <v>308</v>
      </c>
      <c r="G4275" s="3" t="s">
        <v>72</v>
      </c>
      <c r="H4275" s="2" t="s">
        <v>21</v>
      </c>
      <c r="I4275" s="2" t="s">
        <v>10049</v>
      </c>
      <c r="J4275" s="3" t="str">
        <f>HYPERLINK("https://www.boe.es/gazeta/dias/1816/03/19/pdfs/GMD-1816-37.pdf#page=7","Abrir facsímil")</f>
        <v>Abrir facsímil</v>
      </c>
      <c r="K4275" s="3" t="s">
        <v>23</v>
      </c>
    </row>
    <row r="4276" spans="1:11" ht="42" customHeight="1">
      <c r="A4276" s="2" t="s">
        <v>10050</v>
      </c>
      <c r="B4276" s="2" t="s">
        <v>10051</v>
      </c>
      <c r="C4276" s="2" t="s">
        <v>34</v>
      </c>
      <c r="D4276" s="2" t="s">
        <v>35</v>
      </c>
      <c r="E4276" s="5">
        <v>-30583</v>
      </c>
      <c r="F4276" s="3" t="s">
        <v>241</v>
      </c>
      <c r="G4276" s="3" t="s">
        <v>184</v>
      </c>
      <c r="H4276" s="2" t="s">
        <v>21</v>
      </c>
      <c r="I4276" s="2" t="s">
        <v>10052</v>
      </c>
      <c r="J4276" s="3" t="str">
        <f>HYPERLINK("https://www.boe.es/gazeta/dias/1816/04/06/pdfs/GMD-1816-45.pdf#page=3","Abrir facsímil")</f>
        <v>Abrir facsímil</v>
      </c>
      <c r="K4276" s="3" t="s">
        <v>23</v>
      </c>
    </row>
    <row r="4277" spans="1:11" ht="42" customHeight="1">
      <c r="A4277" s="2" t="s">
        <v>10053</v>
      </c>
      <c r="B4277" s="2" t="s">
        <v>10053</v>
      </c>
      <c r="C4277" s="2" t="s">
        <v>111</v>
      </c>
      <c r="D4277" s="2" t="s">
        <v>112</v>
      </c>
      <c r="E4277" s="5">
        <v>-30499</v>
      </c>
      <c r="F4277" s="3" t="s">
        <v>971</v>
      </c>
      <c r="G4277" s="3" t="s">
        <v>184</v>
      </c>
      <c r="H4277" s="2" t="s">
        <v>21</v>
      </c>
      <c r="I4277" s="2" t="s">
        <v>10054</v>
      </c>
      <c r="J4277" s="3" t="str">
        <f>HYPERLINK("https://www.boe.es/gazeta/dias/1816/06/29/pdfs/GMD-1816-81.pdf#page=3","Abrir facsímil")</f>
        <v>Abrir facsímil</v>
      </c>
      <c r="K4277" s="3" t="s">
        <v>23</v>
      </c>
    </row>
    <row r="4278" spans="1:11" ht="42" customHeight="1">
      <c r="A4278" s="2" t="s">
        <v>10055</v>
      </c>
      <c r="B4278" s="2" t="s">
        <v>10056</v>
      </c>
      <c r="C4278" s="2" t="s">
        <v>34</v>
      </c>
      <c r="D4278" s="2" t="s">
        <v>35</v>
      </c>
      <c r="E4278" s="5">
        <v>-30487</v>
      </c>
      <c r="F4278" s="3" t="s">
        <v>397</v>
      </c>
      <c r="G4278" s="3" t="s">
        <v>103</v>
      </c>
      <c r="H4278" s="2" t="s">
        <v>29</v>
      </c>
      <c r="I4278" s="2" t="s">
        <v>10057</v>
      </c>
      <c r="J4278" s="3" t="str">
        <f>HYPERLINK("https://www.boe.es/gazeta/dias/1816/07/11/pdfs/GMD-1816-86.pdf#page=4","Abrir facsímil")</f>
        <v>Abrir facsímil</v>
      </c>
      <c r="K4278" s="3" t="s">
        <v>31</v>
      </c>
    </row>
    <row r="4279" spans="1:11" ht="42" customHeight="1">
      <c r="A4279" s="2" t="s">
        <v>10058</v>
      </c>
      <c r="B4279" s="2" t="s">
        <v>10059</v>
      </c>
      <c r="C4279" s="2" t="s">
        <v>26</v>
      </c>
      <c r="D4279" s="2" t="s">
        <v>18</v>
      </c>
      <c r="E4279" s="5">
        <v>-30494</v>
      </c>
      <c r="F4279" s="3" t="s">
        <v>174</v>
      </c>
      <c r="G4279" s="3" t="s">
        <v>175</v>
      </c>
      <c r="H4279" s="2" t="s">
        <v>21</v>
      </c>
      <c r="I4279" s="2" t="s">
        <v>10060</v>
      </c>
      <c r="J4279" s="3" t="str">
        <f>HYPERLINK("https://www.boe.es/gazeta/dias/1816/07/04/pdfs/GMD-1816-83.pdf#page=11","Abrir facsímil")</f>
        <v>Abrir facsímil</v>
      </c>
      <c r="K4279" s="3" t="s">
        <v>23</v>
      </c>
    </row>
    <row r="4280" spans="1:11" ht="42" customHeight="1">
      <c r="A4280" s="2" t="s">
        <v>10061</v>
      </c>
      <c r="B4280" s="2" t="s">
        <v>10062</v>
      </c>
      <c r="C4280" s="2" t="s">
        <v>34</v>
      </c>
      <c r="D4280" s="2" t="s">
        <v>35</v>
      </c>
      <c r="E4280" s="5">
        <v>-30349</v>
      </c>
      <c r="F4280" s="3" t="s">
        <v>360</v>
      </c>
      <c r="G4280" s="3" t="s">
        <v>103</v>
      </c>
      <c r="H4280" s="2" t="s">
        <v>29</v>
      </c>
      <c r="I4280" s="2" t="s">
        <v>10063</v>
      </c>
      <c r="J4280" s="3" t="str">
        <f>HYPERLINK("https://www.boe.es/gazeta/dias/1816/11/26/pdfs/GMD-1816-147.pdf#page=4","Abrir facsímil")</f>
        <v>Abrir facsímil</v>
      </c>
      <c r="K4280" s="3" t="s">
        <v>31</v>
      </c>
    </row>
    <row r="4281" spans="1:11" ht="42" customHeight="1">
      <c r="A4281" s="2" t="s">
        <v>10064</v>
      </c>
      <c r="B4281" s="2" t="s">
        <v>10065</v>
      </c>
      <c r="C4281" s="2" t="s">
        <v>34</v>
      </c>
      <c r="D4281" s="2" t="s">
        <v>35</v>
      </c>
      <c r="E4281" s="5">
        <v>-30520</v>
      </c>
      <c r="F4281" s="3" t="s">
        <v>731</v>
      </c>
      <c r="G4281" s="3" t="s">
        <v>28</v>
      </c>
      <c r="H4281" s="2" t="s">
        <v>21</v>
      </c>
      <c r="I4281" s="2" t="s">
        <v>10066</v>
      </c>
      <c r="J4281" s="3" t="str">
        <f>HYPERLINK("https://www.boe.es/gazeta/dias/1816/06/08/pdfs/GMD-1816-72.pdf#page=6","Abrir facsímil")</f>
        <v>Abrir facsímil</v>
      </c>
      <c r="K4281" s="3" t="s">
        <v>23</v>
      </c>
    </row>
    <row r="4282" spans="1:11" ht="42" customHeight="1">
      <c r="A4282" s="2" t="s">
        <v>10067</v>
      </c>
      <c r="B4282" s="2" t="s">
        <v>10068</v>
      </c>
      <c r="C4282" s="2" t="s">
        <v>34</v>
      </c>
      <c r="D4282" s="2" t="s">
        <v>35</v>
      </c>
      <c r="E4282" s="5">
        <v>-30592</v>
      </c>
      <c r="F4282" s="3" t="s">
        <v>236</v>
      </c>
      <c r="G4282" s="3" t="s">
        <v>184</v>
      </c>
      <c r="H4282" s="2" t="s">
        <v>21</v>
      </c>
      <c r="I4282" s="2" t="s">
        <v>10069</v>
      </c>
      <c r="J4282" s="3" t="str">
        <f>HYPERLINK("https://www.boe.es/gazeta/dias/1816/03/28/pdfs/GMD-1816-41.pdf#page=3","Abrir facsímil")</f>
        <v>Abrir facsímil</v>
      </c>
      <c r="K4282" s="3" t="s">
        <v>23</v>
      </c>
    </row>
    <row r="4283" spans="1:11" ht="42" customHeight="1">
      <c r="A4283" s="2" t="s">
        <v>10070</v>
      </c>
      <c r="B4283" s="2" t="s">
        <v>10070</v>
      </c>
      <c r="C4283" s="2" t="s">
        <v>17</v>
      </c>
      <c r="D4283" s="2" t="s">
        <v>18</v>
      </c>
      <c r="E4283" s="5">
        <v>-30328</v>
      </c>
      <c r="F4283" s="3" t="s">
        <v>573</v>
      </c>
      <c r="G4283" s="3" t="s">
        <v>184</v>
      </c>
      <c r="H4283" s="2" t="s">
        <v>21</v>
      </c>
      <c r="I4283" s="2" t="s">
        <v>10071</v>
      </c>
      <c r="J4283" s="3" t="str">
        <f>HYPERLINK("https://www.boe.es/gazeta/dias/1816/12/17/pdfs/GMD-1816-156.pdf#page=3","Abrir facsímil")</f>
        <v>Abrir facsímil</v>
      </c>
      <c r="K4283" s="3" t="s">
        <v>23</v>
      </c>
    </row>
    <row r="4284" spans="1:11" ht="42" customHeight="1">
      <c r="A4284" s="2" t="s">
        <v>10072</v>
      </c>
      <c r="B4284" s="2" t="s">
        <v>10072</v>
      </c>
      <c r="C4284" s="2" t="s">
        <v>34</v>
      </c>
      <c r="D4284" s="2" t="s">
        <v>35</v>
      </c>
      <c r="E4284" s="5">
        <v>-30368</v>
      </c>
      <c r="F4284" s="3" t="s">
        <v>531</v>
      </c>
      <c r="G4284" s="3" t="s">
        <v>28</v>
      </c>
      <c r="H4284" s="2" t="s">
        <v>21</v>
      </c>
      <c r="I4284" s="2" t="s">
        <v>10073</v>
      </c>
      <c r="J4284" s="3" t="str">
        <f>HYPERLINK("https://www.boe.es/gazeta/dias/1816/11/07/pdfs/GMD-1816-139.pdf#page=6","Abrir facsímil")</f>
        <v>Abrir facsímil</v>
      </c>
      <c r="K4284" s="3" t="s">
        <v>23</v>
      </c>
    </row>
    <row r="4285" spans="1:11" ht="42" customHeight="1">
      <c r="A4285" s="2" t="s">
        <v>10072</v>
      </c>
      <c r="B4285" s="2" t="s">
        <v>10072</v>
      </c>
      <c r="C4285" s="2" t="s">
        <v>34</v>
      </c>
      <c r="D4285" s="2" t="s">
        <v>35</v>
      </c>
      <c r="E4285" s="5">
        <v>-30356</v>
      </c>
      <c r="F4285" s="3" t="s">
        <v>824</v>
      </c>
      <c r="G4285" s="3" t="s">
        <v>42</v>
      </c>
      <c r="H4285" s="2" t="s">
        <v>21</v>
      </c>
      <c r="I4285" s="2" t="s">
        <v>10074</v>
      </c>
      <c r="J4285" s="3" t="str">
        <f>HYPERLINK("https://www.boe.es/gazeta/dias/1816/11/19/pdfs/GMD-1816-144.pdf#page=8","Abrir facsímil")</f>
        <v>Abrir facsímil</v>
      </c>
      <c r="K4285" s="3" t="s">
        <v>23</v>
      </c>
    </row>
    <row r="4286" spans="1:11" ht="42" customHeight="1">
      <c r="A4286" s="2" t="s">
        <v>10075</v>
      </c>
      <c r="B4286" s="2" t="s">
        <v>10076</v>
      </c>
      <c r="C4286" s="2" t="s">
        <v>81</v>
      </c>
      <c r="D4286" s="2" t="s">
        <v>18</v>
      </c>
      <c r="E4286" s="5">
        <v>-30578</v>
      </c>
      <c r="F4286" s="3" t="s">
        <v>91</v>
      </c>
      <c r="G4286" s="3" t="s">
        <v>286</v>
      </c>
      <c r="H4286" s="2" t="s">
        <v>21</v>
      </c>
      <c r="I4286" s="2" t="s">
        <v>10077</v>
      </c>
      <c r="J4286" s="3" t="str">
        <f>HYPERLINK("https://www.boe.es/gazeta/dias/1816/04/11/pdfs/GMD-1816-47.pdf#page=11","Abrir facsímil")</f>
        <v>Abrir facsímil</v>
      </c>
      <c r="K4286" s="3" t="s">
        <v>23</v>
      </c>
    </row>
    <row r="4287" spans="1:11" ht="42" customHeight="1">
      <c r="A4287" s="2" t="s">
        <v>10078</v>
      </c>
      <c r="B4287" s="2" t="s">
        <v>10079</v>
      </c>
      <c r="C4287" s="2" t="s">
        <v>34</v>
      </c>
      <c r="D4287" s="2" t="s">
        <v>35</v>
      </c>
      <c r="E4287" s="5">
        <v>-30492</v>
      </c>
      <c r="F4287" s="3" t="s">
        <v>248</v>
      </c>
      <c r="G4287" s="3" t="s">
        <v>92</v>
      </c>
      <c r="H4287" s="2" t="s">
        <v>21</v>
      </c>
      <c r="I4287" s="2" t="s">
        <v>10080</v>
      </c>
      <c r="J4287" s="3" t="str">
        <f>HYPERLINK("https://www.boe.es/gazeta/dias/1816/07/06/pdfs/GMD-1816-84.pdf#page=9","Abrir facsímil")</f>
        <v>Abrir facsímil</v>
      </c>
      <c r="K4287" s="3" t="s">
        <v>23</v>
      </c>
    </row>
    <row r="4288" spans="1:11" ht="42" customHeight="1">
      <c r="A4288" s="2" t="s">
        <v>10081</v>
      </c>
      <c r="B4288" s="2" t="s">
        <v>10082</v>
      </c>
      <c r="C4288" s="2" t="s">
        <v>111</v>
      </c>
      <c r="D4288" s="2" t="s">
        <v>112</v>
      </c>
      <c r="E4288" s="5">
        <v>-30354</v>
      </c>
      <c r="F4288" s="3" t="s">
        <v>68</v>
      </c>
      <c r="G4288" s="3" t="s">
        <v>526</v>
      </c>
      <c r="H4288" s="2" t="s">
        <v>21</v>
      </c>
      <c r="I4288" s="2" t="s">
        <v>10083</v>
      </c>
      <c r="J4288" s="3" t="str">
        <f>HYPERLINK("https://www.boe.es/gazeta/dias/1816/11/21/pdfs/GMD-1816-145.pdf#page=6","Abrir facsímil")</f>
        <v>Abrir facsímil</v>
      </c>
      <c r="K4288" s="3" t="s">
        <v>23</v>
      </c>
    </row>
    <row r="4289" spans="1:11" ht="42" customHeight="1">
      <c r="A4289" s="2" t="s">
        <v>10084</v>
      </c>
      <c r="B4289" s="2" t="s">
        <v>10085</v>
      </c>
      <c r="C4289" s="2" t="s">
        <v>111</v>
      </c>
      <c r="D4289" s="2" t="s">
        <v>112</v>
      </c>
      <c r="E4289" s="5">
        <v>-30578</v>
      </c>
      <c r="F4289" s="3" t="s">
        <v>91</v>
      </c>
      <c r="G4289" s="3" t="s">
        <v>1239</v>
      </c>
      <c r="H4289" s="2" t="s">
        <v>21</v>
      </c>
      <c r="I4289" s="2" t="s">
        <v>10086</v>
      </c>
      <c r="J4289" s="3" t="str">
        <f>HYPERLINK("https://www.boe.es/gazeta/dias/1816/04/11/pdfs/GMD-1816-47.pdf#page=6","Abrir facsímil")</f>
        <v>Abrir facsímil</v>
      </c>
      <c r="K4289" s="3" t="s">
        <v>23</v>
      </c>
    </row>
    <row r="4290" spans="1:11" ht="42" customHeight="1">
      <c r="A4290" s="2" t="s">
        <v>10087</v>
      </c>
      <c r="B4290" s="2" t="s">
        <v>10087</v>
      </c>
      <c r="C4290" s="2" t="s">
        <v>34</v>
      </c>
      <c r="D4290" s="2" t="s">
        <v>35</v>
      </c>
      <c r="E4290" s="5">
        <v>-30429</v>
      </c>
      <c r="F4290" s="3" t="s">
        <v>598</v>
      </c>
      <c r="G4290" s="3" t="s">
        <v>47</v>
      </c>
      <c r="H4290" s="2" t="s">
        <v>21</v>
      </c>
      <c r="I4290" s="2" t="s">
        <v>10088</v>
      </c>
      <c r="J4290" s="3" t="str">
        <f>HYPERLINK("https://www.boe.es/gazeta/dias/1816/09/07/pdfs/GMD-1816-111.pdf#page=5","Abrir facsímil")</f>
        <v>Abrir facsímil</v>
      </c>
      <c r="K4290" s="3" t="s">
        <v>23</v>
      </c>
    </row>
    <row r="4291" spans="1:11" ht="42" customHeight="1">
      <c r="A4291" s="2" t="s">
        <v>10089</v>
      </c>
      <c r="B4291" s="2" t="s">
        <v>10090</v>
      </c>
      <c r="C4291" s="2" t="s">
        <v>67</v>
      </c>
      <c r="D4291" s="2" t="s">
        <v>18</v>
      </c>
      <c r="E4291" s="5">
        <v>-30457</v>
      </c>
      <c r="F4291" s="3" t="s">
        <v>539</v>
      </c>
      <c r="G4291" s="3" t="s">
        <v>47</v>
      </c>
      <c r="H4291" s="2" t="s">
        <v>21</v>
      </c>
      <c r="I4291" s="2" t="s">
        <v>10091</v>
      </c>
      <c r="J4291" s="3" t="str">
        <f>HYPERLINK("https://www.boe.es/gazeta/dias/1816/08/10/pdfs/GMD-1816-99.pdf#page=5","Abrir facsímil")</f>
        <v>Abrir facsímil</v>
      </c>
      <c r="K4291" s="3" t="s">
        <v>23</v>
      </c>
    </row>
    <row r="4292" spans="1:11" ht="42" customHeight="1">
      <c r="A4292" s="2" t="s">
        <v>10092</v>
      </c>
      <c r="B4292" s="2" t="s">
        <v>10093</v>
      </c>
      <c r="C4292" s="2" t="s">
        <v>34</v>
      </c>
      <c r="D4292" s="2" t="s">
        <v>35</v>
      </c>
      <c r="E4292" s="5">
        <v>-30492</v>
      </c>
      <c r="F4292" s="3" t="s">
        <v>248</v>
      </c>
      <c r="G4292" s="3" t="s">
        <v>443</v>
      </c>
      <c r="H4292" s="2" t="s">
        <v>21</v>
      </c>
      <c r="I4292" s="2" t="s">
        <v>10094</v>
      </c>
      <c r="J4292" s="3" t="str">
        <f>HYPERLINK("https://www.boe.es/gazeta/dias/1816/07/06/pdfs/GMD-1816-84.pdf#page=12","Abrir facsímil")</f>
        <v>Abrir facsímil</v>
      </c>
      <c r="K4292" s="3" t="s">
        <v>23</v>
      </c>
    </row>
    <row r="4293" spans="1:11" ht="42" customHeight="1">
      <c r="A4293" s="2" t="s">
        <v>10095</v>
      </c>
      <c r="B4293" s="2" t="s">
        <v>10096</v>
      </c>
      <c r="C4293" s="2" t="s">
        <v>81</v>
      </c>
      <c r="D4293" s="2" t="s">
        <v>18</v>
      </c>
      <c r="E4293" s="5">
        <v>-30450</v>
      </c>
      <c r="F4293" s="3" t="s">
        <v>349</v>
      </c>
      <c r="G4293" s="3" t="s">
        <v>42</v>
      </c>
      <c r="H4293" s="2" t="s">
        <v>21</v>
      </c>
      <c r="I4293" s="2" t="s">
        <v>10097</v>
      </c>
      <c r="J4293" s="3" t="str">
        <f>HYPERLINK("https://www.boe.es/gazeta/dias/1816/08/17/pdfs/GMD-1816-102.pdf#page=8","Abrir facsímil")</f>
        <v>Abrir facsímil</v>
      </c>
      <c r="K4293" s="3" t="s">
        <v>23</v>
      </c>
    </row>
    <row r="4294" spans="1:11" ht="42" customHeight="1">
      <c r="A4294" s="2" t="s">
        <v>10098</v>
      </c>
      <c r="B4294" s="2" t="s">
        <v>10099</v>
      </c>
      <c r="C4294" s="2" t="s">
        <v>81</v>
      </c>
      <c r="D4294" s="2" t="s">
        <v>18</v>
      </c>
      <c r="E4294" s="5">
        <v>-30485</v>
      </c>
      <c r="F4294" s="3" t="s">
        <v>156</v>
      </c>
      <c r="G4294" s="3" t="s">
        <v>42</v>
      </c>
      <c r="H4294" s="2" t="s">
        <v>21</v>
      </c>
      <c r="I4294" s="2" t="s">
        <v>10100</v>
      </c>
      <c r="J4294" s="3" t="str">
        <f>HYPERLINK("https://www.boe.es/gazeta/dias/1816/07/13/pdfs/GMD-1816-87.pdf#page=8","Abrir facsímil")</f>
        <v>Abrir facsímil</v>
      </c>
      <c r="K4294" s="3" t="s">
        <v>23</v>
      </c>
    </row>
    <row r="4295" spans="1:11" ht="42" customHeight="1">
      <c r="A4295" s="2" t="s">
        <v>10101</v>
      </c>
      <c r="B4295" s="2" t="s">
        <v>10101</v>
      </c>
      <c r="C4295" s="2" t="s">
        <v>26</v>
      </c>
      <c r="D4295" s="2" t="s">
        <v>18</v>
      </c>
      <c r="E4295" s="5">
        <v>-30494</v>
      </c>
      <c r="F4295" s="3" t="s">
        <v>174</v>
      </c>
      <c r="G4295" s="3" t="s">
        <v>28</v>
      </c>
      <c r="H4295" s="2" t="s">
        <v>21</v>
      </c>
      <c r="I4295" s="2" t="s">
        <v>10102</v>
      </c>
      <c r="J4295" s="3" t="str">
        <f>HYPERLINK("https://www.boe.es/gazeta/dias/1816/07/04/pdfs/GMD-1816-83.pdf#page=6","Abrir facsímil")</f>
        <v>Abrir facsímil</v>
      </c>
      <c r="K4295" s="3" t="s">
        <v>23</v>
      </c>
    </row>
    <row r="4296" spans="1:11" ht="42" customHeight="1">
      <c r="A4296" s="2" t="s">
        <v>10101</v>
      </c>
      <c r="B4296" s="2" t="s">
        <v>10101</v>
      </c>
      <c r="C4296" s="2" t="s">
        <v>111</v>
      </c>
      <c r="D4296" s="2" t="s">
        <v>112</v>
      </c>
      <c r="E4296" s="5">
        <v>-30494</v>
      </c>
      <c r="F4296" s="3" t="s">
        <v>174</v>
      </c>
      <c r="G4296" s="3" t="s">
        <v>72</v>
      </c>
      <c r="H4296" s="2" t="s">
        <v>21</v>
      </c>
      <c r="I4296" s="2" t="s">
        <v>10103</v>
      </c>
      <c r="J4296" s="3" t="str">
        <f>HYPERLINK("https://www.boe.es/gazeta/dias/1816/07/04/pdfs/GMD-1816-83.pdf#page=7","Abrir facsímil")</f>
        <v>Abrir facsímil</v>
      </c>
      <c r="K4296" s="3" t="s">
        <v>23</v>
      </c>
    </row>
    <row r="4297" spans="1:11" ht="42" customHeight="1">
      <c r="A4297" s="2" t="s">
        <v>10101</v>
      </c>
      <c r="B4297" s="2" t="s">
        <v>10101</v>
      </c>
      <c r="C4297" s="2" t="s">
        <v>26</v>
      </c>
      <c r="D4297" s="2" t="s">
        <v>18</v>
      </c>
      <c r="E4297" s="5">
        <v>-30394</v>
      </c>
      <c r="F4297" s="3" t="s">
        <v>589</v>
      </c>
      <c r="G4297" s="3" t="s">
        <v>72</v>
      </c>
      <c r="H4297" s="2" t="s">
        <v>21</v>
      </c>
      <c r="I4297" s="2" t="s">
        <v>10104</v>
      </c>
      <c r="J4297" s="3" t="str">
        <f>HYPERLINK("https://www.boe.es/gazeta/dias/1816/10/12/pdfs/GMD-1816-127.pdf#page=7","Abrir facsímil")</f>
        <v>Abrir facsímil</v>
      </c>
      <c r="K4297" s="3" t="s">
        <v>23</v>
      </c>
    </row>
    <row r="4298" spans="1:11" ht="42" customHeight="1">
      <c r="A4298" s="2" t="s">
        <v>10105</v>
      </c>
      <c r="B4298" s="2" t="s">
        <v>10106</v>
      </c>
      <c r="C4298" s="2" t="s">
        <v>26</v>
      </c>
      <c r="D4298" s="2" t="s">
        <v>18</v>
      </c>
      <c r="E4298" s="5">
        <v>-30387</v>
      </c>
      <c r="F4298" s="3" t="s">
        <v>224</v>
      </c>
      <c r="G4298" s="3" t="s">
        <v>72</v>
      </c>
      <c r="H4298" s="2" t="s">
        <v>21</v>
      </c>
      <c r="I4298" s="2" t="s">
        <v>10107</v>
      </c>
      <c r="J4298" s="3" t="str">
        <f>HYPERLINK("https://www.boe.es/gazeta/dias/1816/10/19/pdfs/GMD-1816-131.pdf#page=7","Abrir facsímil")</f>
        <v>Abrir facsímil</v>
      </c>
      <c r="K4298" s="3" t="s">
        <v>23</v>
      </c>
    </row>
    <row r="4299" spans="1:11" ht="42" customHeight="1">
      <c r="A4299" s="2" t="s">
        <v>10108</v>
      </c>
      <c r="B4299" s="2" t="s">
        <v>10109</v>
      </c>
      <c r="C4299" s="2" t="s">
        <v>26</v>
      </c>
      <c r="D4299" s="2" t="s">
        <v>18</v>
      </c>
      <c r="E4299" s="5">
        <v>-30622</v>
      </c>
      <c r="F4299" s="3" t="s">
        <v>27</v>
      </c>
      <c r="G4299" s="3" t="s">
        <v>2083</v>
      </c>
      <c r="H4299" s="2" t="s">
        <v>21</v>
      </c>
      <c r="I4299" s="2" t="s">
        <v>10110</v>
      </c>
      <c r="J4299" s="3" t="str">
        <f>HYPERLINK("https://www.boe.es/gazeta/dias/1816/02/27/pdfs/GMD-1816-26.pdf#page=4","Abrir facsímil")</f>
        <v>Abrir facsímil</v>
      </c>
      <c r="K4299" s="3" t="s">
        <v>23</v>
      </c>
    </row>
    <row r="4300" spans="1:11" ht="42" customHeight="1">
      <c r="A4300" s="2" t="s">
        <v>10111</v>
      </c>
      <c r="B4300" s="2" t="s">
        <v>10112</v>
      </c>
      <c r="C4300" s="2" t="s">
        <v>67</v>
      </c>
      <c r="D4300" s="2" t="s">
        <v>18</v>
      </c>
      <c r="E4300" s="5">
        <v>-30471</v>
      </c>
      <c r="F4300" s="3" t="s">
        <v>639</v>
      </c>
      <c r="G4300" s="3" t="s">
        <v>28</v>
      </c>
      <c r="H4300" s="2" t="s">
        <v>21</v>
      </c>
      <c r="I4300" s="2" t="s">
        <v>10113</v>
      </c>
      <c r="J4300" s="3" t="str">
        <f>HYPERLINK("https://www.boe.es/gazeta/dias/1816/07/27/pdfs/GMD-1816-93.pdf#page=6","Abrir facsímil")</f>
        <v>Abrir facsímil</v>
      </c>
      <c r="K4300" s="3" t="s">
        <v>23</v>
      </c>
    </row>
    <row r="4301" spans="1:11" ht="42" customHeight="1">
      <c r="A4301" s="2" t="s">
        <v>10114</v>
      </c>
      <c r="B4301" s="2" t="s">
        <v>10115</v>
      </c>
      <c r="C4301" s="2" t="s">
        <v>26</v>
      </c>
      <c r="D4301" s="2" t="s">
        <v>18</v>
      </c>
      <c r="E4301" s="5">
        <v>-30655</v>
      </c>
      <c r="F4301" s="3" t="s">
        <v>170</v>
      </c>
      <c r="G4301" s="3" t="s">
        <v>72</v>
      </c>
      <c r="H4301" s="2" t="s">
        <v>21</v>
      </c>
      <c r="I4301" s="2" t="s">
        <v>10116</v>
      </c>
      <c r="J4301" s="3" t="str">
        <f>HYPERLINK("https://www.boe.es/gazeta/dias/1816/01/25/pdfs/GMD-1816-11.pdf#page=7","Abrir facsímil")</f>
        <v>Abrir facsímil</v>
      </c>
      <c r="K4301" s="3" t="s">
        <v>23</v>
      </c>
    </row>
    <row r="4302" spans="1:11" ht="42" customHeight="1">
      <c r="A4302" s="2" t="s">
        <v>10117</v>
      </c>
      <c r="B4302" s="2" t="s">
        <v>10118</v>
      </c>
      <c r="C4302" s="2" t="s">
        <v>34</v>
      </c>
      <c r="D4302" s="2" t="s">
        <v>35</v>
      </c>
      <c r="E4302" s="5">
        <v>-30415</v>
      </c>
      <c r="F4302" s="3" t="s">
        <v>585</v>
      </c>
      <c r="G4302" s="3" t="s">
        <v>1156</v>
      </c>
      <c r="H4302" s="2" t="s">
        <v>21</v>
      </c>
      <c r="I4302" s="2" t="s">
        <v>10119</v>
      </c>
      <c r="J4302" s="3" t="str">
        <f>HYPERLINK("https://www.boe.es/gazeta/dias/1816/09/21/pdfs/GMD-1816-117.pdf#page=7","Abrir facsímil")</f>
        <v>Abrir facsímil</v>
      </c>
      <c r="K4302" s="3" t="s">
        <v>23</v>
      </c>
    </row>
    <row r="4303" spans="1:11" ht="42" customHeight="1">
      <c r="A4303" s="2" t="s">
        <v>10120</v>
      </c>
      <c r="B4303" s="2" t="s">
        <v>10121</v>
      </c>
      <c r="C4303" s="2" t="s">
        <v>26</v>
      </c>
      <c r="D4303" s="2" t="s">
        <v>56</v>
      </c>
      <c r="E4303" s="5">
        <v>-30393</v>
      </c>
      <c r="F4303" s="3" t="s">
        <v>202</v>
      </c>
      <c r="G4303" s="3" t="s">
        <v>834</v>
      </c>
      <c r="H4303" s="2" t="s">
        <v>21</v>
      </c>
      <c r="I4303" s="2" t="s">
        <v>10122</v>
      </c>
      <c r="J4303" s="3" t="str">
        <f>HYPERLINK("https://www.boe.es/gazeta/dias/1816/10/13/pdfs/GMD-1816-128E.pdf#page=6","Abrir facsímil")</f>
        <v>Abrir facsímil</v>
      </c>
      <c r="K4303" s="3" t="s">
        <v>23</v>
      </c>
    </row>
    <row r="4304" spans="1:11" ht="42" customHeight="1">
      <c r="A4304" s="2" t="s">
        <v>10123</v>
      </c>
      <c r="B4304" s="2" t="s">
        <v>10124</v>
      </c>
      <c r="C4304" s="2" t="s">
        <v>34</v>
      </c>
      <c r="D4304" s="2" t="s">
        <v>56</v>
      </c>
      <c r="E4304" s="5">
        <v>-30393</v>
      </c>
      <c r="F4304" s="3" t="s">
        <v>202</v>
      </c>
      <c r="G4304" s="3" t="s">
        <v>203</v>
      </c>
      <c r="H4304" s="2" t="s">
        <v>21</v>
      </c>
      <c r="I4304" s="2" t="s">
        <v>10125</v>
      </c>
      <c r="J4304" s="3" t="str">
        <f>HYPERLINK("https://www.boe.es/gazeta/dias/1816/10/13/pdfs/GMD-1816-128E.pdf#page=7","Abrir facsímil")</f>
        <v>Abrir facsímil</v>
      </c>
      <c r="K4304" s="3" t="s">
        <v>23</v>
      </c>
    </row>
    <row r="4305" spans="1:11" ht="42" customHeight="1">
      <c r="A4305" s="2" t="s">
        <v>10126</v>
      </c>
      <c r="B4305" s="2" t="s">
        <v>10127</v>
      </c>
      <c r="C4305" s="2" t="s">
        <v>34</v>
      </c>
      <c r="D4305" s="2" t="s">
        <v>35</v>
      </c>
      <c r="E4305" s="5">
        <v>-30576</v>
      </c>
      <c r="F4305" s="3" t="s">
        <v>353</v>
      </c>
      <c r="G4305" s="3" t="s">
        <v>72</v>
      </c>
      <c r="H4305" s="2" t="s">
        <v>29</v>
      </c>
      <c r="I4305" s="2" t="s">
        <v>10128</v>
      </c>
      <c r="J4305" s="3" t="str">
        <f>HYPERLINK("https://www.boe.es/gazeta/dias/1816/04/13/pdfs/GMD-1816-48.pdf#page=7","Abrir facsímil")</f>
        <v>Abrir facsímil</v>
      </c>
      <c r="K4305" s="3" t="s">
        <v>31</v>
      </c>
    </row>
    <row r="4306" spans="1:11" ht="42" customHeight="1">
      <c r="A4306" s="2" t="s">
        <v>10129</v>
      </c>
      <c r="B4306" s="2" t="s">
        <v>10130</v>
      </c>
      <c r="C4306" s="2" t="s">
        <v>111</v>
      </c>
      <c r="D4306" s="2" t="s">
        <v>112</v>
      </c>
      <c r="E4306" s="5">
        <v>-30375</v>
      </c>
      <c r="F4306" s="3" t="s">
        <v>404</v>
      </c>
      <c r="G4306" s="3" t="s">
        <v>1276</v>
      </c>
      <c r="H4306" s="2" t="s">
        <v>21</v>
      </c>
      <c r="I4306" s="2" t="s">
        <v>10131</v>
      </c>
      <c r="J4306" s="3" t="str">
        <f>HYPERLINK("https://www.boe.es/gazeta/dias/1816/10/31/pdfs/GMD-1816-136.pdf#page=5","Abrir facsímil")</f>
        <v>Abrir facsímil</v>
      </c>
      <c r="K4306" s="3" t="s">
        <v>23</v>
      </c>
    </row>
    <row r="4307" spans="1:11" ht="42" customHeight="1">
      <c r="A4307" s="2" t="s">
        <v>10132</v>
      </c>
      <c r="B4307" s="2" t="s">
        <v>10133</v>
      </c>
      <c r="C4307" s="2" t="s">
        <v>26</v>
      </c>
      <c r="D4307" s="2" t="s">
        <v>18</v>
      </c>
      <c r="E4307" s="5">
        <v>-30387</v>
      </c>
      <c r="F4307" s="3" t="s">
        <v>224</v>
      </c>
      <c r="G4307" s="3" t="s">
        <v>72</v>
      </c>
      <c r="H4307" s="2" t="s">
        <v>21</v>
      </c>
      <c r="I4307" s="2" t="s">
        <v>10134</v>
      </c>
      <c r="J4307" s="3" t="str">
        <f>HYPERLINK("https://www.boe.es/gazeta/dias/1816/10/19/pdfs/GMD-1816-131.pdf#page=7","Abrir facsímil")</f>
        <v>Abrir facsímil</v>
      </c>
      <c r="K4307" s="3" t="s">
        <v>23</v>
      </c>
    </row>
    <row r="4308" spans="1:11" ht="42" customHeight="1">
      <c r="A4308" s="2" t="s">
        <v>10135</v>
      </c>
      <c r="B4308" s="2" t="s">
        <v>10135</v>
      </c>
      <c r="C4308" s="2" t="s">
        <v>26</v>
      </c>
      <c r="D4308" s="2" t="s">
        <v>18</v>
      </c>
      <c r="E4308" s="5">
        <v>-30494</v>
      </c>
      <c r="F4308" s="3" t="s">
        <v>174</v>
      </c>
      <c r="G4308" s="3" t="s">
        <v>72</v>
      </c>
      <c r="H4308" s="2" t="s">
        <v>21</v>
      </c>
      <c r="I4308" s="2" t="s">
        <v>10136</v>
      </c>
      <c r="J4308" s="3" t="str">
        <f>HYPERLINK("https://www.boe.es/gazeta/dias/1816/07/04/pdfs/GMD-1816-83.pdf#page=7","Abrir facsímil")</f>
        <v>Abrir facsímil</v>
      </c>
      <c r="K4308" s="3" t="s">
        <v>23</v>
      </c>
    </row>
    <row r="4309" spans="1:11" ht="42" customHeight="1">
      <c r="A4309" s="2" t="s">
        <v>10137</v>
      </c>
      <c r="B4309" s="2" t="s">
        <v>10138</v>
      </c>
      <c r="C4309" s="2" t="s">
        <v>67</v>
      </c>
      <c r="D4309" s="2" t="s">
        <v>18</v>
      </c>
      <c r="E4309" s="5">
        <v>-30408</v>
      </c>
      <c r="F4309" s="3" t="s">
        <v>295</v>
      </c>
      <c r="G4309" s="3" t="s">
        <v>47</v>
      </c>
      <c r="H4309" s="2" t="s">
        <v>29</v>
      </c>
      <c r="I4309" s="2" t="s">
        <v>10139</v>
      </c>
      <c r="J4309" s="3" t="str">
        <f>HYPERLINK("https://www.boe.es/gazeta/dias/1816/09/28/pdfs/GMD-1816-120.pdf#page=5","Abrir facsímil")</f>
        <v>Abrir facsímil</v>
      </c>
      <c r="K4309" s="3" t="s">
        <v>31</v>
      </c>
    </row>
    <row r="4310" spans="1:11" ht="42" customHeight="1">
      <c r="A4310" s="2" t="s">
        <v>10140</v>
      </c>
      <c r="B4310" s="2" t="s">
        <v>10141</v>
      </c>
      <c r="C4310" s="2" t="s">
        <v>41</v>
      </c>
      <c r="D4310" s="2" t="s">
        <v>18</v>
      </c>
      <c r="E4310" s="5">
        <v>-30587</v>
      </c>
      <c r="F4310" s="3" t="s">
        <v>341</v>
      </c>
      <c r="G4310" s="3" t="s">
        <v>42</v>
      </c>
      <c r="H4310" s="2" t="s">
        <v>21</v>
      </c>
      <c r="I4310" s="2" t="s">
        <v>10142</v>
      </c>
      <c r="J4310" s="3" t="str">
        <f>HYPERLINK("https://www.boe.es/gazeta/dias/1816/04/02/pdfs/GMD-1816-43.pdf#page=8","Abrir facsímil")</f>
        <v>Abrir facsímil</v>
      </c>
      <c r="K4310" s="3" t="s">
        <v>23</v>
      </c>
    </row>
    <row r="4311" spans="1:11" ht="42" customHeight="1">
      <c r="A4311" s="2" t="s">
        <v>10143</v>
      </c>
      <c r="B4311" s="2" t="s">
        <v>10144</v>
      </c>
      <c r="C4311" s="2" t="s">
        <v>34</v>
      </c>
      <c r="D4311" s="2" t="s">
        <v>35</v>
      </c>
      <c r="E4311" s="5">
        <v>-30464</v>
      </c>
      <c r="F4311" s="3" t="s">
        <v>215</v>
      </c>
      <c r="G4311" s="3" t="s">
        <v>175</v>
      </c>
      <c r="H4311" s="2" t="s">
        <v>21</v>
      </c>
      <c r="I4311" s="2" t="s">
        <v>10145</v>
      </c>
      <c r="J4311" s="3" t="str">
        <f>HYPERLINK("https://www.boe.es/gazeta/dias/1816/08/03/pdfs/GMD-1816-96.pdf#page=11","Abrir facsímil")</f>
        <v>Abrir facsímil</v>
      </c>
      <c r="K4311" s="3" t="s">
        <v>23</v>
      </c>
    </row>
    <row r="4312" spans="1:11" ht="42" customHeight="1">
      <c r="A4312" s="2" t="s">
        <v>10146</v>
      </c>
      <c r="B4312" s="2" t="s">
        <v>10146</v>
      </c>
      <c r="C4312" s="2" t="s">
        <v>34</v>
      </c>
      <c r="D4312" s="2" t="s">
        <v>35</v>
      </c>
      <c r="E4312" s="5">
        <v>-30431</v>
      </c>
      <c r="F4312" s="3" t="s">
        <v>756</v>
      </c>
      <c r="G4312" s="3" t="s">
        <v>72</v>
      </c>
      <c r="H4312" s="2" t="s">
        <v>21</v>
      </c>
      <c r="I4312" s="2" t="s">
        <v>10147</v>
      </c>
      <c r="J4312" s="3" t="str">
        <f>HYPERLINK("https://www.boe.es/gazeta/dias/1816/09/05/pdfs/GMD-1816-110.pdf#page=7","Abrir facsímil")</f>
        <v>Abrir facsímil</v>
      </c>
      <c r="K4312" s="3" t="s">
        <v>23</v>
      </c>
    </row>
    <row r="4313" spans="1:11" ht="42" customHeight="1">
      <c r="A4313" s="2" t="s">
        <v>10148</v>
      </c>
      <c r="B4313" s="2" t="s">
        <v>10149</v>
      </c>
      <c r="C4313" s="2" t="s">
        <v>111</v>
      </c>
      <c r="D4313" s="2" t="s">
        <v>112</v>
      </c>
      <c r="E4313" s="5">
        <v>-30359</v>
      </c>
      <c r="F4313" s="3" t="s">
        <v>812</v>
      </c>
      <c r="G4313" s="3" t="s">
        <v>47</v>
      </c>
      <c r="H4313" s="2" t="s">
        <v>21</v>
      </c>
      <c r="I4313" s="2" t="s">
        <v>10150</v>
      </c>
      <c r="J4313" s="3" t="str">
        <f>HYPERLINK("https://www.boe.es/gazeta/dias/1816/11/16/pdfs/GMD-1816-143.pdf#page=5","Abrir facsímil")</f>
        <v>Abrir facsímil</v>
      </c>
      <c r="K4313" s="3" t="s">
        <v>23</v>
      </c>
    </row>
    <row r="4314" spans="1:11" ht="42" customHeight="1">
      <c r="A4314" s="2" t="s">
        <v>10151</v>
      </c>
      <c r="B4314" s="2" t="s">
        <v>10152</v>
      </c>
      <c r="C4314" s="2" t="s">
        <v>26</v>
      </c>
      <c r="D4314" s="2" t="s">
        <v>18</v>
      </c>
      <c r="E4314" s="5">
        <v>-30338</v>
      </c>
      <c r="F4314" s="3" t="s">
        <v>464</v>
      </c>
      <c r="G4314" s="3" t="s">
        <v>959</v>
      </c>
      <c r="H4314" s="2" t="s">
        <v>29</v>
      </c>
      <c r="I4314" s="2" t="s">
        <v>10153</v>
      </c>
      <c r="J4314" s="3" t="str">
        <f>HYPERLINK("https://www.boe.es/gazeta/dias/1816/12/07/pdfs/GMD-1816-152.pdf#page=5","Abrir facsímil")</f>
        <v>Abrir facsímil</v>
      </c>
      <c r="K4314" s="3" t="s">
        <v>31</v>
      </c>
    </row>
    <row r="4315" spans="1:11" ht="42" customHeight="1">
      <c r="A4315" s="2" t="s">
        <v>10154</v>
      </c>
      <c r="B4315" s="2" t="s">
        <v>10154</v>
      </c>
      <c r="C4315" s="2" t="s">
        <v>111</v>
      </c>
      <c r="D4315" s="2" t="s">
        <v>112</v>
      </c>
      <c r="E4315" s="5">
        <v>-30387</v>
      </c>
      <c r="F4315" s="3" t="s">
        <v>224</v>
      </c>
      <c r="G4315" s="3" t="s">
        <v>72</v>
      </c>
      <c r="H4315" s="2" t="s">
        <v>21</v>
      </c>
      <c r="I4315" s="2" t="s">
        <v>10155</v>
      </c>
      <c r="J4315" s="3" t="str">
        <f>HYPERLINK("https://www.boe.es/gazeta/dias/1816/10/19/pdfs/GMD-1816-131.pdf#page=7","Abrir facsímil")</f>
        <v>Abrir facsímil</v>
      </c>
      <c r="K4315" s="3" t="s">
        <v>23</v>
      </c>
    </row>
    <row r="4316" spans="1:11" ht="42" customHeight="1">
      <c r="A4316" s="2" t="s">
        <v>10156</v>
      </c>
      <c r="B4316" s="2" t="s">
        <v>10157</v>
      </c>
      <c r="C4316" s="2" t="s">
        <v>17</v>
      </c>
      <c r="D4316" s="2" t="s">
        <v>18</v>
      </c>
      <c r="E4316" s="5">
        <v>-30622</v>
      </c>
      <c r="F4316" s="3" t="s">
        <v>27</v>
      </c>
      <c r="G4316" s="3" t="s">
        <v>2195</v>
      </c>
      <c r="H4316" s="2" t="s">
        <v>21</v>
      </c>
      <c r="I4316" s="2" t="s">
        <v>10158</v>
      </c>
      <c r="J4316" s="3" t="str">
        <f>HYPERLINK("https://www.boe.es/gazeta/dias/1816/02/27/pdfs/GMD-1816-26.pdf#page=8","Abrir facsímil")</f>
        <v>Abrir facsímil</v>
      </c>
      <c r="K4316" s="3" t="s">
        <v>23</v>
      </c>
    </row>
    <row r="4317" spans="1:11" ht="42" customHeight="1">
      <c r="A4317" s="2" t="s">
        <v>10159</v>
      </c>
      <c r="B4317" s="2" t="s">
        <v>10160</v>
      </c>
      <c r="C4317" s="2" t="s">
        <v>26</v>
      </c>
      <c r="D4317" s="2" t="s">
        <v>56</v>
      </c>
      <c r="E4317" s="5">
        <v>-30393</v>
      </c>
      <c r="F4317" s="3" t="s">
        <v>202</v>
      </c>
      <c r="G4317" s="3" t="s">
        <v>203</v>
      </c>
      <c r="H4317" s="2" t="s">
        <v>21</v>
      </c>
      <c r="I4317" s="2" t="s">
        <v>10161</v>
      </c>
      <c r="J4317" s="3" t="str">
        <f>HYPERLINK("https://www.boe.es/gazeta/dias/1816/10/13/pdfs/GMD-1816-128E.pdf#page=7","Abrir facsímil")</f>
        <v>Abrir facsímil</v>
      </c>
      <c r="K4317" s="3" t="s">
        <v>23</v>
      </c>
    </row>
    <row r="4318" spans="1:11" ht="42" customHeight="1">
      <c r="A4318" s="2" t="s">
        <v>10162</v>
      </c>
      <c r="B4318" s="2" t="s">
        <v>10163</v>
      </c>
      <c r="C4318" s="2" t="s">
        <v>26</v>
      </c>
      <c r="D4318" s="2" t="s">
        <v>18</v>
      </c>
      <c r="E4318" s="5">
        <v>-30592</v>
      </c>
      <c r="F4318" s="3" t="s">
        <v>236</v>
      </c>
      <c r="G4318" s="3" t="s">
        <v>92</v>
      </c>
      <c r="H4318" s="2" t="s">
        <v>21</v>
      </c>
      <c r="I4318" s="2" t="s">
        <v>10164</v>
      </c>
      <c r="J4318" s="3" t="str">
        <f>HYPERLINK("https://www.boe.es/gazeta/dias/1816/03/28/pdfs/GMD-1816-41.pdf#page=9","Abrir facsímil")</f>
        <v>Abrir facsímil</v>
      </c>
      <c r="K4318" s="3" t="s">
        <v>23</v>
      </c>
    </row>
    <row r="4319" spans="1:11" ht="42" customHeight="1">
      <c r="A4319" s="2" t="s">
        <v>10165</v>
      </c>
      <c r="B4319" s="2" t="s">
        <v>10166</v>
      </c>
      <c r="C4319" s="2" t="s">
        <v>26</v>
      </c>
      <c r="D4319" s="2" t="s">
        <v>18</v>
      </c>
      <c r="E4319" s="5">
        <v>-30585</v>
      </c>
      <c r="F4319" s="3" t="s">
        <v>633</v>
      </c>
      <c r="G4319" s="3" t="s">
        <v>634</v>
      </c>
      <c r="H4319" s="2" t="s">
        <v>21</v>
      </c>
      <c r="I4319" s="2" t="s">
        <v>10167</v>
      </c>
      <c r="J4319" s="3" t="str">
        <f>HYPERLINK("https://www.boe.es/gazeta/dias/1816/04/04/pdfs/GMD-1816-44.pdf#page=6","Abrir facsímil")</f>
        <v>Abrir facsímil</v>
      </c>
      <c r="K4319" s="3" t="s">
        <v>23</v>
      </c>
    </row>
    <row r="4320" spans="1:11" ht="42" customHeight="1">
      <c r="A4320" s="2" t="s">
        <v>10168</v>
      </c>
      <c r="B4320" s="2" t="s">
        <v>10169</v>
      </c>
      <c r="C4320" s="2" t="s">
        <v>111</v>
      </c>
      <c r="D4320" s="2" t="s">
        <v>112</v>
      </c>
      <c r="E4320" s="5">
        <v>-30489</v>
      </c>
      <c r="F4320" s="3" t="s">
        <v>1120</v>
      </c>
      <c r="G4320" s="3" t="s">
        <v>28</v>
      </c>
      <c r="H4320" s="2" t="s">
        <v>21</v>
      </c>
      <c r="I4320" s="2" t="s">
        <v>10170</v>
      </c>
      <c r="J4320" s="3" t="str">
        <f>HYPERLINK("https://www.boe.es/gazeta/dias/1816/07/09/pdfs/GMD-1816-85.pdf#page=6","Abrir facsímil")</f>
        <v>Abrir facsímil</v>
      </c>
      <c r="K4320" s="3" t="s">
        <v>23</v>
      </c>
    </row>
    <row r="4321" spans="1:11" ht="42" customHeight="1">
      <c r="A4321" s="2" t="s">
        <v>10171</v>
      </c>
      <c r="B4321" s="2" t="s">
        <v>10172</v>
      </c>
      <c r="C4321" s="2" t="s">
        <v>34</v>
      </c>
      <c r="D4321" s="2" t="s">
        <v>35</v>
      </c>
      <c r="E4321" s="5">
        <v>-30592</v>
      </c>
      <c r="F4321" s="3" t="s">
        <v>236</v>
      </c>
      <c r="G4321" s="3" t="s">
        <v>28</v>
      </c>
      <c r="H4321" s="2" t="s">
        <v>21</v>
      </c>
      <c r="I4321" s="2" t="s">
        <v>10173</v>
      </c>
      <c r="J4321" s="3" t="str">
        <f>HYPERLINK("https://www.boe.es/gazeta/dias/1816/03/28/pdfs/GMD-1816-41.pdf#page=6","Abrir facsímil")</f>
        <v>Abrir facsímil</v>
      </c>
      <c r="K4321" s="3" t="s">
        <v>23</v>
      </c>
    </row>
    <row r="4322" spans="1:11" ht="42" customHeight="1">
      <c r="A4322" s="2" t="s">
        <v>10171</v>
      </c>
      <c r="B4322" s="2" t="s">
        <v>10172</v>
      </c>
      <c r="C4322" s="2" t="s">
        <v>34</v>
      </c>
      <c r="D4322" s="2" t="s">
        <v>35</v>
      </c>
      <c r="E4322" s="5">
        <v>-30580</v>
      </c>
      <c r="F4322" s="3" t="s">
        <v>107</v>
      </c>
      <c r="G4322" s="3" t="s">
        <v>72</v>
      </c>
      <c r="H4322" s="2" t="s">
        <v>21</v>
      </c>
      <c r="I4322" s="2" t="s">
        <v>10174</v>
      </c>
      <c r="J4322" s="3" t="str">
        <f>HYPERLINK("https://www.boe.es/gazeta/dias/1816/04/09/pdfs/GMD-1816-46.pdf#page=7","Abrir facsímil")</f>
        <v>Abrir facsímil</v>
      </c>
      <c r="K4322" s="3" t="s">
        <v>23</v>
      </c>
    </row>
    <row r="4323" spans="1:11" ht="42" customHeight="1">
      <c r="A4323" s="2" t="s">
        <v>10175</v>
      </c>
      <c r="B4323" s="2" t="s">
        <v>10176</v>
      </c>
      <c r="C4323" s="2" t="s">
        <v>111</v>
      </c>
      <c r="D4323" s="2" t="s">
        <v>112</v>
      </c>
      <c r="E4323" s="5">
        <v>-30590</v>
      </c>
      <c r="F4323" s="3" t="s">
        <v>195</v>
      </c>
      <c r="G4323" s="3" t="s">
        <v>47</v>
      </c>
      <c r="H4323" s="2" t="s">
        <v>21</v>
      </c>
      <c r="I4323" s="2" t="s">
        <v>10177</v>
      </c>
      <c r="J4323" s="3" t="str">
        <f>HYPERLINK("https://www.boe.es/gazeta/dias/1816/03/30/pdfs/GMD-1816-42.pdf#page=5","Abrir facsímil")</f>
        <v>Abrir facsímil</v>
      </c>
      <c r="K4323" s="3" t="s">
        <v>23</v>
      </c>
    </row>
    <row r="4324" spans="1:11" ht="42" customHeight="1">
      <c r="A4324" s="2" t="s">
        <v>10178</v>
      </c>
      <c r="B4324" s="2" t="s">
        <v>10179</v>
      </c>
      <c r="C4324" s="2" t="s">
        <v>34</v>
      </c>
      <c r="D4324" s="2" t="s">
        <v>35</v>
      </c>
      <c r="E4324" s="5">
        <v>-30375</v>
      </c>
      <c r="F4324" s="3" t="s">
        <v>404</v>
      </c>
      <c r="G4324" s="3" t="s">
        <v>405</v>
      </c>
      <c r="H4324" s="2" t="s">
        <v>21</v>
      </c>
      <c r="I4324" s="2" t="s">
        <v>10180</v>
      </c>
      <c r="J4324" s="3" t="str">
        <f>HYPERLINK("https://www.boe.es/gazeta/dias/1816/10/31/pdfs/GMD-1816-136.pdf#page=6","Abrir facsímil")</f>
        <v>Abrir facsímil</v>
      </c>
      <c r="K4324" s="3" t="s">
        <v>23</v>
      </c>
    </row>
    <row r="4325" spans="1:11" ht="42" customHeight="1">
      <c r="A4325" s="2" t="s">
        <v>10181</v>
      </c>
      <c r="B4325" s="2" t="s">
        <v>10182</v>
      </c>
      <c r="C4325" s="2" t="s">
        <v>81</v>
      </c>
      <c r="D4325" s="2" t="s">
        <v>18</v>
      </c>
      <c r="E4325" s="5">
        <v>-30592</v>
      </c>
      <c r="F4325" s="3" t="s">
        <v>236</v>
      </c>
      <c r="G4325" s="3" t="s">
        <v>92</v>
      </c>
      <c r="H4325" s="2" t="s">
        <v>21</v>
      </c>
      <c r="I4325" s="2" t="s">
        <v>10183</v>
      </c>
      <c r="J4325" s="3" t="str">
        <f>HYPERLINK("https://www.boe.es/gazeta/dias/1816/03/28/pdfs/GMD-1816-41.pdf#page=9","Abrir facsímil")</f>
        <v>Abrir facsímil</v>
      </c>
      <c r="K4325" s="3" t="s">
        <v>23</v>
      </c>
    </row>
    <row r="4326" spans="1:11" ht="42" customHeight="1">
      <c r="A4326" s="2" t="s">
        <v>10184</v>
      </c>
      <c r="B4326" s="2" t="s">
        <v>10185</v>
      </c>
      <c r="C4326" s="2" t="s">
        <v>34</v>
      </c>
      <c r="D4326" s="2" t="s">
        <v>35</v>
      </c>
      <c r="E4326" s="5">
        <v>-30443</v>
      </c>
      <c r="F4326" s="3" t="s">
        <v>259</v>
      </c>
      <c r="G4326" s="3" t="s">
        <v>260</v>
      </c>
      <c r="H4326" s="2" t="s">
        <v>21</v>
      </c>
      <c r="I4326" s="2" t="s">
        <v>10186</v>
      </c>
      <c r="J4326" s="3" t="str">
        <f>HYPERLINK("https://www.boe.es/gazeta/dias/1816/08/24/pdfs/GMD-1816-105.pdf#page=8","Abrir facsímil")</f>
        <v>Abrir facsímil</v>
      </c>
      <c r="K4326" s="3" t="s">
        <v>23</v>
      </c>
    </row>
    <row r="4327" spans="1:11" ht="42" customHeight="1">
      <c r="A4327" s="2" t="s">
        <v>10187</v>
      </c>
      <c r="B4327" s="2" t="s">
        <v>10188</v>
      </c>
      <c r="C4327" s="2" t="s">
        <v>34</v>
      </c>
      <c r="D4327" s="2" t="s">
        <v>35</v>
      </c>
      <c r="E4327" s="5">
        <v>-30433</v>
      </c>
      <c r="F4327" s="3" t="s">
        <v>954</v>
      </c>
      <c r="G4327" s="3" t="s">
        <v>184</v>
      </c>
      <c r="H4327" s="2" t="s">
        <v>21</v>
      </c>
      <c r="I4327" s="2" t="s">
        <v>10189</v>
      </c>
      <c r="J4327" s="3" t="str">
        <f>HYPERLINK("https://www.boe.es/gazeta/dias/1816/09/03/pdfs/GMD-1816-109.pdf#page=3","Abrir facsímil")</f>
        <v>Abrir facsímil</v>
      </c>
      <c r="K4327" s="3" t="s">
        <v>23</v>
      </c>
    </row>
    <row r="4328" spans="1:11" ht="42" customHeight="1">
      <c r="A4328" s="2" t="s">
        <v>10190</v>
      </c>
      <c r="B4328" s="2" t="s">
        <v>10191</v>
      </c>
      <c r="C4328" s="2" t="s">
        <v>41</v>
      </c>
      <c r="D4328" s="2" t="s">
        <v>18</v>
      </c>
      <c r="E4328" s="5">
        <v>-30429</v>
      </c>
      <c r="F4328" s="3" t="s">
        <v>598</v>
      </c>
      <c r="G4328" s="3" t="s">
        <v>42</v>
      </c>
      <c r="H4328" s="2" t="s">
        <v>21</v>
      </c>
      <c r="I4328" s="2" t="s">
        <v>10192</v>
      </c>
      <c r="J4328" s="3" t="str">
        <f>HYPERLINK("https://www.boe.es/gazeta/dias/1816/09/07/pdfs/GMD-1816-111.pdf#page=8","Abrir facsímil")</f>
        <v>Abrir facsímil</v>
      </c>
      <c r="K4328" s="3" t="s">
        <v>23</v>
      </c>
    </row>
    <row r="4329" spans="1:11" ht="42" customHeight="1">
      <c r="A4329" s="2" t="s">
        <v>10193</v>
      </c>
      <c r="B4329" s="2" t="s">
        <v>10194</v>
      </c>
      <c r="C4329" s="2" t="s">
        <v>111</v>
      </c>
      <c r="D4329" s="2" t="s">
        <v>112</v>
      </c>
      <c r="E4329" s="5">
        <v>-30650</v>
      </c>
      <c r="F4329" s="3" t="s">
        <v>1170</v>
      </c>
      <c r="G4329" s="3" t="s">
        <v>42</v>
      </c>
      <c r="H4329" s="2" t="s">
        <v>21</v>
      </c>
      <c r="I4329" s="2" t="s">
        <v>10195</v>
      </c>
      <c r="J4329" s="3" t="str">
        <f>HYPERLINK("https://www.boe.es/gazeta/dias/1816/01/30/pdfs/GMD-1816-14.pdf#page=8","Abrir facsímil")</f>
        <v>Abrir facsímil</v>
      </c>
      <c r="K4329" s="3" t="s">
        <v>23</v>
      </c>
    </row>
    <row r="4330" spans="1:11" ht="42" customHeight="1">
      <c r="A4330" s="2" t="s">
        <v>10193</v>
      </c>
      <c r="B4330" s="2" t="s">
        <v>10194</v>
      </c>
      <c r="C4330" s="2" t="s">
        <v>111</v>
      </c>
      <c r="D4330" s="2" t="s">
        <v>112</v>
      </c>
      <c r="E4330" s="5">
        <v>-30585</v>
      </c>
      <c r="F4330" s="3" t="s">
        <v>633</v>
      </c>
      <c r="G4330" s="3" t="s">
        <v>72</v>
      </c>
      <c r="H4330" s="2" t="s">
        <v>21</v>
      </c>
      <c r="I4330" s="2" t="s">
        <v>10196</v>
      </c>
      <c r="J4330" s="3" t="str">
        <f>HYPERLINK("https://www.boe.es/gazeta/dias/1816/04/04/pdfs/GMD-1816-44.pdf#page=7","Abrir facsímil")</f>
        <v>Abrir facsímil</v>
      </c>
      <c r="K4330" s="3" t="s">
        <v>23</v>
      </c>
    </row>
    <row r="4331" spans="1:11" ht="42" customHeight="1">
      <c r="A4331" s="2" t="s">
        <v>10193</v>
      </c>
      <c r="B4331" s="2" t="s">
        <v>10194</v>
      </c>
      <c r="C4331" s="2" t="s">
        <v>111</v>
      </c>
      <c r="D4331" s="2" t="s">
        <v>112</v>
      </c>
      <c r="E4331" s="5">
        <v>-30548</v>
      </c>
      <c r="F4331" s="3" t="s">
        <v>472</v>
      </c>
      <c r="G4331" s="3" t="s">
        <v>42</v>
      </c>
      <c r="H4331" s="2" t="s">
        <v>21</v>
      </c>
      <c r="I4331" s="2" t="s">
        <v>10197</v>
      </c>
      <c r="J4331" s="3" t="str">
        <f>HYPERLINK("https://www.boe.es/gazeta/dias/1816/05/11/pdfs/GMD-1816-60.pdf#page=8","Abrir facsímil")</f>
        <v>Abrir facsímil</v>
      </c>
      <c r="K4331" s="3" t="s">
        <v>23</v>
      </c>
    </row>
    <row r="4332" spans="1:11" ht="42" customHeight="1">
      <c r="A4332" s="2" t="s">
        <v>10193</v>
      </c>
      <c r="B4332" s="2" t="s">
        <v>10194</v>
      </c>
      <c r="C4332" s="2" t="s">
        <v>111</v>
      </c>
      <c r="D4332" s="2" t="s">
        <v>112</v>
      </c>
      <c r="E4332" s="5">
        <v>-30508</v>
      </c>
      <c r="F4332" s="3" t="s">
        <v>36</v>
      </c>
      <c r="G4332" s="3" t="s">
        <v>42</v>
      </c>
      <c r="H4332" s="2" t="s">
        <v>21</v>
      </c>
      <c r="I4332" s="2" t="s">
        <v>10198</v>
      </c>
      <c r="J4332" s="3" t="str">
        <f>HYPERLINK("https://www.boe.es/gazeta/dias/1816/06/20/pdfs/GMD-1816-77.pdf#page=8","Abrir facsímil")</f>
        <v>Abrir facsímil</v>
      </c>
      <c r="K4332" s="3" t="s">
        <v>23</v>
      </c>
    </row>
    <row r="4333" spans="1:11" ht="42" customHeight="1">
      <c r="A4333" s="2" t="s">
        <v>10193</v>
      </c>
      <c r="B4333" s="2" t="s">
        <v>10194</v>
      </c>
      <c r="C4333" s="2" t="s">
        <v>26</v>
      </c>
      <c r="D4333" s="2" t="s">
        <v>18</v>
      </c>
      <c r="E4333" s="5">
        <v>-30417</v>
      </c>
      <c r="F4333" s="3" t="s">
        <v>62</v>
      </c>
      <c r="G4333" s="3" t="s">
        <v>63</v>
      </c>
      <c r="H4333" s="2" t="s">
        <v>21</v>
      </c>
      <c r="I4333" s="2" t="s">
        <v>10199</v>
      </c>
      <c r="J4333" s="3" t="str">
        <f>HYPERLINK("https://www.boe.es/gazeta/dias/1816/09/19/pdfs/GMD-1816-116.pdf#page=8","Abrir facsímil")</f>
        <v>Abrir facsímil</v>
      </c>
      <c r="K4333" s="3" t="s">
        <v>23</v>
      </c>
    </row>
    <row r="4334" spans="1:11" ht="42" customHeight="1">
      <c r="A4334" s="2" t="s">
        <v>10200</v>
      </c>
      <c r="B4334" s="2" t="s">
        <v>10201</v>
      </c>
      <c r="C4334" s="2" t="s">
        <v>67</v>
      </c>
      <c r="D4334" s="2" t="s">
        <v>18</v>
      </c>
      <c r="E4334" s="5">
        <v>-30543</v>
      </c>
      <c r="F4334" s="3" t="s">
        <v>94</v>
      </c>
      <c r="G4334" s="3" t="s">
        <v>3595</v>
      </c>
      <c r="H4334" s="2" t="s">
        <v>29</v>
      </c>
      <c r="I4334" s="2" t="s">
        <v>10202</v>
      </c>
      <c r="J4334" s="3" t="str">
        <f>HYPERLINK("https://www.boe.es/gazeta/dias/1816/05/16/pdfs/GMD-1816-62.pdf#page=8","Abrir facsímil")</f>
        <v>Abrir facsímil</v>
      </c>
      <c r="K4334" s="3" t="s">
        <v>31</v>
      </c>
    </row>
    <row r="4335" spans="1:11" ht="42" customHeight="1">
      <c r="A4335" s="2" t="s">
        <v>10203</v>
      </c>
      <c r="B4335" s="2" t="s">
        <v>10204</v>
      </c>
      <c r="C4335" s="2" t="s">
        <v>111</v>
      </c>
      <c r="D4335" s="2" t="s">
        <v>112</v>
      </c>
      <c r="E4335" s="5">
        <v>-30557</v>
      </c>
      <c r="F4335" s="3" t="s">
        <v>508</v>
      </c>
      <c r="G4335" s="3" t="s">
        <v>42</v>
      </c>
      <c r="H4335" s="2" t="s">
        <v>21</v>
      </c>
      <c r="I4335" s="2" t="s">
        <v>10205</v>
      </c>
      <c r="J4335" s="3" t="str">
        <f>HYPERLINK("https://www.boe.es/gazeta/dias/1816/05/02/pdfs/GMD-1816-56.pdf#page=8","Abrir facsímil")</f>
        <v>Abrir facsímil</v>
      </c>
      <c r="K4335" s="3" t="s">
        <v>23</v>
      </c>
    </row>
    <row r="4336" spans="1:11" ht="42" customHeight="1">
      <c r="A4336" s="2" t="s">
        <v>10206</v>
      </c>
      <c r="B4336" s="2" t="s">
        <v>10207</v>
      </c>
      <c r="C4336" s="2" t="s">
        <v>26</v>
      </c>
      <c r="D4336" s="2" t="s">
        <v>18</v>
      </c>
      <c r="E4336" s="5">
        <v>-30655</v>
      </c>
      <c r="F4336" s="3" t="s">
        <v>170</v>
      </c>
      <c r="G4336" s="3" t="s">
        <v>72</v>
      </c>
      <c r="H4336" s="2" t="s">
        <v>21</v>
      </c>
      <c r="I4336" s="2" t="s">
        <v>10208</v>
      </c>
      <c r="J4336" s="3" t="str">
        <f>HYPERLINK("https://www.boe.es/gazeta/dias/1816/01/25/pdfs/GMD-1816-11.pdf#page=7","Abrir facsímil")</f>
        <v>Abrir facsímil</v>
      </c>
      <c r="K4336" s="3" t="s">
        <v>23</v>
      </c>
    </row>
    <row r="4337" spans="1:11" ht="42" customHeight="1">
      <c r="A4337" s="2" t="s">
        <v>10209</v>
      </c>
      <c r="B4337" s="2" t="s">
        <v>10210</v>
      </c>
      <c r="C4337" s="2" t="s">
        <v>34</v>
      </c>
      <c r="D4337" s="2" t="s">
        <v>35</v>
      </c>
      <c r="E4337" s="5">
        <v>-30629</v>
      </c>
      <c r="F4337" s="3" t="s">
        <v>904</v>
      </c>
      <c r="G4337" s="3" t="s">
        <v>28</v>
      </c>
      <c r="H4337" s="2" t="s">
        <v>21</v>
      </c>
      <c r="I4337" s="2" t="s">
        <v>10211</v>
      </c>
      <c r="J4337" s="3" t="str">
        <f>HYPERLINK("https://www.boe.es/gazeta/dias/1816/02/20/pdfs/GMD-1816-23.pdf#page=6","Abrir facsímil")</f>
        <v>Abrir facsímil</v>
      </c>
      <c r="K4337" s="3" t="s">
        <v>23</v>
      </c>
    </row>
    <row r="4338" spans="1:11" ht="42" customHeight="1">
      <c r="A4338" s="2" t="s">
        <v>10212</v>
      </c>
      <c r="B4338" s="2" t="s">
        <v>10213</v>
      </c>
      <c r="C4338" s="2" t="s">
        <v>34</v>
      </c>
      <c r="D4338" s="2" t="s">
        <v>35</v>
      </c>
      <c r="E4338" s="5">
        <v>-30639</v>
      </c>
      <c r="F4338" s="3" t="s">
        <v>87</v>
      </c>
      <c r="G4338" s="3" t="s">
        <v>47</v>
      </c>
      <c r="H4338" s="2" t="s">
        <v>21</v>
      </c>
      <c r="I4338" s="2" t="s">
        <v>10214</v>
      </c>
      <c r="J4338" s="3" t="str">
        <f>HYPERLINK("https://www.boe.es/gazeta/dias/1816/02/10/pdfs/GMD-1816-19.pdf#page=5","Abrir facsímil")</f>
        <v>Abrir facsímil</v>
      </c>
      <c r="K4338" s="3" t="s">
        <v>23</v>
      </c>
    </row>
    <row r="4339" spans="1:11" ht="42" customHeight="1">
      <c r="A4339" s="2" t="s">
        <v>10215</v>
      </c>
      <c r="B4339" s="2" t="s">
        <v>10216</v>
      </c>
      <c r="C4339" s="2" t="s">
        <v>34</v>
      </c>
      <c r="D4339" s="2" t="s">
        <v>35</v>
      </c>
      <c r="E4339" s="5">
        <v>-30473</v>
      </c>
      <c r="F4339" s="3" t="s">
        <v>336</v>
      </c>
      <c r="G4339" s="3" t="s">
        <v>47</v>
      </c>
      <c r="H4339" s="2" t="s">
        <v>21</v>
      </c>
      <c r="I4339" s="2" t="s">
        <v>10217</v>
      </c>
      <c r="J4339" s="3" t="str">
        <f>HYPERLINK("https://www.boe.es/gazeta/dias/1816/07/25/pdfs/GMD-1816-92.pdf#page=5","Abrir facsímil")</f>
        <v>Abrir facsímil</v>
      </c>
      <c r="K4339" s="3" t="s">
        <v>23</v>
      </c>
    </row>
    <row r="4340" spans="1:11" ht="42" customHeight="1">
      <c r="A4340" s="2" t="s">
        <v>10218</v>
      </c>
      <c r="B4340" s="2" t="s">
        <v>10219</v>
      </c>
      <c r="C4340" s="2" t="s">
        <v>34</v>
      </c>
      <c r="D4340" s="2" t="s">
        <v>35</v>
      </c>
      <c r="E4340" s="5">
        <v>-30478</v>
      </c>
      <c r="F4340" s="3" t="s">
        <v>123</v>
      </c>
      <c r="G4340" s="3" t="s">
        <v>42</v>
      </c>
      <c r="H4340" s="2" t="s">
        <v>21</v>
      </c>
      <c r="I4340" s="2" t="s">
        <v>10220</v>
      </c>
      <c r="J4340" s="3" t="str">
        <f>HYPERLINK("https://www.boe.es/gazeta/dias/1816/07/20/pdfs/GMD-1816-90.pdf#page=8","Abrir facsímil")</f>
        <v>Abrir facsímil</v>
      </c>
      <c r="K4340" s="3" t="s">
        <v>23</v>
      </c>
    </row>
    <row r="4341" spans="1:11" ht="42" customHeight="1">
      <c r="A4341" s="2" t="s">
        <v>10221</v>
      </c>
      <c r="B4341" s="2" t="s">
        <v>10222</v>
      </c>
      <c r="C4341" s="2" t="s">
        <v>26</v>
      </c>
      <c r="D4341" s="2" t="s">
        <v>56</v>
      </c>
      <c r="E4341" s="5">
        <v>-30393</v>
      </c>
      <c r="F4341" s="3" t="s">
        <v>202</v>
      </c>
      <c r="G4341" s="3" t="s">
        <v>203</v>
      </c>
      <c r="H4341" s="2" t="s">
        <v>21</v>
      </c>
      <c r="I4341" s="2" t="s">
        <v>10223</v>
      </c>
      <c r="J4341" s="3" t="str">
        <f>HYPERLINK("https://www.boe.es/gazeta/dias/1816/10/13/pdfs/GMD-1816-128E.pdf#page=7","Abrir facsímil")</f>
        <v>Abrir facsímil</v>
      </c>
      <c r="K4341" s="3" t="s">
        <v>23</v>
      </c>
    </row>
    <row r="4342" spans="1:11" ht="42" customHeight="1">
      <c r="A4342" s="2" t="s">
        <v>10224</v>
      </c>
      <c r="B4342" s="2" t="s">
        <v>10225</v>
      </c>
      <c r="C4342" s="2" t="s">
        <v>17</v>
      </c>
      <c r="D4342" s="2" t="s">
        <v>18</v>
      </c>
      <c r="E4342" s="5">
        <v>-30473</v>
      </c>
      <c r="F4342" s="3" t="s">
        <v>336</v>
      </c>
      <c r="G4342" s="3" t="s">
        <v>1615</v>
      </c>
      <c r="H4342" s="2" t="s">
        <v>21</v>
      </c>
      <c r="I4342" s="2" t="s">
        <v>10226</v>
      </c>
      <c r="J4342" s="3" t="str">
        <f>HYPERLINK("https://www.boe.es/gazeta/dias/1816/07/25/pdfs/GMD-1816-92.pdf#page=6","Abrir facsímil")</f>
        <v>Abrir facsímil</v>
      </c>
      <c r="K4342" s="3" t="s">
        <v>23</v>
      </c>
    </row>
    <row r="4343" spans="1:11" ht="42" customHeight="1">
      <c r="A4343" s="2" t="s">
        <v>10227</v>
      </c>
      <c r="B4343" s="2" t="s">
        <v>10228</v>
      </c>
      <c r="C4343" s="2" t="s">
        <v>111</v>
      </c>
      <c r="D4343" s="2" t="s">
        <v>112</v>
      </c>
      <c r="E4343" s="5">
        <v>-30461</v>
      </c>
      <c r="F4343" s="3" t="s">
        <v>912</v>
      </c>
      <c r="G4343" s="3" t="s">
        <v>72</v>
      </c>
      <c r="H4343" s="2" t="s">
        <v>21</v>
      </c>
      <c r="I4343" s="2" t="s">
        <v>10229</v>
      </c>
      <c r="J4343" s="3" t="str">
        <f>HYPERLINK("https://www.boe.es/gazeta/dias/1816/08/06/pdfs/GMD-1816-97.pdf#page=7","Abrir facsímil")</f>
        <v>Abrir facsímil</v>
      </c>
      <c r="K4343" s="3" t="s">
        <v>23</v>
      </c>
    </row>
    <row r="4344" spans="1:11" ht="42" customHeight="1">
      <c r="A4344" s="2" t="s">
        <v>10230</v>
      </c>
      <c r="B4344" s="2" t="s">
        <v>10231</v>
      </c>
      <c r="C4344" s="2" t="s">
        <v>111</v>
      </c>
      <c r="D4344" s="2" t="s">
        <v>112</v>
      </c>
      <c r="E4344" s="5">
        <v>-30618</v>
      </c>
      <c r="F4344" s="3" t="s">
        <v>207</v>
      </c>
      <c r="G4344" s="3" t="s">
        <v>42</v>
      </c>
      <c r="H4344" s="2" t="s">
        <v>21</v>
      </c>
      <c r="I4344" s="2" t="s">
        <v>10232</v>
      </c>
      <c r="J4344" s="3" t="str">
        <f>HYPERLINK("https://www.boe.es/gazeta/dias/1816/03/02/pdfs/GMD-1816-29.pdf#page=8","Abrir facsímil")</f>
        <v>Abrir facsímil</v>
      </c>
      <c r="K4344" s="3" t="s">
        <v>23</v>
      </c>
    </row>
    <row r="4345" spans="1:11" ht="42" customHeight="1">
      <c r="A4345" s="2" t="s">
        <v>10233</v>
      </c>
      <c r="B4345" s="2" t="s">
        <v>10234</v>
      </c>
      <c r="C4345" s="2" t="s">
        <v>111</v>
      </c>
      <c r="D4345" s="2" t="s">
        <v>112</v>
      </c>
      <c r="E4345" s="5">
        <v>-30571</v>
      </c>
      <c r="F4345" s="3" t="s">
        <v>738</v>
      </c>
      <c r="G4345" s="3" t="s">
        <v>28</v>
      </c>
      <c r="H4345" s="2" t="s">
        <v>21</v>
      </c>
      <c r="I4345" s="2" t="s">
        <v>10235</v>
      </c>
      <c r="J4345" s="3" t="str">
        <f>HYPERLINK("https://www.boe.es/gazeta/dias/1816/04/18/pdfs/GMD-1816-50.pdf#page=6","Abrir facsímil")</f>
        <v>Abrir facsímil</v>
      </c>
      <c r="K4345" s="3" t="s">
        <v>23</v>
      </c>
    </row>
    <row r="4346" spans="1:11" ht="42" customHeight="1">
      <c r="A4346" s="2" t="s">
        <v>10230</v>
      </c>
      <c r="B4346" s="2" t="s">
        <v>10231</v>
      </c>
      <c r="C4346" s="2" t="s">
        <v>111</v>
      </c>
      <c r="D4346" s="2" t="s">
        <v>112</v>
      </c>
      <c r="E4346" s="5">
        <v>-30527</v>
      </c>
      <c r="F4346" s="3" t="s">
        <v>304</v>
      </c>
      <c r="G4346" s="3" t="s">
        <v>42</v>
      </c>
      <c r="H4346" s="2" t="s">
        <v>21</v>
      </c>
      <c r="I4346" s="2" t="s">
        <v>10236</v>
      </c>
      <c r="J4346" s="3" t="str">
        <f>HYPERLINK("https://www.boe.es/gazeta/dias/1816/06/01/pdfs/GMD-1816-69.pdf#page=8","Abrir facsímil")</f>
        <v>Abrir facsímil</v>
      </c>
      <c r="K4346" s="3" t="s">
        <v>23</v>
      </c>
    </row>
    <row r="4347" spans="1:11" ht="42" customHeight="1">
      <c r="A4347" s="2" t="s">
        <v>10237</v>
      </c>
      <c r="B4347" s="2" t="s">
        <v>10238</v>
      </c>
      <c r="C4347" s="2" t="s">
        <v>111</v>
      </c>
      <c r="D4347" s="2" t="s">
        <v>112</v>
      </c>
      <c r="E4347" s="5">
        <v>-30489</v>
      </c>
      <c r="F4347" s="3" t="s">
        <v>1120</v>
      </c>
      <c r="G4347" s="3" t="s">
        <v>42</v>
      </c>
      <c r="H4347" s="2" t="s">
        <v>21</v>
      </c>
      <c r="I4347" s="2" t="s">
        <v>10239</v>
      </c>
      <c r="J4347" s="3" t="str">
        <f>HYPERLINK("https://www.boe.es/gazeta/dias/1816/07/09/pdfs/GMD-1816-85.pdf#page=8","Abrir facsímil")</f>
        <v>Abrir facsímil</v>
      </c>
      <c r="K4347" s="3" t="s">
        <v>23</v>
      </c>
    </row>
    <row r="4348" spans="1:11" ht="42" customHeight="1">
      <c r="A4348" s="2" t="s">
        <v>10237</v>
      </c>
      <c r="B4348" s="2" t="s">
        <v>10238</v>
      </c>
      <c r="C4348" s="2" t="s">
        <v>111</v>
      </c>
      <c r="D4348" s="2" t="s">
        <v>112</v>
      </c>
      <c r="E4348" s="5">
        <v>-30387</v>
      </c>
      <c r="F4348" s="3" t="s">
        <v>224</v>
      </c>
      <c r="G4348" s="3" t="s">
        <v>42</v>
      </c>
      <c r="H4348" s="2" t="s">
        <v>21</v>
      </c>
      <c r="I4348" s="2" t="s">
        <v>10240</v>
      </c>
      <c r="J4348" s="3" t="str">
        <f>HYPERLINK("https://www.boe.es/gazeta/dias/1816/10/19/pdfs/GMD-1816-131.pdf#page=8","Abrir facsímil")</f>
        <v>Abrir facsímil</v>
      </c>
      <c r="K4348" s="3" t="s">
        <v>23</v>
      </c>
    </row>
    <row r="4349" spans="1:11" ht="42" customHeight="1">
      <c r="A4349" s="2" t="s">
        <v>10237</v>
      </c>
      <c r="B4349" s="2" t="s">
        <v>10238</v>
      </c>
      <c r="C4349" s="2" t="s">
        <v>111</v>
      </c>
      <c r="D4349" s="2" t="s">
        <v>112</v>
      </c>
      <c r="E4349" s="5">
        <v>-30375</v>
      </c>
      <c r="F4349" s="3" t="s">
        <v>404</v>
      </c>
      <c r="G4349" s="3" t="s">
        <v>3038</v>
      </c>
      <c r="H4349" s="2" t="s">
        <v>21</v>
      </c>
      <c r="I4349" s="2" t="s">
        <v>10241</v>
      </c>
      <c r="J4349" s="3" t="str">
        <f>HYPERLINK("https://www.boe.es/gazeta/dias/1816/10/31/pdfs/GMD-1816-136.pdf#page=8","Abrir facsímil")</f>
        <v>Abrir facsímil</v>
      </c>
      <c r="K4349" s="3" t="s">
        <v>23</v>
      </c>
    </row>
    <row r="4350" spans="1:11" ht="42" customHeight="1">
      <c r="A4350" s="2" t="s">
        <v>10237</v>
      </c>
      <c r="B4350" s="2" t="s">
        <v>10238</v>
      </c>
      <c r="C4350" s="2" t="s">
        <v>111</v>
      </c>
      <c r="D4350" s="2" t="s">
        <v>112</v>
      </c>
      <c r="E4350" s="5">
        <v>-30373</v>
      </c>
      <c r="F4350" s="3" t="s">
        <v>1280</v>
      </c>
      <c r="G4350" s="3" t="s">
        <v>42</v>
      </c>
      <c r="H4350" s="2" t="s">
        <v>21</v>
      </c>
      <c r="I4350" s="2" t="s">
        <v>10242</v>
      </c>
      <c r="J4350" s="3" t="str">
        <f>HYPERLINK("https://www.boe.es/gazeta/dias/1816/11/02/pdfs/GMD-1816-137.pdf#page=8","Abrir facsímil")</f>
        <v>Abrir facsímil</v>
      </c>
      <c r="K4350" s="3" t="s">
        <v>23</v>
      </c>
    </row>
    <row r="4351" spans="1:11" ht="42" customHeight="1">
      <c r="A4351" s="2" t="s">
        <v>10243</v>
      </c>
      <c r="B4351" s="2" t="s">
        <v>10244</v>
      </c>
      <c r="C4351" s="2" t="s">
        <v>111</v>
      </c>
      <c r="D4351" s="2" t="s">
        <v>112</v>
      </c>
      <c r="E4351" s="5">
        <v>-30340</v>
      </c>
      <c r="F4351" s="3" t="s">
        <v>1618</v>
      </c>
      <c r="G4351" s="3" t="s">
        <v>77</v>
      </c>
      <c r="H4351" s="2" t="s">
        <v>21</v>
      </c>
      <c r="I4351" s="2" t="s">
        <v>10245</v>
      </c>
      <c r="J4351" s="3" t="str">
        <f>HYPERLINK("https://www.boe.es/gazeta/dias/1816/12/05/pdfs/GMD-1816-151.pdf#page=8","Abrir facsímil")</f>
        <v>Abrir facsímil</v>
      </c>
      <c r="K4351" s="3" t="s">
        <v>23</v>
      </c>
    </row>
    <row r="4352" spans="1:11" ht="42" customHeight="1">
      <c r="A4352" s="2" t="s">
        <v>10246</v>
      </c>
      <c r="B4352" s="2" t="s">
        <v>10247</v>
      </c>
      <c r="C4352" s="2" t="s">
        <v>26</v>
      </c>
      <c r="D4352" s="2" t="s">
        <v>18</v>
      </c>
      <c r="E4352" s="5">
        <v>-30347</v>
      </c>
      <c r="F4352" s="3" t="s">
        <v>2994</v>
      </c>
      <c r="G4352" s="3" t="s">
        <v>72</v>
      </c>
      <c r="H4352" s="2" t="s">
        <v>21</v>
      </c>
      <c r="I4352" s="2" t="s">
        <v>10248</v>
      </c>
      <c r="J4352" s="3" t="str">
        <f>HYPERLINK("https://www.boe.es/gazeta/dias/1816/11/28/pdfs/GMD-1816-148.pdf#page=7","Abrir facsímil")</f>
        <v>Abrir facsímil</v>
      </c>
      <c r="K4352" s="3" t="s">
        <v>23</v>
      </c>
    </row>
    <row r="4353" spans="1:11" ht="42" customHeight="1">
      <c r="A4353" s="2" t="s">
        <v>10249</v>
      </c>
      <c r="B4353" s="2" t="s">
        <v>10249</v>
      </c>
      <c r="C4353" s="2" t="s">
        <v>34</v>
      </c>
      <c r="D4353" s="2" t="s">
        <v>35</v>
      </c>
      <c r="E4353" s="5">
        <v>-30377</v>
      </c>
      <c r="F4353" s="3" t="s">
        <v>138</v>
      </c>
      <c r="G4353" s="3" t="s">
        <v>103</v>
      </c>
      <c r="H4353" s="2" t="s">
        <v>21</v>
      </c>
      <c r="I4353" s="2" t="s">
        <v>10250</v>
      </c>
      <c r="J4353" s="3" t="str">
        <f>HYPERLINK("https://www.boe.es/gazeta/dias/1816/10/29/pdfs/GMD-1816-135.pdf#page=4","Abrir facsímil")</f>
        <v>Abrir facsímil</v>
      </c>
      <c r="K4353" s="3" t="s">
        <v>23</v>
      </c>
    </row>
    <row r="4354" spans="1:11" ht="42" customHeight="1">
      <c r="A4354" s="2" t="s">
        <v>10251</v>
      </c>
      <c r="B4354" s="2" t="s">
        <v>10252</v>
      </c>
      <c r="C4354" s="2" t="s">
        <v>41</v>
      </c>
      <c r="D4354" s="2" t="s">
        <v>18</v>
      </c>
      <c r="E4354" s="5">
        <v>-30480</v>
      </c>
      <c r="F4354" s="3" t="s">
        <v>147</v>
      </c>
      <c r="G4354" s="3" t="s">
        <v>58</v>
      </c>
      <c r="H4354" s="2" t="s">
        <v>21</v>
      </c>
      <c r="I4354" s="2" t="s">
        <v>10253</v>
      </c>
      <c r="J4354" s="3" t="str">
        <f>HYPERLINK("https://www.boe.es/gazeta/dias/1816/07/18/pdfs/GMD-1816-89.pdf#page=1","Abrir facsímil")</f>
        <v>Abrir facsímil</v>
      </c>
      <c r="K4354" s="3" t="s">
        <v>23</v>
      </c>
    </row>
    <row r="4355" spans="1:11" ht="42" customHeight="1">
      <c r="A4355" s="2" t="s">
        <v>10254</v>
      </c>
      <c r="B4355" s="2" t="s">
        <v>10255</v>
      </c>
      <c r="C4355" s="2" t="s">
        <v>26</v>
      </c>
      <c r="D4355" s="2" t="s">
        <v>18</v>
      </c>
      <c r="E4355" s="5">
        <v>-30433</v>
      </c>
      <c r="F4355" s="3" t="s">
        <v>954</v>
      </c>
      <c r="G4355" s="3" t="s">
        <v>58</v>
      </c>
      <c r="H4355" s="2" t="s">
        <v>21</v>
      </c>
      <c r="I4355" s="2" t="s">
        <v>10256</v>
      </c>
      <c r="J4355" s="3" t="str">
        <f>HYPERLINK("https://www.boe.es/gazeta/dias/1816/09/03/pdfs/GMD-1816-109.pdf#page=1","Abrir facsímil")</f>
        <v>Abrir facsímil</v>
      </c>
      <c r="K4355" s="3" t="s">
        <v>23</v>
      </c>
    </row>
    <row r="4356" spans="1:11" ht="42" customHeight="1">
      <c r="A4356" s="2" t="s">
        <v>10257</v>
      </c>
      <c r="B4356" s="2" t="s">
        <v>10257</v>
      </c>
      <c r="C4356" s="2" t="s">
        <v>34</v>
      </c>
      <c r="D4356" s="2" t="s">
        <v>35</v>
      </c>
      <c r="E4356" s="5">
        <v>-30671</v>
      </c>
      <c r="F4356" s="3" t="s">
        <v>2049</v>
      </c>
      <c r="G4356" s="3" t="s">
        <v>184</v>
      </c>
      <c r="H4356" s="2" t="s">
        <v>21</v>
      </c>
      <c r="I4356" s="2" t="s">
        <v>10258</v>
      </c>
      <c r="J4356" s="3" t="str">
        <f>HYPERLINK("https://www.boe.es/gazeta/dias/1816/01/09/pdfs/GMD-1816-4.pdf#page=3","Abrir facsímil")</f>
        <v>Abrir facsímil</v>
      </c>
      <c r="K4356" s="3" t="s">
        <v>23</v>
      </c>
    </row>
    <row r="4357" spans="1:11" ht="42" customHeight="1">
      <c r="A4357" s="2" t="s">
        <v>10259</v>
      </c>
      <c r="B4357" s="2" t="s">
        <v>10259</v>
      </c>
      <c r="C4357" s="2" t="s">
        <v>34</v>
      </c>
      <c r="D4357" s="2" t="s">
        <v>35</v>
      </c>
      <c r="E4357" s="5">
        <v>-30676</v>
      </c>
      <c r="F4357" s="3" t="s">
        <v>1932</v>
      </c>
      <c r="G4357" s="3" t="s">
        <v>270</v>
      </c>
      <c r="H4357" s="2" t="s">
        <v>21</v>
      </c>
      <c r="I4357" s="2" t="s">
        <v>10260</v>
      </c>
      <c r="J4357" s="3" t="str">
        <f>HYPERLINK("https://www.boe.es/gazeta/dias/1816/01/04/pdfs/GMD-1816-2.pdf#page=2","Abrir facsímil")</f>
        <v>Abrir facsímil</v>
      </c>
      <c r="K4357" s="3" t="s">
        <v>23</v>
      </c>
    </row>
    <row r="4358" spans="1:11" ht="42" customHeight="1">
      <c r="A4358" s="2" t="s">
        <v>10261</v>
      </c>
      <c r="B4358" s="2" t="s">
        <v>10261</v>
      </c>
      <c r="C4358" s="2" t="s">
        <v>34</v>
      </c>
      <c r="D4358" s="2" t="s">
        <v>35</v>
      </c>
      <c r="E4358" s="5">
        <v>-30405</v>
      </c>
      <c r="F4358" s="3" t="s">
        <v>587</v>
      </c>
      <c r="G4358" s="3" t="s">
        <v>184</v>
      </c>
      <c r="H4358" s="2" t="s">
        <v>21</v>
      </c>
      <c r="I4358" s="2" t="s">
        <v>10262</v>
      </c>
      <c r="J4358" s="3" t="str">
        <f>HYPERLINK("https://www.boe.es/gazeta/dias/1816/10/01/pdfs/GMD-1816-121.pdf#page=3","Abrir facsímil")</f>
        <v>Abrir facsímil</v>
      </c>
      <c r="K4358" s="3" t="s">
        <v>23</v>
      </c>
    </row>
    <row r="4359" spans="1:11" ht="42" customHeight="1">
      <c r="A4359" s="2" t="s">
        <v>10263</v>
      </c>
      <c r="B4359" s="2" t="s">
        <v>10264</v>
      </c>
      <c r="C4359" s="2" t="s">
        <v>34</v>
      </c>
      <c r="D4359" s="2" t="s">
        <v>35</v>
      </c>
      <c r="E4359" s="5">
        <v>-30485</v>
      </c>
      <c r="F4359" s="3" t="s">
        <v>156</v>
      </c>
      <c r="G4359" s="3" t="s">
        <v>58</v>
      </c>
      <c r="H4359" s="2" t="s">
        <v>21</v>
      </c>
      <c r="I4359" s="2" t="s">
        <v>10265</v>
      </c>
      <c r="J4359" s="3" t="str">
        <f>HYPERLINK("https://www.boe.es/gazeta/dias/1816/07/13/pdfs/GMD-1816-87.pdf#page=1","Abrir facsímil")</f>
        <v>Abrir facsímil</v>
      </c>
      <c r="K4359" s="3" t="s">
        <v>23</v>
      </c>
    </row>
    <row r="4360" spans="1:11" ht="42" customHeight="1">
      <c r="A4360" s="2" t="s">
        <v>10266</v>
      </c>
      <c r="B4360" s="2" t="s">
        <v>10267</v>
      </c>
      <c r="C4360" s="2" t="s">
        <v>34</v>
      </c>
      <c r="D4360" s="2" t="s">
        <v>35</v>
      </c>
      <c r="E4360" s="5">
        <v>-30538</v>
      </c>
      <c r="F4360" s="3" t="s">
        <v>496</v>
      </c>
      <c r="G4360" s="3" t="s">
        <v>3238</v>
      </c>
      <c r="H4360" s="2" t="s">
        <v>21</v>
      </c>
      <c r="I4360" s="2" t="s">
        <v>10268</v>
      </c>
      <c r="J4360" s="3" t="str">
        <f>HYPERLINK("https://www.boe.es/gazeta/dias/1816/05/21/pdfs/GMD-1816-64.pdf#page=2","Abrir facsímil")</f>
        <v>Abrir facsímil</v>
      </c>
      <c r="K4360" s="3" t="s">
        <v>23</v>
      </c>
    </row>
    <row r="4361" spans="1:11" ht="42" customHeight="1">
      <c r="A4361" s="2" t="s">
        <v>10269</v>
      </c>
      <c r="B4361" s="2" t="s">
        <v>10270</v>
      </c>
      <c r="C4361" s="2" t="s">
        <v>81</v>
      </c>
      <c r="D4361" s="2" t="s">
        <v>18</v>
      </c>
      <c r="E4361" s="5">
        <v>-30482</v>
      </c>
      <c r="F4361" s="3" t="s">
        <v>370</v>
      </c>
      <c r="G4361" s="3" t="s">
        <v>52</v>
      </c>
      <c r="H4361" s="2" t="s">
        <v>21</v>
      </c>
      <c r="I4361" s="2" t="s">
        <v>10271</v>
      </c>
      <c r="J4361" s="3" t="str">
        <f>HYPERLINK("https://www.boe.es/gazeta/dias/1816/07/16/pdfs/GMD-1816-88.pdf#page=12","Abrir facsímil")</f>
        <v>Abrir facsímil</v>
      </c>
      <c r="K4361" s="3" t="s">
        <v>23</v>
      </c>
    </row>
    <row r="4362" spans="1:11" ht="42" customHeight="1">
      <c r="A4362" s="2" t="s">
        <v>10269</v>
      </c>
      <c r="B4362" s="2" t="s">
        <v>10270</v>
      </c>
      <c r="C4362" s="2" t="s">
        <v>81</v>
      </c>
      <c r="D4362" s="2" t="s">
        <v>18</v>
      </c>
      <c r="E4362" s="5">
        <v>-30363</v>
      </c>
      <c r="F4362" s="3" t="s">
        <v>570</v>
      </c>
      <c r="G4362" s="3" t="s">
        <v>42</v>
      </c>
      <c r="H4362" s="2" t="s">
        <v>21</v>
      </c>
      <c r="I4362" s="2" t="s">
        <v>10272</v>
      </c>
      <c r="J4362" s="3" t="str">
        <f>HYPERLINK("https://www.boe.es/gazeta/dias/1816/11/12/pdfs/GMD-1816-141.pdf#page=8","Abrir facsímil")</f>
        <v>Abrir facsímil</v>
      </c>
      <c r="K4362" s="3" t="s">
        <v>23</v>
      </c>
    </row>
    <row r="4363" spans="1:11" ht="42" customHeight="1">
      <c r="A4363" s="2" t="s">
        <v>10273</v>
      </c>
      <c r="B4363" s="2" t="s">
        <v>10274</v>
      </c>
      <c r="C4363" s="2" t="s">
        <v>111</v>
      </c>
      <c r="D4363" s="2" t="s">
        <v>112</v>
      </c>
      <c r="E4363" s="5">
        <v>-30412</v>
      </c>
      <c r="F4363" s="3" t="s">
        <v>388</v>
      </c>
      <c r="G4363" s="3" t="s">
        <v>42</v>
      </c>
      <c r="H4363" s="2" t="s">
        <v>21</v>
      </c>
      <c r="I4363" s="2" t="s">
        <v>10275</v>
      </c>
      <c r="J4363" s="3" t="str">
        <f>HYPERLINK("https://www.boe.es/gazeta/dias/1816/09/24/pdfs/GMD-1816-118.pdf#page=8","Abrir facsímil")</f>
        <v>Abrir facsímil</v>
      </c>
      <c r="K4363" s="3" t="s">
        <v>23</v>
      </c>
    </row>
    <row r="4364" spans="1:11" ht="42" customHeight="1">
      <c r="A4364" s="2" t="s">
        <v>10276</v>
      </c>
      <c r="B4364" s="2" t="s">
        <v>10276</v>
      </c>
      <c r="C4364" s="2" t="s">
        <v>34</v>
      </c>
      <c r="D4364" s="2" t="s">
        <v>35</v>
      </c>
      <c r="E4364" s="5">
        <v>-30417</v>
      </c>
      <c r="F4364" s="3" t="s">
        <v>62</v>
      </c>
      <c r="G4364" s="3" t="s">
        <v>10277</v>
      </c>
      <c r="H4364" s="2" t="s">
        <v>21</v>
      </c>
      <c r="I4364" s="2" t="s">
        <v>10278</v>
      </c>
      <c r="J4364" s="3" t="str">
        <f>HYPERLINK("https://www.boe.es/gazeta/dias/1816/09/19/pdfs/GMD-1816-116.pdf#page=3","Abrir facsímil")</f>
        <v>Abrir facsímil</v>
      </c>
      <c r="K4364" s="3" t="s">
        <v>23</v>
      </c>
    </row>
    <row r="4365" spans="1:11" ht="42" customHeight="1">
      <c r="A4365" s="2" t="s">
        <v>10279</v>
      </c>
      <c r="B4365" s="2" t="s">
        <v>10279</v>
      </c>
      <c r="C4365" s="2" t="s">
        <v>17</v>
      </c>
      <c r="D4365" s="2" t="s">
        <v>18</v>
      </c>
      <c r="E4365" s="5">
        <v>-30445</v>
      </c>
      <c r="F4365" s="3" t="s">
        <v>51</v>
      </c>
      <c r="G4365" s="3" t="s">
        <v>10280</v>
      </c>
      <c r="H4365" s="2" t="s">
        <v>21</v>
      </c>
      <c r="I4365" s="2" t="s">
        <v>10281</v>
      </c>
      <c r="J4365" s="3" t="str">
        <f>HYPERLINK("https://www.boe.es/gazeta/dias/1816/08/22/pdfs/GMD-1816-104.pdf#page=2","Abrir facsímil")</f>
        <v>Abrir facsímil</v>
      </c>
      <c r="K4365" s="3" t="s">
        <v>23</v>
      </c>
    </row>
    <row r="4366" spans="1:11" ht="42" customHeight="1">
      <c r="A4366" s="2" t="s">
        <v>10282</v>
      </c>
      <c r="B4366" s="2" t="s">
        <v>10283</v>
      </c>
      <c r="C4366" s="2" t="s">
        <v>81</v>
      </c>
      <c r="D4366" s="2" t="s">
        <v>18</v>
      </c>
      <c r="E4366" s="5">
        <v>-30326</v>
      </c>
      <c r="F4366" s="3" t="s">
        <v>377</v>
      </c>
      <c r="G4366" s="3" t="s">
        <v>42</v>
      </c>
      <c r="H4366" s="2" t="s">
        <v>21</v>
      </c>
      <c r="I4366" s="2" t="s">
        <v>10284</v>
      </c>
      <c r="J4366" s="3" t="str">
        <f>HYPERLINK("https://www.boe.es/gazeta/dias/1816/12/19/pdfs/GMD-1816-157.pdf#page=8","Abrir facsímil")</f>
        <v>Abrir facsímil</v>
      </c>
      <c r="K4366" s="3" t="s">
        <v>23</v>
      </c>
    </row>
    <row r="4367" spans="1:11" ht="42" customHeight="1">
      <c r="A4367" s="2" t="s">
        <v>10285</v>
      </c>
      <c r="B4367" s="2" t="s">
        <v>10286</v>
      </c>
      <c r="C4367" s="2" t="s">
        <v>67</v>
      </c>
      <c r="D4367" s="2" t="s">
        <v>18</v>
      </c>
      <c r="E4367" s="5">
        <v>-30375</v>
      </c>
      <c r="F4367" s="3" t="s">
        <v>404</v>
      </c>
      <c r="G4367" s="3" t="s">
        <v>1278</v>
      </c>
      <c r="H4367" s="2" t="s">
        <v>21</v>
      </c>
      <c r="I4367" s="2" t="s">
        <v>10287</v>
      </c>
      <c r="J4367" s="3" t="str">
        <f>HYPERLINK("https://www.boe.es/gazeta/dias/1816/10/31/pdfs/GMD-1816-136.pdf#page=7","Abrir facsímil")</f>
        <v>Abrir facsímil</v>
      </c>
      <c r="K4367" s="3" t="s">
        <v>23</v>
      </c>
    </row>
    <row r="4368" spans="1:11" ht="42" customHeight="1">
      <c r="A4368" s="2" t="s">
        <v>10288</v>
      </c>
      <c r="B4368" s="2" t="s">
        <v>10288</v>
      </c>
      <c r="C4368" s="2" t="s">
        <v>34</v>
      </c>
      <c r="D4368" s="2" t="s">
        <v>35</v>
      </c>
      <c r="E4368" s="5">
        <v>-30599</v>
      </c>
      <c r="F4368" s="3" t="s">
        <v>552</v>
      </c>
      <c r="G4368" s="3" t="s">
        <v>103</v>
      </c>
      <c r="H4368" s="2" t="s">
        <v>21</v>
      </c>
      <c r="I4368" s="2" t="s">
        <v>10289</v>
      </c>
      <c r="J4368" s="3" t="str">
        <f>HYPERLINK("https://www.boe.es/gazeta/dias/1816/03/21/pdfs/GMD-1816-38.pdf#page=4","Abrir facsímil")</f>
        <v>Abrir facsímil</v>
      </c>
      <c r="K4368" s="3" t="s">
        <v>23</v>
      </c>
    </row>
    <row r="4369" spans="1:11" ht="42" customHeight="1">
      <c r="A4369" s="2" t="s">
        <v>10290</v>
      </c>
      <c r="B4369" s="2" t="s">
        <v>10290</v>
      </c>
      <c r="C4369" s="2" t="s">
        <v>34</v>
      </c>
      <c r="D4369" s="2" t="s">
        <v>35</v>
      </c>
      <c r="E4369" s="5">
        <v>-30613</v>
      </c>
      <c r="F4369" s="3" t="s">
        <v>392</v>
      </c>
      <c r="G4369" s="3" t="s">
        <v>2396</v>
      </c>
      <c r="H4369" s="2" t="s">
        <v>21</v>
      </c>
      <c r="I4369" s="2" t="s">
        <v>10291</v>
      </c>
      <c r="J4369" s="3" t="str">
        <f>HYPERLINK("https://www.boe.es/gazeta/dias/1816/03/07/pdfs/GMD-1816-31.pdf#page=5","Abrir facsímil")</f>
        <v>Abrir facsímil</v>
      </c>
      <c r="K4369" s="3" t="s">
        <v>23</v>
      </c>
    </row>
    <row r="4370" spans="1:11" ht="42" customHeight="1">
      <c r="A4370" s="2" t="s">
        <v>10290</v>
      </c>
      <c r="B4370" s="2" t="s">
        <v>10290</v>
      </c>
      <c r="C4370" s="2" t="s">
        <v>34</v>
      </c>
      <c r="D4370" s="2" t="s">
        <v>35</v>
      </c>
      <c r="E4370" s="5">
        <v>-30613</v>
      </c>
      <c r="F4370" s="3" t="s">
        <v>392</v>
      </c>
      <c r="G4370" s="3" t="s">
        <v>28</v>
      </c>
      <c r="H4370" s="2" t="s">
        <v>21</v>
      </c>
      <c r="I4370" s="2" t="s">
        <v>10292</v>
      </c>
      <c r="J4370" s="3" t="str">
        <f>HYPERLINK("https://www.boe.es/gazeta/dias/1816/03/07/pdfs/GMD-1816-31.pdf#page=6","Abrir facsímil")</f>
        <v>Abrir facsímil</v>
      </c>
      <c r="K4370" s="3" t="s">
        <v>23</v>
      </c>
    </row>
    <row r="4371" spans="1:11" ht="42" customHeight="1">
      <c r="A4371" s="2" t="s">
        <v>10290</v>
      </c>
      <c r="B4371" s="2" t="s">
        <v>10290</v>
      </c>
      <c r="C4371" s="2" t="s">
        <v>34</v>
      </c>
      <c r="D4371" s="2" t="s">
        <v>35</v>
      </c>
      <c r="E4371" s="5">
        <v>-30536</v>
      </c>
      <c r="F4371" s="3" t="s">
        <v>580</v>
      </c>
      <c r="G4371" s="3" t="s">
        <v>103</v>
      </c>
      <c r="H4371" s="2" t="s">
        <v>21</v>
      </c>
      <c r="I4371" s="2" t="s">
        <v>10293</v>
      </c>
      <c r="J4371" s="3" t="str">
        <f>HYPERLINK("https://www.boe.es/gazeta/dias/1816/05/23/pdfs/GMD-1816-65.pdf#page=4","Abrir facsímil")</f>
        <v>Abrir facsímil</v>
      </c>
      <c r="K4371" s="3" t="s">
        <v>23</v>
      </c>
    </row>
    <row r="4372" spans="1:11" ht="42" customHeight="1">
      <c r="A4372" s="2" t="s">
        <v>10290</v>
      </c>
      <c r="B4372" s="2" t="s">
        <v>10290</v>
      </c>
      <c r="C4372" s="2" t="s">
        <v>26</v>
      </c>
      <c r="D4372" s="2" t="s">
        <v>18</v>
      </c>
      <c r="E4372" s="5">
        <v>-30536</v>
      </c>
      <c r="F4372" s="3" t="s">
        <v>580</v>
      </c>
      <c r="G4372" s="3" t="s">
        <v>47</v>
      </c>
      <c r="H4372" s="2" t="s">
        <v>21</v>
      </c>
      <c r="I4372" s="2" t="s">
        <v>10294</v>
      </c>
      <c r="J4372" s="3" t="str">
        <f>HYPERLINK("https://www.boe.es/gazeta/dias/1816/05/23/pdfs/GMD-1816-65.pdf#page=5","Abrir facsímil")</f>
        <v>Abrir facsímil</v>
      </c>
      <c r="K4372" s="3" t="s">
        <v>23</v>
      </c>
    </row>
    <row r="4373" spans="1:11" ht="42" customHeight="1">
      <c r="A4373" s="2" t="s">
        <v>10290</v>
      </c>
      <c r="B4373" s="2" t="s">
        <v>10290</v>
      </c>
      <c r="C4373" s="2" t="s">
        <v>34</v>
      </c>
      <c r="D4373" s="2" t="s">
        <v>35</v>
      </c>
      <c r="E4373" s="5">
        <v>-30499</v>
      </c>
      <c r="F4373" s="3" t="s">
        <v>971</v>
      </c>
      <c r="G4373" s="3" t="s">
        <v>3071</v>
      </c>
      <c r="H4373" s="2" t="s">
        <v>21</v>
      </c>
      <c r="I4373" s="2" t="s">
        <v>10295</v>
      </c>
      <c r="J4373" s="3" t="str">
        <f>HYPERLINK("https://www.boe.es/gazeta/dias/1816/06/29/pdfs/GMD-1816-81.pdf#page=6","Abrir facsímil")</f>
        <v>Abrir facsímil</v>
      </c>
      <c r="K4373" s="3" t="s">
        <v>23</v>
      </c>
    </row>
    <row r="4374" spans="1:11" ht="42" customHeight="1">
      <c r="A4374" s="2" t="s">
        <v>10290</v>
      </c>
      <c r="B4374" s="2" t="s">
        <v>10290</v>
      </c>
      <c r="C4374" s="2" t="s">
        <v>34</v>
      </c>
      <c r="D4374" s="2" t="s">
        <v>35</v>
      </c>
      <c r="E4374" s="5">
        <v>-30429</v>
      </c>
      <c r="F4374" s="3" t="s">
        <v>598</v>
      </c>
      <c r="G4374" s="3" t="s">
        <v>4352</v>
      </c>
      <c r="H4374" s="2" t="s">
        <v>21</v>
      </c>
      <c r="I4374" s="2" t="s">
        <v>10296</v>
      </c>
      <c r="J4374" s="3" t="str">
        <f>HYPERLINK("https://www.boe.es/gazeta/dias/1816/09/07/pdfs/GMD-1816-111.pdf#page=6","Abrir facsímil")</f>
        <v>Abrir facsímil</v>
      </c>
      <c r="K4374" s="3" t="s">
        <v>23</v>
      </c>
    </row>
    <row r="4375" spans="1:11" ht="42" customHeight="1">
      <c r="A4375" s="2" t="s">
        <v>10297</v>
      </c>
      <c r="B4375" s="2" t="s">
        <v>10298</v>
      </c>
      <c r="C4375" s="2" t="s">
        <v>34</v>
      </c>
      <c r="D4375" s="2" t="s">
        <v>35</v>
      </c>
      <c r="E4375" s="5">
        <v>-30436</v>
      </c>
      <c r="F4375" s="3" t="s">
        <v>102</v>
      </c>
      <c r="G4375" s="3" t="s">
        <v>72</v>
      </c>
      <c r="H4375" s="2" t="s">
        <v>21</v>
      </c>
      <c r="I4375" s="2" t="s">
        <v>10299</v>
      </c>
      <c r="J4375" s="3" t="str">
        <f>HYPERLINK("https://www.boe.es/gazeta/dias/1816/08/31/pdfs/GMD-1816-108.pdf#page=7","Abrir facsímil")</f>
        <v>Abrir facsímil</v>
      </c>
      <c r="K4375" s="3" t="s">
        <v>23</v>
      </c>
    </row>
    <row r="4376" spans="1:11" ht="42" customHeight="1">
      <c r="A4376" s="2" t="s">
        <v>10300</v>
      </c>
      <c r="B4376" s="2" t="s">
        <v>10300</v>
      </c>
      <c r="C4376" s="2" t="s">
        <v>111</v>
      </c>
      <c r="D4376" s="2" t="s">
        <v>112</v>
      </c>
      <c r="E4376" s="5">
        <v>-30601</v>
      </c>
      <c r="F4376" s="3" t="s">
        <v>308</v>
      </c>
      <c r="G4376" s="3" t="s">
        <v>72</v>
      </c>
      <c r="H4376" s="2" t="s">
        <v>21</v>
      </c>
      <c r="I4376" s="2" t="s">
        <v>10301</v>
      </c>
      <c r="J4376" s="3" t="str">
        <f>HYPERLINK("https://www.boe.es/gazeta/dias/1816/03/19/pdfs/GMD-1816-37.pdf#page=7","Abrir facsímil")</f>
        <v>Abrir facsímil</v>
      </c>
      <c r="K4376" s="3" t="s">
        <v>23</v>
      </c>
    </row>
    <row r="4377" spans="1:11" ht="42" customHeight="1">
      <c r="A4377" s="2" t="s">
        <v>10302</v>
      </c>
      <c r="B4377" s="2" t="s">
        <v>10303</v>
      </c>
      <c r="C4377" s="2" t="s">
        <v>34</v>
      </c>
      <c r="D4377" s="2" t="s">
        <v>35</v>
      </c>
      <c r="E4377" s="5">
        <v>-30660</v>
      </c>
      <c r="F4377" s="3" t="s">
        <v>809</v>
      </c>
      <c r="G4377" s="3" t="s">
        <v>47</v>
      </c>
      <c r="H4377" s="2" t="s">
        <v>21</v>
      </c>
      <c r="I4377" s="2" t="s">
        <v>10304</v>
      </c>
      <c r="J4377" s="3" t="str">
        <f>HYPERLINK("https://www.boe.es/gazeta/dias/1816/01/20/pdfs/GMD-1816-9.pdf#page=5","Abrir facsímil")</f>
        <v>Abrir facsímil</v>
      </c>
      <c r="K4377" s="3" t="s">
        <v>23</v>
      </c>
    </row>
    <row r="4378" spans="1:11" ht="42" customHeight="1">
      <c r="A4378" s="2" t="s">
        <v>10305</v>
      </c>
      <c r="B4378" s="2" t="s">
        <v>10306</v>
      </c>
      <c r="C4378" s="2" t="s">
        <v>41</v>
      </c>
      <c r="D4378" s="2" t="s">
        <v>18</v>
      </c>
      <c r="E4378" s="5">
        <v>-30608</v>
      </c>
      <c r="F4378" s="3" t="s">
        <v>550</v>
      </c>
      <c r="G4378" s="3" t="s">
        <v>42</v>
      </c>
      <c r="H4378" s="2" t="s">
        <v>21</v>
      </c>
      <c r="I4378" s="2" t="s">
        <v>10307</v>
      </c>
      <c r="J4378" s="3" t="str">
        <f>HYPERLINK("https://www.boe.es/gazeta/dias/1816/03/12/pdfs/GMD-1816-33.pdf#page=8","Abrir facsímil")</f>
        <v>Abrir facsímil</v>
      </c>
      <c r="K4378" s="3" t="s">
        <v>23</v>
      </c>
    </row>
    <row r="4379" spans="1:11" ht="42" customHeight="1">
      <c r="A4379" s="2" t="s">
        <v>10305</v>
      </c>
      <c r="B4379" s="2" t="s">
        <v>10306</v>
      </c>
      <c r="C4379" s="2" t="s">
        <v>111</v>
      </c>
      <c r="D4379" s="2" t="s">
        <v>112</v>
      </c>
      <c r="E4379" s="5">
        <v>-30487</v>
      </c>
      <c r="F4379" s="3" t="s">
        <v>397</v>
      </c>
      <c r="G4379" s="3" t="s">
        <v>175</v>
      </c>
      <c r="H4379" s="2" t="s">
        <v>21</v>
      </c>
      <c r="I4379" s="2" t="s">
        <v>10308</v>
      </c>
      <c r="J4379" s="3" t="str">
        <f>HYPERLINK("https://www.boe.es/gazeta/dias/1816/07/11/pdfs/GMD-1816-86.pdf#page=11","Abrir facsímil")</f>
        <v>Abrir facsímil</v>
      </c>
      <c r="K4379" s="3" t="s">
        <v>23</v>
      </c>
    </row>
    <row r="4380" spans="1:11" ht="42" customHeight="1">
      <c r="A4380" s="2" t="s">
        <v>10305</v>
      </c>
      <c r="B4380" s="2" t="s">
        <v>10306</v>
      </c>
      <c r="C4380" s="2" t="s">
        <v>41</v>
      </c>
      <c r="D4380" s="2" t="s">
        <v>18</v>
      </c>
      <c r="E4380" s="5">
        <v>-30389</v>
      </c>
      <c r="F4380" s="3" t="s">
        <v>522</v>
      </c>
      <c r="G4380" s="3" t="s">
        <v>42</v>
      </c>
      <c r="H4380" s="2" t="s">
        <v>21</v>
      </c>
      <c r="I4380" s="2" t="s">
        <v>10309</v>
      </c>
      <c r="J4380" s="3" t="str">
        <f>HYPERLINK("https://www.boe.es/gazeta/dias/1816/10/17/pdfs/GMD-1816-130.pdf#page=8","Abrir facsímil")</f>
        <v>Abrir facsímil</v>
      </c>
      <c r="K4380" s="3" t="s">
        <v>23</v>
      </c>
    </row>
    <row r="4381" spans="1:11" ht="42" customHeight="1">
      <c r="A4381" s="2" t="s">
        <v>10305</v>
      </c>
      <c r="B4381" s="2" t="s">
        <v>10306</v>
      </c>
      <c r="C4381" s="2" t="s">
        <v>111</v>
      </c>
      <c r="D4381" s="2" t="s">
        <v>112</v>
      </c>
      <c r="E4381" s="5">
        <v>-30359</v>
      </c>
      <c r="F4381" s="3" t="s">
        <v>812</v>
      </c>
      <c r="G4381" s="3" t="s">
        <v>813</v>
      </c>
      <c r="H4381" s="2" t="s">
        <v>21</v>
      </c>
      <c r="I4381" s="2" t="s">
        <v>10310</v>
      </c>
      <c r="J4381" s="3" t="str">
        <f>HYPERLINK("https://www.boe.es/gazeta/dias/1816/11/16/pdfs/GMD-1816-143.pdf#page=8","Abrir facsímil")</f>
        <v>Abrir facsímil</v>
      </c>
      <c r="K4381" s="3" t="s">
        <v>23</v>
      </c>
    </row>
    <row r="4382" spans="1:11" ht="42" customHeight="1">
      <c r="A4382" s="2" t="s">
        <v>10311</v>
      </c>
      <c r="B4382" s="2" t="s">
        <v>10311</v>
      </c>
      <c r="C4382" s="2" t="s">
        <v>34</v>
      </c>
      <c r="D4382" s="2" t="s">
        <v>35</v>
      </c>
      <c r="E4382" s="5">
        <v>-30613</v>
      </c>
      <c r="F4382" s="3" t="s">
        <v>392</v>
      </c>
      <c r="G4382" s="3" t="s">
        <v>103</v>
      </c>
      <c r="H4382" s="2" t="s">
        <v>21</v>
      </c>
      <c r="I4382" s="2" t="s">
        <v>10312</v>
      </c>
      <c r="J4382" s="3" t="str">
        <f>HYPERLINK("https://www.boe.es/gazeta/dias/1816/03/07/pdfs/GMD-1816-31.pdf#page=4","Abrir facsímil")</f>
        <v>Abrir facsímil</v>
      </c>
      <c r="K4382" s="3" t="s">
        <v>23</v>
      </c>
    </row>
    <row r="4383" spans="1:11" ht="42" customHeight="1">
      <c r="A4383" s="2" t="s">
        <v>10313</v>
      </c>
      <c r="B4383" s="2" t="s">
        <v>10313</v>
      </c>
      <c r="C4383" s="2" t="s">
        <v>34</v>
      </c>
      <c r="D4383" s="2" t="s">
        <v>35</v>
      </c>
      <c r="E4383" s="5">
        <v>-30543</v>
      </c>
      <c r="F4383" s="3" t="s">
        <v>94</v>
      </c>
      <c r="G4383" s="3" t="s">
        <v>47</v>
      </c>
      <c r="H4383" s="2" t="s">
        <v>21</v>
      </c>
      <c r="I4383" s="2" t="s">
        <v>10314</v>
      </c>
      <c r="J4383" s="3" t="str">
        <f>HYPERLINK("https://www.boe.es/gazeta/dias/1816/05/16/pdfs/GMD-1816-62.pdf#page=5","Abrir facsímil")</f>
        <v>Abrir facsímil</v>
      </c>
      <c r="K4383" s="3" t="s">
        <v>23</v>
      </c>
    </row>
    <row r="4384" spans="1:11" ht="42" customHeight="1">
      <c r="A4384" s="2" t="s">
        <v>10313</v>
      </c>
      <c r="B4384" s="2" t="s">
        <v>10313</v>
      </c>
      <c r="C4384" s="2" t="s">
        <v>34</v>
      </c>
      <c r="D4384" s="2" t="s">
        <v>35</v>
      </c>
      <c r="E4384" s="5">
        <v>-30499</v>
      </c>
      <c r="F4384" s="3" t="s">
        <v>971</v>
      </c>
      <c r="G4384" s="3" t="s">
        <v>72</v>
      </c>
      <c r="H4384" s="2" t="s">
        <v>21</v>
      </c>
      <c r="I4384" s="2" t="s">
        <v>10315</v>
      </c>
      <c r="J4384" s="3" t="str">
        <f>HYPERLINK("https://www.boe.es/gazeta/dias/1816/06/29/pdfs/GMD-1816-81.pdf#page=7","Abrir facsímil")</f>
        <v>Abrir facsímil</v>
      </c>
      <c r="K4384" s="3" t="s">
        <v>23</v>
      </c>
    </row>
    <row r="4385" spans="1:11" ht="42" customHeight="1">
      <c r="A4385" s="2" t="s">
        <v>10313</v>
      </c>
      <c r="B4385" s="2" t="s">
        <v>10313</v>
      </c>
      <c r="C4385" s="2" t="s">
        <v>34</v>
      </c>
      <c r="D4385" s="2" t="s">
        <v>35</v>
      </c>
      <c r="E4385" s="5">
        <v>-30410</v>
      </c>
      <c r="F4385" s="3" t="s">
        <v>1259</v>
      </c>
      <c r="G4385" s="3" t="s">
        <v>92</v>
      </c>
      <c r="H4385" s="2" t="s">
        <v>21</v>
      </c>
      <c r="I4385" s="2" t="s">
        <v>10316</v>
      </c>
      <c r="J4385" s="3" t="str">
        <f>HYPERLINK("https://www.boe.es/gazeta/dias/1816/09/26/pdfs/GMD-1816-119.pdf#page=9","Abrir facsímil")</f>
        <v>Abrir facsímil</v>
      </c>
      <c r="K4385" s="3" t="s">
        <v>23</v>
      </c>
    </row>
    <row r="4386" spans="1:11" ht="42" customHeight="1">
      <c r="A4386" s="2" t="s">
        <v>10313</v>
      </c>
      <c r="B4386" s="2" t="s">
        <v>10313</v>
      </c>
      <c r="C4386" s="2" t="s">
        <v>111</v>
      </c>
      <c r="D4386" s="2" t="s">
        <v>56</v>
      </c>
      <c r="E4386" s="5">
        <v>-30399</v>
      </c>
      <c r="F4386" s="3" t="s">
        <v>57</v>
      </c>
      <c r="G4386" s="3" t="s">
        <v>28</v>
      </c>
      <c r="H4386" s="2" t="s">
        <v>21</v>
      </c>
      <c r="I4386" s="2" t="s">
        <v>10317</v>
      </c>
      <c r="J4386" s="3" t="str">
        <f>HYPERLINK("https://www.boe.es/gazeta/dias/1816/10/07/pdfs/GMD-1816-124E.pdf#page=6","Abrir facsímil")</f>
        <v>Abrir facsímil</v>
      </c>
      <c r="K4386" s="3" t="s">
        <v>23</v>
      </c>
    </row>
    <row r="4387" spans="1:11" ht="42" customHeight="1">
      <c r="A4387" s="2" t="s">
        <v>10318</v>
      </c>
      <c r="B4387" s="2" t="s">
        <v>10319</v>
      </c>
      <c r="C4387" s="2" t="s">
        <v>34</v>
      </c>
      <c r="D4387" s="2" t="s">
        <v>35</v>
      </c>
      <c r="E4387" s="5">
        <v>-30655</v>
      </c>
      <c r="F4387" s="3" t="s">
        <v>170</v>
      </c>
      <c r="G4387" s="3" t="s">
        <v>72</v>
      </c>
      <c r="H4387" s="2" t="s">
        <v>21</v>
      </c>
      <c r="I4387" s="2" t="s">
        <v>10320</v>
      </c>
      <c r="J4387" s="3" t="str">
        <f>HYPERLINK("https://www.boe.es/gazeta/dias/1816/01/25/pdfs/GMD-1816-11.pdf#page=7","Abrir facsímil")</f>
        <v>Abrir facsímil</v>
      </c>
      <c r="K4387" s="3" t="s">
        <v>23</v>
      </c>
    </row>
    <row r="4388" spans="1:11" ht="42" customHeight="1">
      <c r="A4388" s="2" t="s">
        <v>10321</v>
      </c>
      <c r="B4388" s="2" t="s">
        <v>10322</v>
      </c>
      <c r="C4388" s="2" t="s">
        <v>26</v>
      </c>
      <c r="D4388" s="2" t="s">
        <v>18</v>
      </c>
      <c r="E4388" s="5">
        <v>-30382</v>
      </c>
      <c r="F4388" s="3" t="s">
        <v>326</v>
      </c>
      <c r="G4388" s="3" t="s">
        <v>28</v>
      </c>
      <c r="H4388" s="2" t="s">
        <v>21</v>
      </c>
      <c r="I4388" s="2" t="s">
        <v>10323</v>
      </c>
      <c r="J4388" s="3" t="str">
        <f>HYPERLINK("https://www.boe.es/gazeta/dias/1816/10/24/pdfs/GMD-1816-133.pdf#page=6","Abrir facsímil")</f>
        <v>Abrir facsímil</v>
      </c>
      <c r="K4388" s="3" t="s">
        <v>23</v>
      </c>
    </row>
    <row r="4389" spans="1:11" ht="42" customHeight="1">
      <c r="A4389" s="2" t="s">
        <v>10324</v>
      </c>
      <c r="B4389" s="2" t="s">
        <v>10325</v>
      </c>
      <c r="C4389" s="2" t="s">
        <v>34</v>
      </c>
      <c r="D4389" s="2" t="s">
        <v>56</v>
      </c>
      <c r="E4389" s="5">
        <v>-30393</v>
      </c>
      <c r="F4389" s="3" t="s">
        <v>202</v>
      </c>
      <c r="G4389" s="3" t="s">
        <v>645</v>
      </c>
      <c r="H4389" s="2" t="s">
        <v>29</v>
      </c>
      <c r="I4389" s="2" t="s">
        <v>10326</v>
      </c>
      <c r="J4389" s="3" t="str">
        <f>HYPERLINK("https://www.boe.es/gazeta/dias/1816/10/13/pdfs/GMD-1816-128E.pdf#page=4","Abrir facsímil")</f>
        <v>Abrir facsímil</v>
      </c>
      <c r="K4389" s="3" t="s">
        <v>31</v>
      </c>
    </row>
    <row r="4390" spans="1:11" ht="42" customHeight="1">
      <c r="A4390" s="2" t="s">
        <v>10327</v>
      </c>
      <c r="B4390" s="2" t="s">
        <v>10328</v>
      </c>
      <c r="C4390" s="2" t="s">
        <v>26</v>
      </c>
      <c r="D4390" s="2" t="s">
        <v>18</v>
      </c>
      <c r="E4390" s="5">
        <v>-30562</v>
      </c>
      <c r="F4390" s="3" t="s">
        <v>1664</v>
      </c>
      <c r="G4390" s="3" t="s">
        <v>42</v>
      </c>
      <c r="H4390" s="2" t="s">
        <v>21</v>
      </c>
      <c r="I4390" s="2" t="s">
        <v>10329</v>
      </c>
      <c r="J4390" s="3" t="str">
        <f>HYPERLINK("https://www.boe.es/gazeta/dias/1816/04/27/pdfs/GMD-1816-54.pdf#page=8","Abrir facsímil")</f>
        <v>Abrir facsímil</v>
      </c>
      <c r="K4390" s="3" t="s">
        <v>23</v>
      </c>
    </row>
    <row r="4391" spans="1:11" ht="42" customHeight="1">
      <c r="A4391" s="2" t="s">
        <v>10330</v>
      </c>
      <c r="B4391" s="2" t="s">
        <v>10330</v>
      </c>
      <c r="C4391" s="2" t="s">
        <v>111</v>
      </c>
      <c r="D4391" s="2" t="s">
        <v>112</v>
      </c>
      <c r="E4391" s="5">
        <v>-30415</v>
      </c>
      <c r="F4391" s="3" t="s">
        <v>585</v>
      </c>
      <c r="G4391" s="3" t="s">
        <v>1156</v>
      </c>
      <c r="H4391" s="2" t="s">
        <v>21</v>
      </c>
      <c r="I4391" s="2" t="s">
        <v>10331</v>
      </c>
      <c r="J4391" s="3" t="str">
        <f>HYPERLINK("https://www.boe.es/gazeta/dias/1816/09/21/pdfs/GMD-1816-117.pdf#page=7","Abrir facsímil")</f>
        <v>Abrir facsímil</v>
      </c>
      <c r="K4391" s="3" t="s">
        <v>23</v>
      </c>
    </row>
    <row r="4392" spans="1:11" ht="42" customHeight="1">
      <c r="A4392" s="2" t="s">
        <v>10332</v>
      </c>
      <c r="B4392" s="2" t="s">
        <v>10333</v>
      </c>
      <c r="C4392" s="2" t="s">
        <v>81</v>
      </c>
      <c r="D4392" s="2" t="s">
        <v>18</v>
      </c>
      <c r="E4392" s="5">
        <v>-30608</v>
      </c>
      <c r="F4392" s="3" t="s">
        <v>550</v>
      </c>
      <c r="G4392" s="3" t="s">
        <v>42</v>
      </c>
      <c r="H4392" s="2" t="s">
        <v>21</v>
      </c>
      <c r="I4392" s="2" t="s">
        <v>10334</v>
      </c>
      <c r="J4392" s="3" t="str">
        <f>HYPERLINK("https://www.boe.es/gazeta/dias/1816/03/12/pdfs/GMD-1816-33.pdf#page=8","Abrir facsímil")</f>
        <v>Abrir facsímil</v>
      </c>
      <c r="K4392" s="3" t="s">
        <v>23</v>
      </c>
    </row>
    <row r="4393" spans="1:11" ht="42" customHeight="1">
      <c r="A4393" s="2" t="s">
        <v>10335</v>
      </c>
      <c r="B4393" s="2" t="s">
        <v>10335</v>
      </c>
      <c r="C4393" s="2" t="s">
        <v>34</v>
      </c>
      <c r="D4393" s="2" t="s">
        <v>35</v>
      </c>
      <c r="E4393" s="5">
        <v>-30389</v>
      </c>
      <c r="F4393" s="3" t="s">
        <v>522</v>
      </c>
      <c r="G4393" s="3" t="s">
        <v>184</v>
      </c>
      <c r="H4393" s="2" t="s">
        <v>21</v>
      </c>
      <c r="I4393" s="2" t="s">
        <v>10336</v>
      </c>
      <c r="J4393" s="3" t="str">
        <f>HYPERLINK("https://www.boe.es/gazeta/dias/1816/10/17/pdfs/GMD-1816-130.pdf#page=3","Abrir facsímil")</f>
        <v>Abrir facsímil</v>
      </c>
      <c r="K4393" s="3" t="s">
        <v>23</v>
      </c>
    </row>
    <row r="4394" spans="1:11" ht="42" customHeight="1">
      <c r="A4394" s="2" t="s">
        <v>10337</v>
      </c>
      <c r="B4394" s="2" t="s">
        <v>10338</v>
      </c>
      <c r="C4394" s="2" t="s">
        <v>41</v>
      </c>
      <c r="D4394" s="2" t="s">
        <v>18</v>
      </c>
      <c r="E4394" s="5">
        <v>-30447</v>
      </c>
      <c r="F4394" s="3" t="s">
        <v>151</v>
      </c>
      <c r="G4394" s="3" t="s">
        <v>152</v>
      </c>
      <c r="H4394" s="2" t="s">
        <v>21</v>
      </c>
      <c r="I4394" s="2" t="s">
        <v>10339</v>
      </c>
      <c r="J4394" s="3" t="str">
        <f>HYPERLINK("https://www.boe.es/gazeta/dias/1816/08/20/pdfs/GMD-1816-103.pdf#page=8","Abrir facsímil")</f>
        <v>Abrir facsímil</v>
      </c>
      <c r="K4394" s="3" t="s">
        <v>23</v>
      </c>
    </row>
    <row r="4395" spans="1:11" ht="42" customHeight="1">
      <c r="A4395" s="2" t="s">
        <v>10337</v>
      </c>
      <c r="B4395" s="2" t="s">
        <v>10338</v>
      </c>
      <c r="C4395" s="2" t="s">
        <v>67</v>
      </c>
      <c r="D4395" s="2" t="s">
        <v>18</v>
      </c>
      <c r="E4395" s="5">
        <v>-30445</v>
      </c>
      <c r="F4395" s="3" t="s">
        <v>51</v>
      </c>
      <c r="G4395" s="3" t="s">
        <v>175</v>
      </c>
      <c r="H4395" s="2" t="s">
        <v>21</v>
      </c>
      <c r="I4395" s="2" t="s">
        <v>10340</v>
      </c>
      <c r="J4395" s="3" t="str">
        <f>HYPERLINK("https://www.boe.es/gazeta/dias/1816/08/22/pdfs/GMD-1816-104.pdf#page=11","Abrir facsímil")</f>
        <v>Abrir facsímil</v>
      </c>
      <c r="K4395" s="3" t="s">
        <v>23</v>
      </c>
    </row>
    <row r="4396" spans="1:11" ht="42" customHeight="1">
      <c r="A4396" s="2" t="s">
        <v>10337</v>
      </c>
      <c r="B4396" s="2" t="s">
        <v>10338</v>
      </c>
      <c r="C4396" s="2" t="s">
        <v>67</v>
      </c>
      <c r="D4396" s="2" t="s">
        <v>18</v>
      </c>
      <c r="E4396" s="5">
        <v>-30426</v>
      </c>
      <c r="F4396" s="3" t="s">
        <v>779</v>
      </c>
      <c r="G4396" s="3" t="s">
        <v>72</v>
      </c>
      <c r="H4396" s="2" t="s">
        <v>21</v>
      </c>
      <c r="I4396" s="2" t="s">
        <v>10341</v>
      </c>
      <c r="J4396" s="3" t="str">
        <f>HYPERLINK("https://www.boe.es/gazeta/dias/1816/09/10/pdfs/GMD-1816-112.pdf#page=7","Abrir facsímil")</f>
        <v>Abrir facsímil</v>
      </c>
      <c r="K4396" s="3" t="s">
        <v>23</v>
      </c>
    </row>
    <row r="4397" spans="1:11" ht="42" customHeight="1">
      <c r="A4397" s="2" t="s">
        <v>10342</v>
      </c>
      <c r="B4397" s="2" t="s">
        <v>10343</v>
      </c>
      <c r="C4397" s="2" t="s">
        <v>387</v>
      </c>
      <c r="D4397" s="2" t="s">
        <v>18</v>
      </c>
      <c r="E4397" s="5">
        <v>-30594</v>
      </c>
      <c r="F4397" s="3" t="s">
        <v>234</v>
      </c>
      <c r="G4397" s="3" t="s">
        <v>52</v>
      </c>
      <c r="H4397" s="2" t="s">
        <v>29</v>
      </c>
      <c r="I4397" s="2" t="s">
        <v>10344</v>
      </c>
      <c r="J4397" s="3" t="str">
        <f>HYPERLINK("https://www.boe.es/gazeta/dias/1816/03/26/pdfs/GMD-1816-40.pdf#page=12","Abrir facsímil")</f>
        <v>Abrir facsímil</v>
      </c>
      <c r="K4397" s="3" t="s">
        <v>31</v>
      </c>
    </row>
    <row r="4398" spans="1:11" ht="42" customHeight="1">
      <c r="A4398" s="2" t="s">
        <v>10345</v>
      </c>
      <c r="B4398" s="2" t="s">
        <v>10346</v>
      </c>
      <c r="C4398" s="2" t="s">
        <v>34</v>
      </c>
      <c r="D4398" s="2" t="s">
        <v>35</v>
      </c>
      <c r="E4398" s="5">
        <v>-30594</v>
      </c>
      <c r="F4398" s="3" t="s">
        <v>234</v>
      </c>
      <c r="G4398" s="3" t="s">
        <v>47</v>
      </c>
      <c r="H4398" s="2" t="s">
        <v>21</v>
      </c>
      <c r="I4398" s="2" t="s">
        <v>10347</v>
      </c>
      <c r="J4398" s="3" t="str">
        <f>HYPERLINK("https://www.boe.es/gazeta/dias/1816/03/26/pdfs/GMD-1816-40.pdf#page=5","Abrir facsímil")</f>
        <v>Abrir facsímil</v>
      </c>
      <c r="K4398" s="3" t="s">
        <v>23</v>
      </c>
    </row>
    <row r="4399" spans="1:11" ht="42" customHeight="1">
      <c r="A4399" s="2" t="s">
        <v>10348</v>
      </c>
      <c r="B4399" s="2" t="s">
        <v>10348</v>
      </c>
      <c r="C4399" s="2" t="s">
        <v>34</v>
      </c>
      <c r="D4399" s="2" t="s">
        <v>35</v>
      </c>
      <c r="E4399" s="5">
        <v>-30405</v>
      </c>
      <c r="F4399" s="3" t="s">
        <v>587</v>
      </c>
      <c r="G4399" s="3" t="s">
        <v>184</v>
      </c>
      <c r="H4399" s="2" t="s">
        <v>21</v>
      </c>
      <c r="I4399" s="2" t="s">
        <v>10349</v>
      </c>
      <c r="J4399" s="3" t="str">
        <f>HYPERLINK("https://www.boe.es/gazeta/dias/1816/10/01/pdfs/GMD-1816-121.pdf#page=3","Abrir facsímil")</f>
        <v>Abrir facsímil</v>
      </c>
      <c r="K4399" s="3" t="s">
        <v>23</v>
      </c>
    </row>
    <row r="4400" spans="1:11" ht="42" customHeight="1">
      <c r="A4400" s="2" t="s">
        <v>10350</v>
      </c>
      <c r="B4400" s="2" t="s">
        <v>10351</v>
      </c>
      <c r="C4400" s="2" t="s">
        <v>26</v>
      </c>
      <c r="D4400" s="2" t="s">
        <v>18</v>
      </c>
      <c r="E4400" s="5">
        <v>-30450</v>
      </c>
      <c r="F4400" s="3" t="s">
        <v>349</v>
      </c>
      <c r="G4400" s="3" t="s">
        <v>42</v>
      </c>
      <c r="H4400" s="2" t="s">
        <v>21</v>
      </c>
      <c r="I4400" s="2" t="s">
        <v>10352</v>
      </c>
      <c r="J4400" s="3" t="str">
        <f>HYPERLINK("https://www.boe.es/gazeta/dias/1816/08/17/pdfs/GMD-1816-102.pdf#page=8","Abrir facsímil")</f>
        <v>Abrir facsímil</v>
      </c>
      <c r="K4400" s="3" t="s">
        <v>23</v>
      </c>
    </row>
    <row r="4401" spans="1:11" ht="42" customHeight="1">
      <c r="A4401" s="2" t="s">
        <v>10353</v>
      </c>
      <c r="B4401" s="2" t="s">
        <v>10354</v>
      </c>
      <c r="C4401" s="2" t="s">
        <v>26</v>
      </c>
      <c r="D4401" s="2" t="s">
        <v>18</v>
      </c>
      <c r="E4401" s="5">
        <v>-30391</v>
      </c>
      <c r="F4401" s="3" t="s">
        <v>482</v>
      </c>
      <c r="G4401" s="3" t="s">
        <v>28</v>
      </c>
      <c r="H4401" s="2" t="s">
        <v>21</v>
      </c>
      <c r="I4401" s="2" t="s">
        <v>10355</v>
      </c>
      <c r="J4401" s="3" t="str">
        <f>HYPERLINK("https://www.boe.es/gazeta/dias/1816/10/15/pdfs/GMD-1816-129.pdf#page=6","Abrir facsímil")</f>
        <v>Abrir facsímil</v>
      </c>
      <c r="K4401" s="3" t="s">
        <v>23</v>
      </c>
    </row>
    <row r="4402" spans="1:11" ht="42" customHeight="1">
      <c r="A4402" s="2" t="s">
        <v>10356</v>
      </c>
      <c r="B4402" s="2" t="s">
        <v>10357</v>
      </c>
      <c r="C4402" s="2" t="s">
        <v>34</v>
      </c>
      <c r="D4402" s="2" t="s">
        <v>35</v>
      </c>
      <c r="E4402" s="5">
        <v>-30391</v>
      </c>
      <c r="F4402" s="3" t="s">
        <v>482</v>
      </c>
      <c r="G4402" s="3" t="s">
        <v>28</v>
      </c>
      <c r="H4402" s="2" t="s">
        <v>21</v>
      </c>
      <c r="I4402" s="2" t="s">
        <v>10358</v>
      </c>
      <c r="J4402" s="3" t="str">
        <f>HYPERLINK("https://www.boe.es/gazeta/dias/1816/10/15/pdfs/GMD-1816-129.pdf#page=6","Abrir facsímil")</f>
        <v>Abrir facsímil</v>
      </c>
      <c r="K4402" s="3" t="s">
        <v>23</v>
      </c>
    </row>
    <row r="4403" spans="1:11" ht="42" customHeight="1">
      <c r="A4403" s="2" t="s">
        <v>10359</v>
      </c>
      <c r="B4403" s="2" t="s">
        <v>10360</v>
      </c>
      <c r="C4403" s="2" t="s">
        <v>17</v>
      </c>
      <c r="D4403" s="2" t="s">
        <v>18</v>
      </c>
      <c r="E4403" s="5">
        <v>-30674</v>
      </c>
      <c r="F4403" s="3" t="s">
        <v>19</v>
      </c>
      <c r="G4403" s="3" t="s">
        <v>72</v>
      </c>
      <c r="H4403" s="2" t="s">
        <v>21</v>
      </c>
      <c r="I4403" s="2" t="s">
        <v>10361</v>
      </c>
      <c r="J4403" s="3" t="str">
        <f>HYPERLINK("https://www.boe.es/gazeta/dias/1816/01/06/pdfs/GMD-1816-3.pdf#page=7","Abrir facsímil")</f>
        <v>Abrir facsímil</v>
      </c>
      <c r="K4403" s="3" t="s">
        <v>23</v>
      </c>
    </row>
    <row r="4404" spans="1:11" ht="42" customHeight="1">
      <c r="A4404" s="2" t="s">
        <v>10362</v>
      </c>
      <c r="B4404" s="2" t="s">
        <v>10363</v>
      </c>
      <c r="C4404" s="2" t="s">
        <v>111</v>
      </c>
      <c r="D4404" s="2" t="s">
        <v>112</v>
      </c>
      <c r="E4404" s="5">
        <v>-30632</v>
      </c>
      <c r="F4404" s="3" t="s">
        <v>89</v>
      </c>
      <c r="G4404" s="3" t="s">
        <v>72</v>
      </c>
      <c r="H4404" s="2" t="s">
        <v>21</v>
      </c>
      <c r="I4404" s="2" t="s">
        <v>10364</v>
      </c>
      <c r="J4404" s="3" t="str">
        <f>HYPERLINK("https://www.boe.es/gazeta/dias/1816/02/17/pdfs/GMD-1816-22.pdf#page=7","Abrir facsímil")</f>
        <v>Abrir facsímil</v>
      </c>
      <c r="K4404" s="3" t="s">
        <v>23</v>
      </c>
    </row>
    <row r="4405" spans="1:11" ht="42" customHeight="1">
      <c r="A4405" s="2" t="s">
        <v>10365</v>
      </c>
      <c r="B4405" s="2" t="s">
        <v>10366</v>
      </c>
      <c r="C4405" s="2" t="s">
        <v>26</v>
      </c>
      <c r="D4405" s="2" t="s">
        <v>18</v>
      </c>
      <c r="E4405" s="5">
        <v>-30401</v>
      </c>
      <c r="F4405" s="3" t="s">
        <v>652</v>
      </c>
      <c r="G4405" s="3" t="s">
        <v>103</v>
      </c>
      <c r="H4405" s="2" t="s">
        <v>21</v>
      </c>
      <c r="I4405" s="2" t="s">
        <v>10367</v>
      </c>
      <c r="J4405" s="3" t="str">
        <f>HYPERLINK("https://www.boe.es/gazeta/dias/1816/10/05/pdfs/GMD-1816-123.pdf#page=4","Abrir facsímil")</f>
        <v>Abrir facsímil</v>
      </c>
      <c r="K4405" s="3" t="s">
        <v>23</v>
      </c>
    </row>
    <row r="4406" spans="1:11" ht="42" customHeight="1">
      <c r="A4406" s="2" t="s">
        <v>10368</v>
      </c>
      <c r="B4406" s="2" t="s">
        <v>10369</v>
      </c>
      <c r="C4406" s="2" t="s">
        <v>34</v>
      </c>
      <c r="D4406" s="2" t="s">
        <v>35</v>
      </c>
      <c r="E4406" s="5">
        <v>-30576</v>
      </c>
      <c r="F4406" s="3" t="s">
        <v>353</v>
      </c>
      <c r="G4406" s="3" t="s">
        <v>72</v>
      </c>
      <c r="H4406" s="2" t="s">
        <v>21</v>
      </c>
      <c r="I4406" s="2" t="s">
        <v>10370</v>
      </c>
      <c r="J4406" s="3" t="str">
        <f>HYPERLINK("https://www.boe.es/gazeta/dias/1816/04/13/pdfs/GMD-1816-48.pdf#page=7","Abrir facsímil")</f>
        <v>Abrir facsímil</v>
      </c>
      <c r="K4406" s="3" t="s">
        <v>23</v>
      </c>
    </row>
    <row r="4407" spans="1:11" ht="42" customHeight="1">
      <c r="A4407" s="2" t="s">
        <v>10371</v>
      </c>
      <c r="B4407" s="2" t="s">
        <v>10372</v>
      </c>
      <c r="C4407" s="2" t="s">
        <v>34</v>
      </c>
      <c r="D4407" s="2" t="s">
        <v>35</v>
      </c>
      <c r="E4407" s="5">
        <v>-30615</v>
      </c>
      <c r="F4407" s="3" t="s">
        <v>1848</v>
      </c>
      <c r="G4407" s="3" t="s">
        <v>72</v>
      </c>
      <c r="H4407" s="2" t="s">
        <v>21</v>
      </c>
      <c r="I4407" s="2" t="s">
        <v>10373</v>
      </c>
      <c r="J4407" s="3" t="str">
        <f>HYPERLINK("https://www.boe.es/gazeta/dias/1816/03/05/pdfs/GMD-1816-30.pdf#page=7","Abrir facsímil")</f>
        <v>Abrir facsímil</v>
      </c>
      <c r="K4407" s="3" t="s">
        <v>23</v>
      </c>
    </row>
    <row r="4408" spans="1:11" ht="42" customHeight="1">
      <c r="A4408" s="2" t="s">
        <v>10374</v>
      </c>
      <c r="B4408" s="2" t="s">
        <v>10375</v>
      </c>
      <c r="C4408" s="2" t="s">
        <v>111</v>
      </c>
      <c r="D4408" s="2" t="s">
        <v>112</v>
      </c>
      <c r="E4408" s="5">
        <v>-30377</v>
      </c>
      <c r="F4408" s="3" t="s">
        <v>138</v>
      </c>
      <c r="G4408" s="3" t="s">
        <v>42</v>
      </c>
      <c r="H4408" s="2" t="s">
        <v>21</v>
      </c>
      <c r="I4408" s="2" t="s">
        <v>10376</v>
      </c>
      <c r="J4408" s="3" t="str">
        <f>HYPERLINK("https://www.boe.es/gazeta/dias/1816/10/29/pdfs/GMD-1816-135.pdf#page=8","Abrir facsímil")</f>
        <v>Abrir facsímil</v>
      </c>
      <c r="K4408" s="3" t="s">
        <v>23</v>
      </c>
    </row>
    <row r="4409" spans="1:11" ht="42" customHeight="1">
      <c r="A4409" s="2" t="s">
        <v>10377</v>
      </c>
      <c r="B4409" s="2" t="s">
        <v>10378</v>
      </c>
      <c r="C4409" s="2" t="s">
        <v>26</v>
      </c>
      <c r="D4409" s="2" t="s">
        <v>18</v>
      </c>
      <c r="E4409" s="5">
        <v>-30401</v>
      </c>
      <c r="F4409" s="3" t="s">
        <v>652</v>
      </c>
      <c r="G4409" s="3" t="s">
        <v>103</v>
      </c>
      <c r="H4409" s="2" t="s">
        <v>21</v>
      </c>
      <c r="I4409" s="2" t="s">
        <v>10379</v>
      </c>
      <c r="J4409" s="3" t="str">
        <f>HYPERLINK("https://www.boe.es/gazeta/dias/1816/10/05/pdfs/GMD-1816-123.pdf#page=4","Abrir facsímil")</f>
        <v>Abrir facsímil</v>
      </c>
      <c r="K4409" s="3" t="s">
        <v>23</v>
      </c>
    </row>
    <row r="4410" spans="1:11" ht="42" customHeight="1">
      <c r="A4410" s="2" t="s">
        <v>10380</v>
      </c>
      <c r="B4410" s="2" t="s">
        <v>10381</v>
      </c>
      <c r="C4410" s="2" t="s">
        <v>67</v>
      </c>
      <c r="D4410" s="2" t="s">
        <v>18</v>
      </c>
      <c r="E4410" s="5">
        <v>-30394</v>
      </c>
      <c r="F4410" s="3" t="s">
        <v>589</v>
      </c>
      <c r="G4410" s="3" t="s">
        <v>72</v>
      </c>
      <c r="H4410" s="2" t="s">
        <v>21</v>
      </c>
      <c r="I4410" s="2" t="s">
        <v>10382</v>
      </c>
      <c r="J4410" s="3" t="str">
        <f>HYPERLINK("https://www.boe.es/gazeta/dias/1816/10/12/pdfs/GMD-1816-127.pdf#page=7","Abrir facsímil")</f>
        <v>Abrir facsímil</v>
      </c>
      <c r="K4410" s="3" t="s">
        <v>23</v>
      </c>
    </row>
    <row r="4411" spans="1:11" ht="42" customHeight="1">
      <c r="A4411" s="2" t="s">
        <v>10383</v>
      </c>
      <c r="B4411" s="2" t="s">
        <v>10383</v>
      </c>
      <c r="C4411" s="2" t="s">
        <v>387</v>
      </c>
      <c r="D4411" s="2" t="s">
        <v>18</v>
      </c>
      <c r="E4411" s="5">
        <v>-30452</v>
      </c>
      <c r="F4411" s="3" t="s">
        <v>3546</v>
      </c>
      <c r="G4411" s="3" t="s">
        <v>58</v>
      </c>
      <c r="H4411" s="2" t="s">
        <v>21</v>
      </c>
      <c r="I4411" s="2" t="s">
        <v>10384</v>
      </c>
      <c r="J4411" s="3" t="str">
        <f>HYPERLINK("https://www.boe.es/gazeta/dias/1816/08/15/pdfs/GMD-1816-101.pdf#page=1","Abrir facsímil")</f>
        <v>Abrir facsímil</v>
      </c>
      <c r="K4411" s="3" t="s">
        <v>23</v>
      </c>
    </row>
    <row r="4412" spans="1:11" ht="42" customHeight="1">
      <c r="A4412" s="2" t="s">
        <v>10385</v>
      </c>
      <c r="B4412" s="2" t="s">
        <v>10386</v>
      </c>
      <c r="C4412" s="2" t="s">
        <v>41</v>
      </c>
      <c r="D4412" s="2" t="s">
        <v>18</v>
      </c>
      <c r="E4412" s="5">
        <v>-30405</v>
      </c>
      <c r="F4412" s="3" t="s">
        <v>587</v>
      </c>
      <c r="G4412" s="3" t="s">
        <v>28</v>
      </c>
      <c r="H4412" s="2" t="s">
        <v>21</v>
      </c>
      <c r="I4412" s="2" t="s">
        <v>10387</v>
      </c>
      <c r="J4412" s="3" t="str">
        <f>HYPERLINK("https://www.boe.es/gazeta/dias/1816/10/01/pdfs/GMD-1816-121.pdf#page=6","Abrir facsímil")</f>
        <v>Abrir facsímil</v>
      </c>
      <c r="K4412" s="3" t="s">
        <v>23</v>
      </c>
    </row>
    <row r="4413" spans="1:11" ht="42" customHeight="1">
      <c r="A4413" s="2" t="s">
        <v>10388</v>
      </c>
      <c r="B4413" s="2" t="s">
        <v>10389</v>
      </c>
      <c r="C4413" s="2" t="s">
        <v>26</v>
      </c>
      <c r="D4413" s="2" t="s">
        <v>56</v>
      </c>
      <c r="E4413" s="5">
        <v>-30393</v>
      </c>
      <c r="F4413" s="3" t="s">
        <v>202</v>
      </c>
      <c r="G4413" s="3" t="s">
        <v>47</v>
      </c>
      <c r="H4413" s="2" t="s">
        <v>21</v>
      </c>
      <c r="I4413" s="2" t="s">
        <v>10390</v>
      </c>
      <c r="J4413" s="3" t="str">
        <f>HYPERLINK("https://www.boe.es/gazeta/dias/1816/10/13/pdfs/GMD-1816-128E.pdf#page=5","Abrir facsímil")</f>
        <v>Abrir facsímil</v>
      </c>
      <c r="K4413" s="3" t="s">
        <v>23</v>
      </c>
    </row>
    <row r="4414" spans="1:11" ht="42" customHeight="1">
      <c r="A4414" s="2" t="s">
        <v>10391</v>
      </c>
      <c r="B4414" s="2" t="s">
        <v>10392</v>
      </c>
      <c r="C4414" s="2" t="s">
        <v>111</v>
      </c>
      <c r="D4414" s="2" t="s">
        <v>112</v>
      </c>
      <c r="E4414" s="5">
        <v>-30375</v>
      </c>
      <c r="F4414" s="3" t="s">
        <v>404</v>
      </c>
      <c r="G4414" s="3" t="s">
        <v>1278</v>
      </c>
      <c r="H4414" s="2" t="s">
        <v>21</v>
      </c>
      <c r="I4414" s="2" t="s">
        <v>10393</v>
      </c>
      <c r="J4414" s="3" t="str">
        <f>HYPERLINK("https://www.boe.es/gazeta/dias/1816/10/31/pdfs/GMD-1816-136.pdf#page=7","Abrir facsímil")</f>
        <v>Abrir facsímil</v>
      </c>
      <c r="K4414" s="3" t="s">
        <v>23</v>
      </c>
    </row>
    <row r="4415" spans="1:11" ht="42" customHeight="1">
      <c r="A4415" s="2" t="s">
        <v>10394</v>
      </c>
      <c r="B4415" s="2" t="s">
        <v>10395</v>
      </c>
      <c r="C4415" s="2" t="s">
        <v>26</v>
      </c>
      <c r="D4415" s="2" t="s">
        <v>56</v>
      </c>
      <c r="E4415" s="5">
        <v>-30399</v>
      </c>
      <c r="F4415" s="3" t="s">
        <v>57</v>
      </c>
      <c r="G4415" s="3" t="s">
        <v>72</v>
      </c>
      <c r="H4415" s="2" t="s">
        <v>21</v>
      </c>
      <c r="I4415" s="2" t="s">
        <v>10396</v>
      </c>
      <c r="J4415" s="3" t="str">
        <f>HYPERLINK("https://www.boe.es/gazeta/dias/1816/10/07/pdfs/GMD-1816-124E.pdf#page=7","Abrir facsímil")</f>
        <v>Abrir facsímil</v>
      </c>
      <c r="K4415" s="3" t="s">
        <v>23</v>
      </c>
    </row>
    <row r="4416" spans="1:11" ht="42" customHeight="1">
      <c r="A4416" s="2" t="s">
        <v>10397</v>
      </c>
      <c r="B4416" s="2" t="s">
        <v>10398</v>
      </c>
      <c r="C4416" s="2" t="s">
        <v>111</v>
      </c>
      <c r="D4416" s="2" t="s">
        <v>112</v>
      </c>
      <c r="E4416" s="5">
        <v>-30608</v>
      </c>
      <c r="F4416" s="3" t="s">
        <v>550</v>
      </c>
      <c r="G4416" s="3" t="s">
        <v>42</v>
      </c>
      <c r="H4416" s="2" t="s">
        <v>21</v>
      </c>
      <c r="I4416" s="2" t="s">
        <v>10399</v>
      </c>
      <c r="J4416" s="3" t="str">
        <f>HYPERLINK("https://www.boe.es/gazeta/dias/1816/03/12/pdfs/GMD-1816-33.pdf#page=8","Abrir facsímil")</f>
        <v>Abrir facsímil</v>
      </c>
      <c r="K4416" s="3" t="s">
        <v>23</v>
      </c>
    </row>
    <row r="4417" spans="1:11" ht="42" customHeight="1">
      <c r="A4417" s="2" t="s">
        <v>10400</v>
      </c>
      <c r="B4417" s="2" t="s">
        <v>10401</v>
      </c>
      <c r="C4417" s="2" t="s">
        <v>26</v>
      </c>
      <c r="D4417" s="2" t="s">
        <v>18</v>
      </c>
      <c r="E4417" s="5">
        <v>-30401</v>
      </c>
      <c r="F4417" s="3" t="s">
        <v>652</v>
      </c>
      <c r="G4417" s="3" t="s">
        <v>47</v>
      </c>
      <c r="H4417" s="2" t="s">
        <v>21</v>
      </c>
      <c r="I4417" s="2" t="s">
        <v>10402</v>
      </c>
      <c r="J4417" s="3" t="str">
        <f>HYPERLINK("https://www.boe.es/gazeta/dias/1816/10/05/pdfs/GMD-1816-123.pdf#page=5","Abrir facsímil")</f>
        <v>Abrir facsímil</v>
      </c>
      <c r="K4417" s="3" t="s">
        <v>23</v>
      </c>
    </row>
    <row r="4418" spans="1:11" ht="42" customHeight="1">
      <c r="A4418" s="2" t="s">
        <v>10403</v>
      </c>
      <c r="B4418" s="2" t="s">
        <v>10404</v>
      </c>
      <c r="C4418" s="2" t="s">
        <v>34</v>
      </c>
      <c r="D4418" s="2" t="s">
        <v>35</v>
      </c>
      <c r="E4418" s="5">
        <v>-30594</v>
      </c>
      <c r="F4418" s="3" t="s">
        <v>234</v>
      </c>
      <c r="G4418" s="3" t="s">
        <v>42</v>
      </c>
      <c r="H4418" s="2" t="s">
        <v>21</v>
      </c>
      <c r="I4418" s="2" t="s">
        <v>10405</v>
      </c>
      <c r="J4418" s="3" t="str">
        <f>HYPERLINK("https://www.boe.es/gazeta/dias/1816/03/26/pdfs/GMD-1816-40.pdf#page=8","Abrir facsímil")</f>
        <v>Abrir facsímil</v>
      </c>
      <c r="K4418" s="3" t="s">
        <v>23</v>
      </c>
    </row>
    <row r="4419" spans="1:11" ht="42" customHeight="1">
      <c r="A4419" s="2" t="s">
        <v>10403</v>
      </c>
      <c r="B4419" s="2" t="s">
        <v>10404</v>
      </c>
      <c r="C4419" s="2" t="s">
        <v>34</v>
      </c>
      <c r="D4419" s="2" t="s">
        <v>35</v>
      </c>
      <c r="E4419" s="5">
        <v>-30580</v>
      </c>
      <c r="F4419" s="3" t="s">
        <v>107</v>
      </c>
      <c r="G4419" s="3" t="s">
        <v>28</v>
      </c>
      <c r="H4419" s="2" t="s">
        <v>21</v>
      </c>
      <c r="I4419" s="2" t="s">
        <v>10406</v>
      </c>
      <c r="J4419" s="3" t="str">
        <f>HYPERLINK("https://www.boe.es/gazeta/dias/1816/04/09/pdfs/GMD-1816-46.pdf#page=6","Abrir facsímil")</f>
        <v>Abrir facsímil</v>
      </c>
      <c r="K4419" s="3" t="s">
        <v>23</v>
      </c>
    </row>
    <row r="4420" spans="1:11" ht="42" customHeight="1">
      <c r="A4420" s="2" t="s">
        <v>10407</v>
      </c>
      <c r="B4420" s="2" t="s">
        <v>10407</v>
      </c>
      <c r="C4420" s="2" t="s">
        <v>111</v>
      </c>
      <c r="D4420" s="2" t="s">
        <v>112</v>
      </c>
      <c r="E4420" s="5">
        <v>-30340</v>
      </c>
      <c r="F4420" s="3" t="s">
        <v>1618</v>
      </c>
      <c r="G4420" s="3" t="s">
        <v>270</v>
      </c>
      <c r="H4420" s="2" t="s">
        <v>21</v>
      </c>
      <c r="I4420" s="2" t="s">
        <v>10408</v>
      </c>
      <c r="J4420" s="3" t="str">
        <f>HYPERLINK("https://www.boe.es/gazeta/dias/1816/12/05/pdfs/GMD-1816-151.pdf#page=2","Abrir facsímil")</f>
        <v>Abrir facsímil</v>
      </c>
      <c r="K4420" s="3" t="s">
        <v>23</v>
      </c>
    </row>
    <row r="4421" spans="1:11" ht="42" customHeight="1">
      <c r="A4421" s="2" t="s">
        <v>10409</v>
      </c>
      <c r="B4421" s="2" t="s">
        <v>10409</v>
      </c>
      <c r="C4421" s="2" t="s">
        <v>111</v>
      </c>
      <c r="D4421" s="2" t="s">
        <v>112</v>
      </c>
      <c r="E4421" s="5">
        <v>-30550</v>
      </c>
      <c r="F4421" s="3" t="s">
        <v>435</v>
      </c>
      <c r="G4421" s="3" t="s">
        <v>270</v>
      </c>
      <c r="H4421" s="2" t="s">
        <v>21</v>
      </c>
      <c r="I4421" s="2" t="s">
        <v>10410</v>
      </c>
      <c r="J4421" s="3" t="str">
        <f>HYPERLINK("https://www.boe.es/gazeta/dias/1816/05/09/pdfs/GMD-1816-59.pdf#page=2","Abrir facsímil")</f>
        <v>Abrir facsímil</v>
      </c>
      <c r="K4421" s="3" t="s">
        <v>23</v>
      </c>
    </row>
    <row r="4422" spans="1:11" ht="42" customHeight="1">
      <c r="A4422" s="2" t="s">
        <v>10409</v>
      </c>
      <c r="B4422" s="2" t="s">
        <v>10409</v>
      </c>
      <c r="C4422" s="2" t="s">
        <v>26</v>
      </c>
      <c r="D4422" s="2" t="s">
        <v>18</v>
      </c>
      <c r="E4422" s="5">
        <v>-30426</v>
      </c>
      <c r="F4422" s="3" t="s">
        <v>779</v>
      </c>
      <c r="G4422" s="3" t="s">
        <v>103</v>
      </c>
      <c r="H4422" s="2" t="s">
        <v>21</v>
      </c>
      <c r="I4422" s="2" t="s">
        <v>10411</v>
      </c>
      <c r="J4422" s="3" t="str">
        <f>HYPERLINK("https://www.boe.es/gazeta/dias/1816/09/10/pdfs/GMD-1816-112.pdf#page=4","Abrir facsímil")</f>
        <v>Abrir facsímil</v>
      </c>
      <c r="K4422" s="3" t="s">
        <v>23</v>
      </c>
    </row>
    <row r="4423" spans="1:11" ht="42" customHeight="1">
      <c r="A4423" s="2" t="s">
        <v>10412</v>
      </c>
      <c r="B4423" s="2" t="s">
        <v>10413</v>
      </c>
      <c r="C4423" s="2" t="s">
        <v>34</v>
      </c>
      <c r="D4423" s="2" t="s">
        <v>56</v>
      </c>
      <c r="E4423" s="5">
        <v>-30393</v>
      </c>
      <c r="F4423" s="3" t="s">
        <v>202</v>
      </c>
      <c r="G4423" s="3" t="s">
        <v>42</v>
      </c>
      <c r="H4423" s="2" t="s">
        <v>21</v>
      </c>
      <c r="I4423" s="2" t="s">
        <v>10414</v>
      </c>
      <c r="J4423" s="3" t="str">
        <f>HYPERLINK("https://www.boe.es/gazeta/dias/1816/10/13/pdfs/GMD-1816-128E.pdf#page=8","Abrir facsímil")</f>
        <v>Abrir facsímil</v>
      </c>
      <c r="K4423" s="3" t="s">
        <v>23</v>
      </c>
    </row>
    <row r="4424" spans="1:11" ht="42" customHeight="1">
      <c r="A4424" s="2" t="s">
        <v>10415</v>
      </c>
      <c r="B4424" s="2" t="s">
        <v>10416</v>
      </c>
      <c r="C4424" s="2" t="s">
        <v>34</v>
      </c>
      <c r="D4424" s="2" t="s">
        <v>35</v>
      </c>
      <c r="E4424" s="5">
        <v>-30513</v>
      </c>
      <c r="F4424" s="3" t="s">
        <v>582</v>
      </c>
      <c r="G4424" s="3" t="s">
        <v>47</v>
      </c>
      <c r="H4424" s="2" t="s">
        <v>21</v>
      </c>
      <c r="I4424" s="2" t="s">
        <v>10417</v>
      </c>
      <c r="J4424" s="3" t="str">
        <f>HYPERLINK("https://www.boe.es/gazeta/dias/1816/06/15/pdfs/GMD-1816-75.pdf#page=5","Abrir facsímil")</f>
        <v>Abrir facsímil</v>
      </c>
      <c r="K4424" s="3" t="s">
        <v>23</v>
      </c>
    </row>
    <row r="4425" spans="1:11" ht="42" customHeight="1">
      <c r="A4425" s="2" t="s">
        <v>10415</v>
      </c>
      <c r="B4425" s="2" t="s">
        <v>10416</v>
      </c>
      <c r="C4425" s="2" t="s">
        <v>34</v>
      </c>
      <c r="D4425" s="2" t="s">
        <v>35</v>
      </c>
      <c r="E4425" s="5">
        <v>-30363</v>
      </c>
      <c r="F4425" s="3" t="s">
        <v>570</v>
      </c>
      <c r="G4425" s="3" t="s">
        <v>47</v>
      </c>
      <c r="H4425" s="2" t="s">
        <v>21</v>
      </c>
      <c r="I4425" s="2" t="s">
        <v>10418</v>
      </c>
      <c r="J4425" s="3" t="str">
        <f>HYPERLINK("https://www.boe.es/gazeta/dias/1816/11/12/pdfs/GMD-1816-141.pdf#page=5","Abrir facsímil")</f>
        <v>Abrir facsímil</v>
      </c>
      <c r="K4425" s="3" t="s">
        <v>23</v>
      </c>
    </row>
    <row r="4426" spans="1:11" ht="42" customHeight="1">
      <c r="A4426" s="2" t="s">
        <v>10415</v>
      </c>
      <c r="B4426" s="2" t="s">
        <v>10416</v>
      </c>
      <c r="C4426" s="2" t="s">
        <v>34</v>
      </c>
      <c r="D4426" s="2" t="s">
        <v>35</v>
      </c>
      <c r="E4426" s="5">
        <v>-30359</v>
      </c>
      <c r="F4426" s="3" t="s">
        <v>812</v>
      </c>
      <c r="G4426" s="3" t="s">
        <v>47</v>
      </c>
      <c r="H4426" s="2" t="s">
        <v>21</v>
      </c>
      <c r="I4426" s="2" t="s">
        <v>10419</v>
      </c>
      <c r="J4426" s="3" t="str">
        <f>HYPERLINK("https://www.boe.es/gazeta/dias/1816/11/16/pdfs/GMD-1816-143.pdf#page=5","Abrir facsímil")</f>
        <v>Abrir facsímil</v>
      </c>
      <c r="K4426" s="3" t="s">
        <v>23</v>
      </c>
    </row>
    <row r="4427" spans="1:11" ht="42" customHeight="1">
      <c r="A4427" s="2" t="s">
        <v>10420</v>
      </c>
      <c r="B4427" s="2" t="s">
        <v>10421</v>
      </c>
      <c r="C4427" s="2" t="s">
        <v>34</v>
      </c>
      <c r="D4427" s="2" t="s">
        <v>35</v>
      </c>
      <c r="E4427" s="5">
        <v>-30580</v>
      </c>
      <c r="F4427" s="3" t="s">
        <v>107</v>
      </c>
      <c r="G4427" s="3" t="s">
        <v>28</v>
      </c>
      <c r="H4427" s="2" t="s">
        <v>21</v>
      </c>
      <c r="I4427" s="2" t="s">
        <v>10422</v>
      </c>
      <c r="J4427" s="3" t="str">
        <f>HYPERLINK("https://www.boe.es/gazeta/dias/1816/04/09/pdfs/GMD-1816-46.pdf#page=6","Abrir facsímil")</f>
        <v>Abrir facsímil</v>
      </c>
      <c r="K4427" s="3" t="s">
        <v>23</v>
      </c>
    </row>
    <row r="4428" spans="1:11" ht="42" customHeight="1">
      <c r="A4428" s="2" t="s">
        <v>10423</v>
      </c>
      <c r="B4428" s="2" t="s">
        <v>10424</v>
      </c>
      <c r="C4428" s="2" t="s">
        <v>26</v>
      </c>
      <c r="D4428" s="2" t="s">
        <v>18</v>
      </c>
      <c r="E4428" s="5">
        <v>-30510</v>
      </c>
      <c r="F4428" s="3" t="s">
        <v>450</v>
      </c>
      <c r="G4428" s="3" t="s">
        <v>451</v>
      </c>
      <c r="H4428" s="2" t="s">
        <v>21</v>
      </c>
      <c r="I4428" s="2" t="s">
        <v>10425</v>
      </c>
      <c r="J4428" s="3" t="str">
        <f>HYPERLINK("https://www.boe.es/gazeta/dias/1816/06/18/pdfs/GMD-1816-76.pdf#page=8","Abrir facsímil")</f>
        <v>Abrir facsímil</v>
      </c>
      <c r="K4428" s="3" t="s">
        <v>23</v>
      </c>
    </row>
    <row r="4429" spans="1:11" ht="42" customHeight="1">
      <c r="A4429" s="2" t="s">
        <v>10426</v>
      </c>
      <c r="B4429" s="2" t="s">
        <v>10427</v>
      </c>
      <c r="C4429" s="2" t="s">
        <v>41</v>
      </c>
      <c r="D4429" s="2" t="s">
        <v>18</v>
      </c>
      <c r="E4429" s="5">
        <v>-30671</v>
      </c>
      <c r="F4429" s="3" t="s">
        <v>2049</v>
      </c>
      <c r="G4429" s="3" t="s">
        <v>47</v>
      </c>
      <c r="H4429" s="2" t="s">
        <v>21</v>
      </c>
      <c r="I4429" s="2" t="s">
        <v>10428</v>
      </c>
      <c r="J4429" s="3" t="str">
        <f>HYPERLINK("https://www.boe.es/gazeta/dias/1816/01/09/pdfs/GMD-1816-4.pdf#page=5","Abrir facsímil")</f>
        <v>Abrir facsímil</v>
      </c>
      <c r="K4429" s="3" t="s">
        <v>23</v>
      </c>
    </row>
    <row r="4430" spans="1:11" ht="42" customHeight="1">
      <c r="A4430" s="2" t="s">
        <v>10429</v>
      </c>
      <c r="B4430" s="2" t="s">
        <v>10430</v>
      </c>
      <c r="C4430" s="2" t="s">
        <v>111</v>
      </c>
      <c r="D4430" s="2" t="s">
        <v>112</v>
      </c>
      <c r="E4430" s="5">
        <v>-30494</v>
      </c>
      <c r="F4430" s="3" t="s">
        <v>174</v>
      </c>
      <c r="G4430" s="3" t="s">
        <v>52</v>
      </c>
      <c r="H4430" s="2" t="s">
        <v>21</v>
      </c>
      <c r="I4430" s="2" t="s">
        <v>10431</v>
      </c>
      <c r="J4430" s="3" t="str">
        <f>HYPERLINK("https://www.boe.es/gazeta/dias/1816/07/04/pdfs/GMD-1816-83.pdf#page=12","Abrir facsímil")</f>
        <v>Abrir facsímil</v>
      </c>
      <c r="K4430" s="3" t="s">
        <v>23</v>
      </c>
    </row>
    <row r="4431" spans="1:11" ht="42" customHeight="1">
      <c r="A4431" s="2" t="s">
        <v>10432</v>
      </c>
      <c r="B4431" s="2" t="s">
        <v>10432</v>
      </c>
      <c r="C4431" s="2" t="s">
        <v>26</v>
      </c>
      <c r="D4431" s="2" t="s">
        <v>18</v>
      </c>
      <c r="E4431" s="5">
        <v>-30496</v>
      </c>
      <c r="F4431" s="3" t="s">
        <v>290</v>
      </c>
      <c r="G4431" s="3" t="s">
        <v>184</v>
      </c>
      <c r="H4431" s="2" t="s">
        <v>21</v>
      </c>
      <c r="I4431" s="2" t="s">
        <v>10433</v>
      </c>
      <c r="J4431" s="3" t="str">
        <f>HYPERLINK("https://www.boe.es/gazeta/dias/1816/07/02/pdfs/GMD-1816-82.pdf#page=3","Abrir facsímil")</f>
        <v>Abrir facsímil</v>
      </c>
      <c r="K4431" s="3" t="s">
        <v>23</v>
      </c>
    </row>
    <row r="4432" spans="1:11" ht="42" customHeight="1">
      <c r="A4432" s="2" t="s">
        <v>10434</v>
      </c>
      <c r="B4432" s="2" t="s">
        <v>10435</v>
      </c>
      <c r="C4432" s="2" t="s">
        <v>34</v>
      </c>
      <c r="D4432" s="2" t="s">
        <v>35</v>
      </c>
      <c r="E4432" s="5">
        <v>-30650</v>
      </c>
      <c r="F4432" s="3" t="s">
        <v>1170</v>
      </c>
      <c r="G4432" s="3" t="s">
        <v>72</v>
      </c>
      <c r="H4432" s="2" t="s">
        <v>21</v>
      </c>
      <c r="I4432" s="2" t="s">
        <v>10436</v>
      </c>
      <c r="J4432" s="3" t="str">
        <f>HYPERLINK("https://www.boe.es/gazeta/dias/1816/01/30/pdfs/GMD-1816-14.pdf#page=7","Abrir facsímil")</f>
        <v>Abrir facsímil</v>
      </c>
      <c r="K4432" s="3" t="s">
        <v>23</v>
      </c>
    </row>
    <row r="4433" spans="1:11" ht="42" customHeight="1">
      <c r="A4433" s="2" t="s">
        <v>10437</v>
      </c>
      <c r="B4433" s="2" t="s">
        <v>10438</v>
      </c>
      <c r="C4433" s="2" t="s">
        <v>111</v>
      </c>
      <c r="D4433" s="2" t="s">
        <v>112</v>
      </c>
      <c r="E4433" s="5">
        <v>-30375</v>
      </c>
      <c r="F4433" s="3" t="s">
        <v>404</v>
      </c>
      <c r="G4433" s="3" t="s">
        <v>1276</v>
      </c>
      <c r="H4433" s="2" t="s">
        <v>21</v>
      </c>
      <c r="I4433" s="2" t="s">
        <v>10439</v>
      </c>
      <c r="J4433" s="3" t="str">
        <f>HYPERLINK("https://www.boe.es/gazeta/dias/1816/10/31/pdfs/GMD-1816-136.pdf#page=5","Abrir facsímil")</f>
        <v>Abrir facsímil</v>
      </c>
      <c r="K4433" s="3" t="s">
        <v>23</v>
      </c>
    </row>
    <row r="4434" spans="1:11" ht="42" customHeight="1">
      <c r="A4434" s="2" t="s">
        <v>10440</v>
      </c>
      <c r="B4434" s="2" t="s">
        <v>10440</v>
      </c>
      <c r="C4434" s="2" t="s">
        <v>111</v>
      </c>
      <c r="D4434" s="2" t="s">
        <v>112</v>
      </c>
      <c r="E4434" s="5">
        <v>-30345</v>
      </c>
      <c r="F4434" s="3" t="s">
        <v>1382</v>
      </c>
      <c r="G4434" s="3" t="s">
        <v>103</v>
      </c>
      <c r="H4434" s="2" t="s">
        <v>21</v>
      </c>
      <c r="I4434" s="2" t="s">
        <v>10441</v>
      </c>
      <c r="J4434" s="3" t="str">
        <f>HYPERLINK("https://www.boe.es/gazeta/dias/1816/11/30/pdfs/GMD-1816-149.pdf#page=4","Abrir facsímil")</f>
        <v>Abrir facsímil</v>
      </c>
      <c r="K4434" s="3" t="s">
        <v>23</v>
      </c>
    </row>
    <row r="4435" spans="1:11" ht="42" customHeight="1">
      <c r="A4435" s="2" t="s">
        <v>10442</v>
      </c>
      <c r="B4435" s="2" t="s">
        <v>10442</v>
      </c>
      <c r="C4435" s="2" t="s">
        <v>41</v>
      </c>
      <c r="D4435" s="2" t="s">
        <v>18</v>
      </c>
      <c r="E4435" s="5">
        <v>-30636</v>
      </c>
      <c r="F4435" s="3" t="s">
        <v>82</v>
      </c>
      <c r="G4435" s="3" t="s">
        <v>83</v>
      </c>
      <c r="H4435" s="2" t="s">
        <v>21</v>
      </c>
      <c r="I4435" s="2" t="s">
        <v>10443</v>
      </c>
      <c r="J4435" s="3" t="str">
        <f>HYPERLINK("https://www.boe.es/gazeta/dias/1816/02/13/pdfs/GMD-1816-20.pdf#page=8","Abrir facsímil")</f>
        <v>Abrir facsímil</v>
      </c>
      <c r="K4435" s="3" t="s">
        <v>23</v>
      </c>
    </row>
    <row r="4436" spans="1:11" ht="42" customHeight="1">
      <c r="A4436" s="2" t="s">
        <v>10444</v>
      </c>
      <c r="B4436" s="2" t="s">
        <v>10444</v>
      </c>
      <c r="C4436" s="2" t="s">
        <v>387</v>
      </c>
      <c r="D4436" s="2" t="s">
        <v>18</v>
      </c>
      <c r="E4436" s="5">
        <v>-30485</v>
      </c>
      <c r="F4436" s="3" t="s">
        <v>156</v>
      </c>
      <c r="G4436" s="3" t="s">
        <v>270</v>
      </c>
      <c r="H4436" s="2" t="s">
        <v>21</v>
      </c>
      <c r="I4436" s="2" t="s">
        <v>10445</v>
      </c>
      <c r="J4436" s="3" t="str">
        <f>HYPERLINK("https://www.boe.es/gazeta/dias/1816/07/13/pdfs/GMD-1816-87.pdf#page=2","Abrir facsímil")</f>
        <v>Abrir facsímil</v>
      </c>
      <c r="K4436" s="3" t="s">
        <v>23</v>
      </c>
    </row>
    <row r="4437" spans="1:11" ht="42" customHeight="1">
      <c r="A4437" s="2" t="s">
        <v>10446</v>
      </c>
      <c r="B4437" s="2" t="s">
        <v>10446</v>
      </c>
      <c r="C4437" s="2" t="s">
        <v>34</v>
      </c>
      <c r="D4437" s="2" t="s">
        <v>35</v>
      </c>
      <c r="E4437" s="5">
        <v>-30585</v>
      </c>
      <c r="F4437" s="3" t="s">
        <v>633</v>
      </c>
      <c r="G4437" s="3" t="s">
        <v>184</v>
      </c>
      <c r="H4437" s="2" t="s">
        <v>21</v>
      </c>
      <c r="I4437" s="2" t="s">
        <v>10447</v>
      </c>
      <c r="J4437" s="3" t="str">
        <f>HYPERLINK("https://www.boe.es/gazeta/dias/1816/04/04/pdfs/GMD-1816-44.pdf#page=3","Abrir facsímil")</f>
        <v>Abrir facsímil</v>
      </c>
      <c r="K4437" s="3" t="s">
        <v>23</v>
      </c>
    </row>
    <row r="4438" spans="1:11" ht="42" customHeight="1">
      <c r="A4438" s="2" t="s">
        <v>10448</v>
      </c>
      <c r="B4438" s="2" t="s">
        <v>10449</v>
      </c>
      <c r="C4438" s="2" t="s">
        <v>26</v>
      </c>
      <c r="D4438" s="2" t="s">
        <v>18</v>
      </c>
      <c r="E4438" s="5">
        <v>-30438</v>
      </c>
      <c r="F4438" s="3" t="s">
        <v>299</v>
      </c>
      <c r="G4438" s="3" t="s">
        <v>1250</v>
      </c>
      <c r="H4438" s="2" t="s">
        <v>21</v>
      </c>
      <c r="I4438" s="2" t="s">
        <v>10450</v>
      </c>
      <c r="J4438" s="3" t="str">
        <f>HYPERLINK("https://www.boe.es/gazeta/dias/1816/08/29/pdfs/GMD-1816-107.pdf#page=6","Abrir facsímil")</f>
        <v>Abrir facsímil</v>
      </c>
      <c r="K4438" s="3" t="s">
        <v>23</v>
      </c>
    </row>
    <row r="4439" spans="1:11" ht="42" customHeight="1">
      <c r="A4439" s="2" t="s">
        <v>10451</v>
      </c>
      <c r="B4439" s="2" t="s">
        <v>10452</v>
      </c>
      <c r="C4439" s="2" t="s">
        <v>26</v>
      </c>
      <c r="D4439" s="2" t="s">
        <v>18</v>
      </c>
      <c r="E4439" s="5">
        <v>-30438</v>
      </c>
      <c r="F4439" s="3" t="s">
        <v>299</v>
      </c>
      <c r="G4439" s="3" t="s">
        <v>1250</v>
      </c>
      <c r="H4439" s="2" t="s">
        <v>21</v>
      </c>
      <c r="I4439" s="2" t="s">
        <v>10453</v>
      </c>
      <c r="J4439" s="3" t="str">
        <f>HYPERLINK("https://www.boe.es/gazeta/dias/1816/08/29/pdfs/GMD-1816-107.pdf#page=6","Abrir facsímil")</f>
        <v>Abrir facsímil</v>
      </c>
      <c r="K4439" s="3" t="s">
        <v>23</v>
      </c>
    </row>
    <row r="4440" spans="1:11" ht="42" customHeight="1">
      <c r="A4440" s="2" t="s">
        <v>10454</v>
      </c>
      <c r="B4440" s="2" t="s">
        <v>10454</v>
      </c>
      <c r="C4440" s="2" t="s">
        <v>67</v>
      </c>
      <c r="D4440" s="2" t="s">
        <v>18</v>
      </c>
      <c r="E4440" s="5">
        <v>-30601</v>
      </c>
      <c r="F4440" s="3" t="s">
        <v>308</v>
      </c>
      <c r="G4440" s="3" t="s">
        <v>103</v>
      </c>
      <c r="H4440" s="2" t="s">
        <v>21</v>
      </c>
      <c r="I4440" s="2" t="s">
        <v>10455</v>
      </c>
      <c r="J4440" s="3" t="str">
        <f>HYPERLINK("https://www.boe.es/gazeta/dias/1816/03/19/pdfs/GMD-1816-37.pdf#page=4","Abrir facsímil")</f>
        <v>Abrir facsímil</v>
      </c>
      <c r="K4440" s="3" t="s">
        <v>23</v>
      </c>
    </row>
    <row r="4441" spans="1:11" ht="42" customHeight="1">
      <c r="A4441" s="2" t="s">
        <v>10456</v>
      </c>
      <c r="B4441" s="2" t="s">
        <v>10457</v>
      </c>
      <c r="C4441" s="2" t="s">
        <v>111</v>
      </c>
      <c r="D4441" s="2" t="s">
        <v>56</v>
      </c>
      <c r="E4441" s="5">
        <v>-30393</v>
      </c>
      <c r="F4441" s="3" t="s">
        <v>202</v>
      </c>
      <c r="G4441" s="3" t="s">
        <v>270</v>
      </c>
      <c r="H4441" s="2" t="s">
        <v>21</v>
      </c>
      <c r="I4441" s="2" t="s">
        <v>10458</v>
      </c>
      <c r="J4441" s="3" t="str">
        <f>HYPERLINK("https://www.boe.es/gazeta/dias/1816/10/13/pdfs/GMD-1816-128E.pdf#page=2","Abrir facsímil")</f>
        <v>Abrir facsímil</v>
      </c>
      <c r="K4441" s="3" t="s">
        <v>23</v>
      </c>
    </row>
    <row r="4442" spans="1:11" ht="42" customHeight="1">
      <c r="A4442" s="2" t="s">
        <v>10459</v>
      </c>
      <c r="B4442" s="2" t="s">
        <v>10460</v>
      </c>
      <c r="C4442" s="2" t="s">
        <v>111</v>
      </c>
      <c r="D4442" s="2" t="s">
        <v>112</v>
      </c>
      <c r="E4442" s="5">
        <v>-30487</v>
      </c>
      <c r="F4442" s="3" t="s">
        <v>397</v>
      </c>
      <c r="G4442" s="3" t="s">
        <v>180</v>
      </c>
      <c r="H4442" s="2" t="s">
        <v>21</v>
      </c>
      <c r="I4442" s="2" t="s">
        <v>10461</v>
      </c>
      <c r="J4442" s="3" t="str">
        <f>HYPERLINK("https://www.boe.es/gazeta/dias/1816/07/11/pdfs/GMD-1816-86.pdf#page=10","Abrir facsímil")</f>
        <v>Abrir facsímil</v>
      </c>
      <c r="K4442" s="3" t="s">
        <v>23</v>
      </c>
    </row>
    <row r="4443" spans="1:11" ht="42" customHeight="1">
      <c r="A4443" s="2" t="s">
        <v>10462</v>
      </c>
      <c r="B4443" s="2" t="s">
        <v>10463</v>
      </c>
      <c r="C4443" s="2" t="s">
        <v>67</v>
      </c>
      <c r="D4443" s="2" t="s">
        <v>18</v>
      </c>
      <c r="E4443" s="5">
        <v>-30648</v>
      </c>
      <c r="F4443" s="3" t="s">
        <v>872</v>
      </c>
      <c r="G4443" s="3" t="s">
        <v>72</v>
      </c>
      <c r="H4443" s="2" t="s">
        <v>21</v>
      </c>
      <c r="I4443" s="2" t="s">
        <v>10464</v>
      </c>
      <c r="J4443" s="3" t="str">
        <f>HYPERLINK("https://www.boe.es/gazeta/dias/1816/02/01/pdfs/GMD-1816-15.pdf#page=7","Abrir facsímil")</f>
        <v>Abrir facsímil</v>
      </c>
      <c r="K4443" s="3" t="s">
        <v>23</v>
      </c>
    </row>
    <row r="4444" spans="1:11" ht="42" customHeight="1">
      <c r="A4444" s="2" t="s">
        <v>10465</v>
      </c>
      <c r="B4444" s="2" t="s">
        <v>10466</v>
      </c>
      <c r="C4444" s="2" t="s">
        <v>26</v>
      </c>
      <c r="D4444" s="2" t="s">
        <v>18</v>
      </c>
      <c r="E4444" s="5">
        <v>-30590</v>
      </c>
      <c r="F4444" s="3" t="s">
        <v>195</v>
      </c>
      <c r="G4444" s="3" t="s">
        <v>42</v>
      </c>
      <c r="H4444" s="2" t="s">
        <v>29</v>
      </c>
      <c r="I4444" s="2" t="s">
        <v>10467</v>
      </c>
      <c r="J4444" s="3" t="str">
        <f>HYPERLINK("https://www.boe.es/gazeta/dias/1816/03/30/pdfs/GMD-1816-42.pdf#page=8","Abrir facsímil")</f>
        <v>Abrir facsímil</v>
      </c>
      <c r="K4444" s="3" t="s">
        <v>31</v>
      </c>
    </row>
    <row r="4445" spans="1:11" ht="42" customHeight="1">
      <c r="A4445" s="2" t="s">
        <v>10468</v>
      </c>
      <c r="B4445" s="2" t="s">
        <v>10469</v>
      </c>
      <c r="C4445" s="2" t="s">
        <v>34</v>
      </c>
      <c r="D4445" s="2" t="s">
        <v>35</v>
      </c>
      <c r="E4445" s="5">
        <v>-30552</v>
      </c>
      <c r="F4445" s="3" t="s">
        <v>1842</v>
      </c>
      <c r="G4445" s="3" t="s">
        <v>42</v>
      </c>
      <c r="H4445" s="2" t="s">
        <v>21</v>
      </c>
      <c r="I4445" s="2" t="s">
        <v>10470</v>
      </c>
      <c r="J4445" s="3" t="str">
        <f>HYPERLINK("https://www.boe.es/gazeta/dias/1816/05/07/pdfs/GMD-1816-58.pdf#page=8","Abrir facsímil")</f>
        <v>Abrir facsímil</v>
      </c>
      <c r="K4445" s="3" t="s">
        <v>23</v>
      </c>
    </row>
    <row r="4446" spans="1:11" ht="42" customHeight="1">
      <c r="A4446" s="2" t="s">
        <v>10471</v>
      </c>
      <c r="B4446" s="2" t="s">
        <v>10472</v>
      </c>
      <c r="C4446" s="2" t="s">
        <v>34</v>
      </c>
      <c r="D4446" s="2" t="s">
        <v>35</v>
      </c>
      <c r="E4446" s="5">
        <v>-30552</v>
      </c>
      <c r="F4446" s="3" t="s">
        <v>1842</v>
      </c>
      <c r="G4446" s="3" t="s">
        <v>42</v>
      </c>
      <c r="H4446" s="2" t="s">
        <v>21</v>
      </c>
      <c r="I4446" s="2" t="s">
        <v>10473</v>
      </c>
      <c r="J4446" s="3" t="str">
        <f>HYPERLINK("https://www.boe.es/gazeta/dias/1816/05/07/pdfs/GMD-1816-58.pdf#page=8","Abrir facsímil")</f>
        <v>Abrir facsímil</v>
      </c>
      <c r="K4446" s="3" t="s">
        <v>23</v>
      </c>
    </row>
    <row r="4447" spans="1:11" ht="42" customHeight="1">
      <c r="A4447" s="2" t="s">
        <v>10474</v>
      </c>
      <c r="B4447" s="2" t="s">
        <v>10475</v>
      </c>
      <c r="C4447" s="2" t="s">
        <v>81</v>
      </c>
      <c r="D4447" s="2" t="s">
        <v>18</v>
      </c>
      <c r="E4447" s="5">
        <v>-30676</v>
      </c>
      <c r="F4447" s="3" t="s">
        <v>1932</v>
      </c>
      <c r="G4447" s="3" t="s">
        <v>2724</v>
      </c>
      <c r="H4447" s="2" t="s">
        <v>21</v>
      </c>
      <c r="I4447" s="2" t="s">
        <v>10476</v>
      </c>
      <c r="J4447" s="3" t="str">
        <f>HYPERLINK("https://www.boe.es/gazeta/dias/1816/01/04/pdfs/GMD-1816-2.pdf#page=8","Abrir facsímil")</f>
        <v>Abrir facsímil</v>
      </c>
      <c r="K4447" s="3" t="s">
        <v>23</v>
      </c>
    </row>
    <row r="4448" spans="1:11" ht="42" customHeight="1">
      <c r="A4448" s="2" t="s">
        <v>10477</v>
      </c>
      <c r="B4448" s="2" t="s">
        <v>10478</v>
      </c>
      <c r="C4448" s="2" t="s">
        <v>81</v>
      </c>
      <c r="D4448" s="2" t="s">
        <v>18</v>
      </c>
      <c r="E4448" s="5">
        <v>-30676</v>
      </c>
      <c r="F4448" s="3" t="s">
        <v>1932</v>
      </c>
      <c r="G4448" s="3" t="s">
        <v>2724</v>
      </c>
      <c r="H4448" s="2" t="s">
        <v>21</v>
      </c>
      <c r="I4448" s="2" t="s">
        <v>10479</v>
      </c>
      <c r="J4448" s="3" t="str">
        <f>HYPERLINK("https://www.boe.es/gazeta/dias/1816/01/04/pdfs/GMD-1816-2.pdf#page=8","Abrir facsímil")</f>
        <v>Abrir facsímil</v>
      </c>
      <c r="K4448" s="3" t="s">
        <v>23</v>
      </c>
    </row>
    <row r="4449" spans="1:11" ht="42" customHeight="1">
      <c r="A4449" s="2" t="s">
        <v>10480</v>
      </c>
      <c r="B4449" s="2" t="s">
        <v>10481</v>
      </c>
      <c r="C4449" s="2" t="s">
        <v>81</v>
      </c>
      <c r="D4449" s="2" t="s">
        <v>18</v>
      </c>
      <c r="E4449" s="5">
        <v>-30676</v>
      </c>
      <c r="F4449" s="3" t="s">
        <v>1932</v>
      </c>
      <c r="G4449" s="3" t="s">
        <v>2724</v>
      </c>
      <c r="H4449" s="2" t="s">
        <v>21</v>
      </c>
      <c r="I4449" s="2" t="s">
        <v>10482</v>
      </c>
      <c r="J4449" s="3" t="str">
        <f>HYPERLINK("https://www.boe.es/gazeta/dias/1816/01/04/pdfs/GMD-1816-2.pdf#page=8","Abrir facsímil")</f>
        <v>Abrir facsímil</v>
      </c>
      <c r="K4449" s="3" t="s">
        <v>23</v>
      </c>
    </row>
    <row r="4450" spans="1:11" ht="42" customHeight="1">
      <c r="A4450" s="2" t="s">
        <v>10483</v>
      </c>
      <c r="B4450" s="2" t="s">
        <v>10483</v>
      </c>
      <c r="C4450" s="2" t="s">
        <v>34</v>
      </c>
      <c r="D4450" s="2" t="s">
        <v>35</v>
      </c>
      <c r="E4450" s="5">
        <v>-30340</v>
      </c>
      <c r="F4450" s="3" t="s">
        <v>1618</v>
      </c>
      <c r="G4450" s="3" t="s">
        <v>103</v>
      </c>
      <c r="H4450" s="2" t="s">
        <v>21</v>
      </c>
      <c r="I4450" s="2" t="s">
        <v>10484</v>
      </c>
      <c r="J4450" s="3" t="str">
        <f>HYPERLINK("https://www.boe.es/gazeta/dias/1816/12/05/pdfs/GMD-1816-151.pdf#page=4","Abrir facsímil")</f>
        <v>Abrir facsímil</v>
      </c>
      <c r="K4450" s="3" t="s">
        <v>23</v>
      </c>
    </row>
    <row r="4451" spans="1:11" ht="42" customHeight="1">
      <c r="A4451" s="2" t="s">
        <v>10485</v>
      </c>
      <c r="B4451" s="2" t="s">
        <v>10486</v>
      </c>
      <c r="C4451" s="2" t="s">
        <v>26</v>
      </c>
      <c r="D4451" s="2" t="s">
        <v>56</v>
      </c>
      <c r="E4451" s="5">
        <v>-30393</v>
      </c>
      <c r="F4451" s="3" t="s">
        <v>202</v>
      </c>
      <c r="G4451" s="3" t="s">
        <v>47</v>
      </c>
      <c r="H4451" s="2" t="s">
        <v>21</v>
      </c>
      <c r="I4451" s="2" t="s">
        <v>10487</v>
      </c>
      <c r="J4451" s="3" t="str">
        <f>HYPERLINK("https://www.boe.es/gazeta/dias/1816/10/13/pdfs/GMD-1816-128E.pdf#page=5","Abrir facsímil")</f>
        <v>Abrir facsímil</v>
      </c>
      <c r="K4451" s="3" t="s">
        <v>23</v>
      </c>
    </row>
    <row r="4452" spans="1:11" ht="42" customHeight="1">
      <c r="A4452" s="2" t="s">
        <v>10488</v>
      </c>
      <c r="B4452" s="2" t="s">
        <v>10489</v>
      </c>
      <c r="C4452" s="2" t="s">
        <v>34</v>
      </c>
      <c r="D4452" s="2" t="s">
        <v>35</v>
      </c>
      <c r="E4452" s="5">
        <v>-30599</v>
      </c>
      <c r="F4452" s="3" t="s">
        <v>552</v>
      </c>
      <c r="G4452" s="3" t="s">
        <v>42</v>
      </c>
      <c r="H4452" s="2" t="s">
        <v>21</v>
      </c>
      <c r="I4452" s="2" t="s">
        <v>10490</v>
      </c>
      <c r="J4452" s="3" t="str">
        <f>HYPERLINK("https://www.boe.es/gazeta/dias/1816/03/21/pdfs/GMD-1816-38.pdf#page=8","Abrir facsímil")</f>
        <v>Abrir facsímil</v>
      </c>
      <c r="K4452" s="3" t="s">
        <v>23</v>
      </c>
    </row>
    <row r="4453" spans="1:11" ht="42" customHeight="1">
      <c r="A4453" s="2" t="s">
        <v>10488</v>
      </c>
      <c r="B4453" s="2" t="s">
        <v>10489</v>
      </c>
      <c r="C4453" s="2" t="s">
        <v>34</v>
      </c>
      <c r="D4453" s="2" t="s">
        <v>35</v>
      </c>
      <c r="E4453" s="5">
        <v>-30543</v>
      </c>
      <c r="F4453" s="3" t="s">
        <v>94</v>
      </c>
      <c r="G4453" s="3" t="s">
        <v>3595</v>
      </c>
      <c r="H4453" s="2" t="s">
        <v>21</v>
      </c>
      <c r="I4453" s="2" t="s">
        <v>10491</v>
      </c>
      <c r="J4453" s="3" t="str">
        <f>HYPERLINK("https://www.boe.es/gazeta/dias/1816/05/16/pdfs/GMD-1816-62.pdf#page=8","Abrir facsímil")</f>
        <v>Abrir facsímil</v>
      </c>
      <c r="K4453" s="3" t="s">
        <v>23</v>
      </c>
    </row>
    <row r="4454" spans="1:11" ht="42" customHeight="1">
      <c r="A4454" s="2" t="s">
        <v>10488</v>
      </c>
      <c r="B4454" s="2" t="s">
        <v>10489</v>
      </c>
      <c r="C4454" s="2" t="s">
        <v>111</v>
      </c>
      <c r="D4454" s="2" t="s">
        <v>112</v>
      </c>
      <c r="E4454" s="5">
        <v>-30541</v>
      </c>
      <c r="F4454" s="3" t="s">
        <v>96</v>
      </c>
      <c r="G4454" s="3" t="s">
        <v>47</v>
      </c>
      <c r="H4454" s="2" t="s">
        <v>21</v>
      </c>
      <c r="I4454" s="2" t="s">
        <v>10492</v>
      </c>
      <c r="J4454" s="3" t="str">
        <f>HYPERLINK("https://www.boe.es/gazeta/dias/1816/05/18/pdfs/GMD-1816-63.pdf#page=5","Abrir facsímil")</f>
        <v>Abrir facsímil</v>
      </c>
      <c r="K4454" s="3" t="s">
        <v>23</v>
      </c>
    </row>
    <row r="4455" spans="1:11" ht="42" customHeight="1">
      <c r="A4455" s="2" t="s">
        <v>10488</v>
      </c>
      <c r="B4455" s="2" t="s">
        <v>10489</v>
      </c>
      <c r="C4455" s="2" t="s">
        <v>34</v>
      </c>
      <c r="D4455" s="2" t="s">
        <v>35</v>
      </c>
      <c r="E4455" s="5">
        <v>-30450</v>
      </c>
      <c r="F4455" s="3" t="s">
        <v>349</v>
      </c>
      <c r="G4455" s="3" t="s">
        <v>42</v>
      </c>
      <c r="H4455" s="2" t="s">
        <v>21</v>
      </c>
      <c r="I4455" s="2" t="s">
        <v>10493</v>
      </c>
      <c r="J4455" s="3" t="str">
        <f>HYPERLINK("https://www.boe.es/gazeta/dias/1816/08/17/pdfs/GMD-1816-102.pdf#page=8","Abrir facsímil")</f>
        <v>Abrir facsímil</v>
      </c>
      <c r="K4455" s="3" t="s">
        <v>23</v>
      </c>
    </row>
    <row r="4456" spans="1:11" ht="42" customHeight="1">
      <c r="A4456" s="2" t="s">
        <v>10488</v>
      </c>
      <c r="B4456" s="2" t="s">
        <v>10489</v>
      </c>
      <c r="C4456" s="2" t="s">
        <v>111</v>
      </c>
      <c r="D4456" s="2" t="s">
        <v>112</v>
      </c>
      <c r="E4456" s="5">
        <v>-30422</v>
      </c>
      <c r="F4456" s="3" t="s">
        <v>803</v>
      </c>
      <c r="G4456" s="3" t="s">
        <v>1405</v>
      </c>
      <c r="H4456" s="2" t="s">
        <v>21</v>
      </c>
      <c r="I4456" s="2" t="s">
        <v>10494</v>
      </c>
      <c r="J4456" s="3" t="str">
        <f>HYPERLINK("https://www.boe.es/gazeta/dias/1816/09/14/pdfs/GMD-1816-114.pdf#page=8","Abrir facsímil")</f>
        <v>Abrir facsímil</v>
      </c>
      <c r="K4456" s="3" t="s">
        <v>23</v>
      </c>
    </row>
    <row r="4457" spans="1:11" ht="42" customHeight="1">
      <c r="A4457" s="2" t="s">
        <v>10495</v>
      </c>
      <c r="B4457" s="2" t="s">
        <v>10496</v>
      </c>
      <c r="C4457" s="2" t="s">
        <v>26</v>
      </c>
      <c r="D4457" s="2" t="s">
        <v>18</v>
      </c>
      <c r="E4457" s="5">
        <v>-30438</v>
      </c>
      <c r="F4457" s="3" t="s">
        <v>299</v>
      </c>
      <c r="G4457" s="3" t="s">
        <v>300</v>
      </c>
      <c r="H4457" s="2" t="s">
        <v>21</v>
      </c>
      <c r="I4457" s="2" t="s">
        <v>10497</v>
      </c>
      <c r="J4457" s="3" t="str">
        <f>HYPERLINK("https://www.boe.es/gazeta/dias/1816/08/29/pdfs/GMD-1816-107.pdf#page=12","Abrir facsímil")</f>
        <v>Abrir facsímil</v>
      </c>
      <c r="K4457" s="3" t="s">
        <v>23</v>
      </c>
    </row>
    <row r="4458" spans="1:11" ht="42" customHeight="1">
      <c r="A4458" s="2" t="s">
        <v>10498</v>
      </c>
      <c r="B4458" s="2" t="s">
        <v>10499</v>
      </c>
      <c r="C4458" s="2" t="s">
        <v>111</v>
      </c>
      <c r="D4458" s="2" t="s">
        <v>112</v>
      </c>
      <c r="E4458" s="5">
        <v>-30375</v>
      </c>
      <c r="F4458" s="3" t="s">
        <v>404</v>
      </c>
      <c r="G4458" s="3" t="s">
        <v>1276</v>
      </c>
      <c r="H4458" s="2" t="s">
        <v>21</v>
      </c>
      <c r="I4458" s="2" t="s">
        <v>10500</v>
      </c>
      <c r="J4458" s="3" t="str">
        <f>HYPERLINK("https://www.boe.es/gazeta/dias/1816/10/31/pdfs/GMD-1816-136.pdf#page=5","Abrir facsímil")</f>
        <v>Abrir facsímil</v>
      </c>
      <c r="K4458" s="3" t="s">
        <v>23</v>
      </c>
    </row>
    <row r="4459" spans="1:11" ht="42" customHeight="1">
      <c r="A4459" s="2" t="s">
        <v>10501</v>
      </c>
      <c r="B4459" s="2" t="s">
        <v>10502</v>
      </c>
      <c r="C4459" s="2" t="s">
        <v>34</v>
      </c>
      <c r="D4459" s="2" t="s">
        <v>35</v>
      </c>
      <c r="E4459" s="5">
        <v>-30564</v>
      </c>
      <c r="F4459" s="3" t="s">
        <v>963</v>
      </c>
      <c r="G4459" s="3" t="s">
        <v>47</v>
      </c>
      <c r="H4459" s="2" t="s">
        <v>21</v>
      </c>
      <c r="I4459" s="2" t="s">
        <v>10503</v>
      </c>
      <c r="J4459" s="3" t="str">
        <f>HYPERLINK("https://www.boe.es/gazeta/dias/1816/04/25/pdfs/GMD-1816-53.pdf#page=5","Abrir facsímil")</f>
        <v>Abrir facsímil</v>
      </c>
      <c r="K4459" s="3" t="s">
        <v>23</v>
      </c>
    </row>
    <row r="4460" spans="1:11" ht="42" customHeight="1">
      <c r="A4460" s="2" t="s">
        <v>10504</v>
      </c>
      <c r="B4460" s="2" t="s">
        <v>10505</v>
      </c>
      <c r="C4460" s="2" t="s">
        <v>111</v>
      </c>
      <c r="D4460" s="2" t="s">
        <v>112</v>
      </c>
      <c r="E4460" s="5">
        <v>-30604</v>
      </c>
      <c r="F4460" s="3" t="s">
        <v>488</v>
      </c>
      <c r="G4460" s="3" t="s">
        <v>42</v>
      </c>
      <c r="H4460" s="2" t="s">
        <v>21</v>
      </c>
      <c r="I4460" s="2" t="s">
        <v>10506</v>
      </c>
      <c r="J4460" s="3" t="str">
        <f>HYPERLINK("https://www.boe.es/gazeta/dias/1816/03/16/pdfs/GMD-1816-35.pdf#page=8","Abrir facsímil")</f>
        <v>Abrir facsímil</v>
      </c>
      <c r="K4460" s="3" t="s">
        <v>23</v>
      </c>
    </row>
    <row r="4461" spans="1:11" ht="42" customHeight="1">
      <c r="A4461" s="2" t="s">
        <v>10507</v>
      </c>
      <c r="B4461" s="2" t="s">
        <v>10508</v>
      </c>
      <c r="C4461" s="2" t="s">
        <v>26</v>
      </c>
      <c r="D4461" s="2" t="s">
        <v>18</v>
      </c>
      <c r="E4461" s="5">
        <v>-30410</v>
      </c>
      <c r="F4461" s="3" t="s">
        <v>1259</v>
      </c>
      <c r="G4461" s="3" t="s">
        <v>1318</v>
      </c>
      <c r="H4461" s="2" t="s">
        <v>21</v>
      </c>
      <c r="I4461" s="2" t="s">
        <v>10509</v>
      </c>
      <c r="J4461" s="3" t="str">
        <f>HYPERLINK("https://www.boe.es/gazeta/dias/1816/09/26/pdfs/GMD-1816-119.pdf#page=4","Abrir facsímil")</f>
        <v>Abrir facsímil</v>
      </c>
      <c r="K4461" s="3" t="s">
        <v>23</v>
      </c>
    </row>
    <row r="4462" spans="1:11" ht="42" customHeight="1">
      <c r="A4462" s="2" t="s">
        <v>10510</v>
      </c>
      <c r="B4462" s="2" t="s">
        <v>10511</v>
      </c>
      <c r="C4462" s="2" t="s">
        <v>34</v>
      </c>
      <c r="D4462" s="2" t="s">
        <v>35</v>
      </c>
      <c r="E4462" s="5">
        <v>-30468</v>
      </c>
      <c r="F4462" s="3" t="s">
        <v>383</v>
      </c>
      <c r="G4462" s="3" t="s">
        <v>28</v>
      </c>
      <c r="H4462" s="2" t="s">
        <v>21</v>
      </c>
      <c r="I4462" s="2" t="s">
        <v>10512</v>
      </c>
      <c r="J4462" s="3" t="str">
        <f>HYPERLINK("https://www.boe.es/gazeta/dias/1816/07/30/pdfs/GMD-1816-94.pdf#page=6","Abrir facsímil")</f>
        <v>Abrir facsímil</v>
      </c>
      <c r="K4462" s="3" t="s">
        <v>23</v>
      </c>
    </row>
    <row r="4463" spans="1:11" ht="42" customHeight="1">
      <c r="A4463" s="2" t="s">
        <v>10513</v>
      </c>
      <c r="B4463" s="2" t="s">
        <v>10514</v>
      </c>
      <c r="C4463" s="2" t="s">
        <v>111</v>
      </c>
      <c r="D4463" s="2" t="s">
        <v>112</v>
      </c>
      <c r="E4463" s="5">
        <v>-30611</v>
      </c>
      <c r="F4463" s="3" t="s">
        <v>211</v>
      </c>
      <c r="G4463" s="3" t="s">
        <v>47</v>
      </c>
      <c r="H4463" s="2" t="s">
        <v>21</v>
      </c>
      <c r="I4463" s="2" t="s">
        <v>10515</v>
      </c>
      <c r="J4463" s="3" t="str">
        <f>HYPERLINK("https://www.boe.es/gazeta/dias/1816/03/09/pdfs/GMD-1816-32.pdf#page=5","Abrir facsímil")</f>
        <v>Abrir facsímil</v>
      </c>
      <c r="K4463" s="3" t="s">
        <v>23</v>
      </c>
    </row>
    <row r="4464" spans="1:11" ht="42" customHeight="1">
      <c r="A4464" s="2" t="s">
        <v>10516</v>
      </c>
      <c r="B4464" s="2" t="s">
        <v>10517</v>
      </c>
      <c r="C4464" s="2" t="s">
        <v>34</v>
      </c>
      <c r="D4464" s="2" t="s">
        <v>35</v>
      </c>
      <c r="E4464" s="5">
        <v>-30328</v>
      </c>
      <c r="F4464" s="3" t="s">
        <v>573</v>
      </c>
      <c r="G4464" s="3" t="s">
        <v>28</v>
      </c>
      <c r="H4464" s="2" t="s">
        <v>21</v>
      </c>
      <c r="I4464" s="2" t="s">
        <v>10518</v>
      </c>
      <c r="J4464" s="3" t="str">
        <f>HYPERLINK("https://www.boe.es/gazeta/dias/1816/12/17/pdfs/GMD-1816-156.pdf#page=6","Abrir facsímil")</f>
        <v>Abrir facsímil</v>
      </c>
      <c r="K4464" s="3" t="s">
        <v>23</v>
      </c>
    </row>
    <row r="4465" spans="1:11" ht="42" customHeight="1">
      <c r="A4465" s="2" t="s">
        <v>10519</v>
      </c>
      <c r="B4465" s="2" t="s">
        <v>10520</v>
      </c>
      <c r="C4465" s="2" t="s">
        <v>111</v>
      </c>
      <c r="D4465" s="2" t="s">
        <v>112</v>
      </c>
      <c r="E4465" s="5">
        <v>-30564</v>
      </c>
      <c r="F4465" s="3" t="s">
        <v>963</v>
      </c>
      <c r="G4465" s="3" t="s">
        <v>5064</v>
      </c>
      <c r="H4465" s="2" t="s">
        <v>21</v>
      </c>
      <c r="I4465" s="2" t="s">
        <v>10521</v>
      </c>
      <c r="J4465" s="3" t="str">
        <f>HYPERLINK("https://www.boe.es/gazeta/dias/1816/04/25/pdfs/GMD-1816-53.pdf#page=8","Abrir facsímil")</f>
        <v>Abrir facsímil</v>
      </c>
      <c r="K4465" s="3" t="s">
        <v>23</v>
      </c>
    </row>
    <row r="4466" spans="1:11" ht="42" customHeight="1">
      <c r="A4466" s="2" t="s">
        <v>10519</v>
      </c>
      <c r="B4466" s="2" t="s">
        <v>10520</v>
      </c>
      <c r="C4466" s="2" t="s">
        <v>111</v>
      </c>
      <c r="D4466" s="2" t="s">
        <v>112</v>
      </c>
      <c r="E4466" s="5">
        <v>-30517</v>
      </c>
      <c r="F4466" s="3" t="s">
        <v>557</v>
      </c>
      <c r="G4466" s="3" t="s">
        <v>42</v>
      </c>
      <c r="H4466" s="2" t="s">
        <v>21</v>
      </c>
      <c r="I4466" s="2" t="s">
        <v>10522</v>
      </c>
      <c r="J4466" s="3" t="str">
        <f>HYPERLINK("https://www.boe.es/gazeta/dias/1816/06/11/pdfs/GMD-1816-73.pdf#page=8","Abrir facsímil")</f>
        <v>Abrir facsímil</v>
      </c>
      <c r="K4466" s="3" t="s">
        <v>23</v>
      </c>
    </row>
    <row r="4467" spans="1:11" ht="42" customHeight="1">
      <c r="A4467" s="2" t="s">
        <v>10523</v>
      </c>
      <c r="B4467" s="2" t="s">
        <v>10524</v>
      </c>
      <c r="C4467" s="2" t="s">
        <v>41</v>
      </c>
      <c r="D4467" s="2" t="s">
        <v>18</v>
      </c>
      <c r="E4467" s="5">
        <v>-30328</v>
      </c>
      <c r="F4467" s="3" t="s">
        <v>573</v>
      </c>
      <c r="G4467" s="3" t="s">
        <v>42</v>
      </c>
      <c r="H4467" s="2" t="s">
        <v>21</v>
      </c>
      <c r="I4467" s="2" t="s">
        <v>10525</v>
      </c>
      <c r="J4467" s="3" t="str">
        <f>HYPERLINK("https://www.boe.es/gazeta/dias/1816/12/17/pdfs/GMD-1816-156.pdf#page=8","Abrir facsímil")</f>
        <v>Abrir facsímil</v>
      </c>
      <c r="K4467" s="3" t="s">
        <v>23</v>
      </c>
    </row>
    <row r="4468" spans="1:11" ht="42" customHeight="1">
      <c r="A4468" s="2" t="s">
        <v>10526</v>
      </c>
      <c r="B4468" s="2" t="s">
        <v>10527</v>
      </c>
      <c r="C4468" s="2" t="s">
        <v>34</v>
      </c>
      <c r="D4468" s="2" t="s">
        <v>35</v>
      </c>
      <c r="E4468" s="5">
        <v>-30382</v>
      </c>
      <c r="F4468" s="3" t="s">
        <v>326</v>
      </c>
      <c r="G4468" s="3" t="s">
        <v>28</v>
      </c>
      <c r="H4468" s="2" t="s">
        <v>21</v>
      </c>
      <c r="I4468" s="2" t="s">
        <v>10528</v>
      </c>
      <c r="J4468" s="3" t="str">
        <f>HYPERLINK("https://www.boe.es/gazeta/dias/1816/10/24/pdfs/GMD-1816-133.pdf#page=6","Abrir facsímil")</f>
        <v>Abrir facsímil</v>
      </c>
      <c r="K4468" s="3" t="s">
        <v>23</v>
      </c>
    </row>
    <row r="4469" spans="1:11" ht="42" customHeight="1">
      <c r="A4469" s="2" t="s">
        <v>10529</v>
      </c>
      <c r="B4469" s="2" t="s">
        <v>10530</v>
      </c>
      <c r="C4469" s="2" t="s">
        <v>34</v>
      </c>
      <c r="D4469" s="2" t="s">
        <v>35</v>
      </c>
      <c r="E4469" s="5">
        <v>-30338</v>
      </c>
      <c r="F4469" s="3" t="s">
        <v>464</v>
      </c>
      <c r="G4469" s="3" t="s">
        <v>28</v>
      </c>
      <c r="H4469" s="2" t="s">
        <v>21</v>
      </c>
      <c r="I4469" s="2" t="s">
        <v>10531</v>
      </c>
      <c r="J4469" s="3" t="str">
        <f>HYPERLINK("https://www.boe.es/gazeta/dias/1816/12/07/pdfs/GMD-1816-152.pdf#page=6","Abrir facsímil")</f>
        <v>Abrir facsímil</v>
      </c>
      <c r="K4469" s="3" t="s">
        <v>23</v>
      </c>
    </row>
    <row r="4470" spans="1:11" ht="42" customHeight="1">
      <c r="A4470" s="2" t="s">
        <v>10532</v>
      </c>
      <c r="B4470" s="2" t="s">
        <v>10533</v>
      </c>
      <c r="C4470" s="2" t="s">
        <v>26</v>
      </c>
      <c r="D4470" s="2" t="s">
        <v>18</v>
      </c>
      <c r="E4470" s="5">
        <v>-30424</v>
      </c>
      <c r="F4470" s="3" t="s">
        <v>142</v>
      </c>
      <c r="G4470" s="3" t="s">
        <v>143</v>
      </c>
      <c r="H4470" s="2" t="s">
        <v>21</v>
      </c>
      <c r="I4470" s="2" t="s">
        <v>10534</v>
      </c>
      <c r="J4470" s="3" t="str">
        <f>HYPERLINK("https://www.boe.es/gazeta/dias/1816/09/12/pdfs/GMD-1816-113.pdf#page=4","Abrir facsímil")</f>
        <v>Abrir facsímil</v>
      </c>
      <c r="K4470" s="3" t="s">
        <v>23</v>
      </c>
    </row>
    <row r="4471" spans="1:11" ht="42" customHeight="1">
      <c r="A4471" s="2" t="s">
        <v>10535</v>
      </c>
      <c r="B4471" s="2" t="s">
        <v>10536</v>
      </c>
      <c r="C4471" s="2" t="s">
        <v>26</v>
      </c>
      <c r="D4471" s="2" t="s">
        <v>18</v>
      </c>
      <c r="E4471" s="5">
        <v>-30592</v>
      </c>
      <c r="F4471" s="3" t="s">
        <v>236</v>
      </c>
      <c r="G4471" s="3" t="s">
        <v>42</v>
      </c>
      <c r="H4471" s="2" t="s">
        <v>21</v>
      </c>
      <c r="I4471" s="2" t="s">
        <v>10537</v>
      </c>
      <c r="J4471" s="3" t="str">
        <f>HYPERLINK("https://www.boe.es/gazeta/dias/1816/03/28/pdfs/GMD-1816-41.pdf#page=8","Abrir facsímil")</f>
        <v>Abrir facsímil</v>
      </c>
      <c r="K4471" s="3" t="s">
        <v>23</v>
      </c>
    </row>
    <row r="4472" spans="1:11" ht="42" customHeight="1">
      <c r="A4472" s="2" t="s">
        <v>10535</v>
      </c>
      <c r="B4472" s="2" t="s">
        <v>10536</v>
      </c>
      <c r="C4472" s="2" t="s">
        <v>26</v>
      </c>
      <c r="D4472" s="2" t="s">
        <v>18</v>
      </c>
      <c r="E4472" s="5">
        <v>-30580</v>
      </c>
      <c r="F4472" s="3" t="s">
        <v>107</v>
      </c>
      <c r="G4472" s="3" t="s">
        <v>72</v>
      </c>
      <c r="H4472" s="2" t="s">
        <v>21</v>
      </c>
      <c r="I4472" s="2" t="s">
        <v>10538</v>
      </c>
      <c r="J4472" s="3" t="str">
        <f>HYPERLINK("https://www.boe.es/gazeta/dias/1816/04/09/pdfs/GMD-1816-46.pdf#page=7","Abrir facsímil")</f>
        <v>Abrir facsímil</v>
      </c>
      <c r="K4472" s="3" t="s">
        <v>23</v>
      </c>
    </row>
    <row r="4473" spans="1:11" ht="42" customHeight="1">
      <c r="A4473" s="2" t="s">
        <v>10539</v>
      </c>
      <c r="B4473" s="2" t="s">
        <v>10540</v>
      </c>
      <c r="C4473" s="2" t="s">
        <v>34</v>
      </c>
      <c r="D4473" s="2" t="s">
        <v>35</v>
      </c>
      <c r="E4473" s="5">
        <v>-30492</v>
      </c>
      <c r="F4473" s="3" t="s">
        <v>248</v>
      </c>
      <c r="G4473" s="3" t="s">
        <v>443</v>
      </c>
      <c r="H4473" s="2" t="s">
        <v>21</v>
      </c>
      <c r="I4473" s="2" t="s">
        <v>10541</v>
      </c>
      <c r="J4473" s="3" t="str">
        <f>HYPERLINK("https://www.boe.es/gazeta/dias/1816/07/06/pdfs/GMD-1816-84.pdf#page=12","Abrir facsímil")</f>
        <v>Abrir facsímil</v>
      </c>
      <c r="K4473" s="3" t="s">
        <v>23</v>
      </c>
    </row>
    <row r="4474" spans="1:11" ht="42" customHeight="1">
      <c r="A4474" s="2" t="s">
        <v>10542</v>
      </c>
      <c r="B4474" s="2" t="s">
        <v>10543</v>
      </c>
      <c r="C4474" s="2" t="s">
        <v>34</v>
      </c>
      <c r="D4474" s="2" t="s">
        <v>56</v>
      </c>
      <c r="E4474" s="5">
        <v>-30393</v>
      </c>
      <c r="F4474" s="3" t="s">
        <v>202</v>
      </c>
      <c r="G4474" s="3" t="s">
        <v>203</v>
      </c>
      <c r="H4474" s="2" t="s">
        <v>21</v>
      </c>
      <c r="I4474" s="2" t="s">
        <v>10544</v>
      </c>
      <c r="J4474" s="3" t="str">
        <f>HYPERLINK("https://www.boe.es/gazeta/dias/1816/10/13/pdfs/GMD-1816-128E.pdf#page=7","Abrir facsímil")</f>
        <v>Abrir facsímil</v>
      </c>
      <c r="K4474" s="3" t="s">
        <v>23</v>
      </c>
    </row>
    <row r="4475" spans="1:11" ht="42" customHeight="1">
      <c r="A4475" s="2" t="s">
        <v>10545</v>
      </c>
      <c r="B4475" s="2" t="s">
        <v>10546</v>
      </c>
      <c r="C4475" s="2" t="s">
        <v>26</v>
      </c>
      <c r="D4475" s="2" t="s">
        <v>18</v>
      </c>
      <c r="E4475" s="5">
        <v>-30410</v>
      </c>
      <c r="F4475" s="3" t="s">
        <v>1259</v>
      </c>
      <c r="G4475" s="3" t="s">
        <v>28</v>
      </c>
      <c r="H4475" s="2" t="s">
        <v>21</v>
      </c>
      <c r="I4475" s="2" t="s">
        <v>10547</v>
      </c>
      <c r="J4475" s="3" t="str">
        <f>HYPERLINK("https://www.boe.es/gazeta/dias/1816/09/26/pdfs/GMD-1816-119.pdf#page=6","Abrir facsímil")</f>
        <v>Abrir facsímil</v>
      </c>
      <c r="K4475" s="3" t="s">
        <v>23</v>
      </c>
    </row>
    <row r="4476" spans="1:11" ht="42" customHeight="1">
      <c r="A4476" s="2" t="s">
        <v>10548</v>
      </c>
      <c r="B4476" s="2" t="s">
        <v>10549</v>
      </c>
      <c r="C4476" s="2" t="s">
        <v>26</v>
      </c>
      <c r="D4476" s="2" t="s">
        <v>18</v>
      </c>
      <c r="E4476" s="5">
        <v>-30492</v>
      </c>
      <c r="F4476" s="3" t="s">
        <v>248</v>
      </c>
      <c r="G4476" s="3" t="s">
        <v>103</v>
      </c>
      <c r="H4476" s="2" t="s">
        <v>21</v>
      </c>
      <c r="I4476" s="2" t="s">
        <v>10550</v>
      </c>
      <c r="J4476" s="3" t="str">
        <f>HYPERLINK("https://www.boe.es/gazeta/dias/1816/07/06/pdfs/GMD-1816-84.pdf#page=4","Abrir facsímil")</f>
        <v>Abrir facsímil</v>
      </c>
      <c r="K4476" s="3" t="s">
        <v>23</v>
      </c>
    </row>
    <row r="4477" spans="1:11" ht="42" customHeight="1">
      <c r="A4477" s="2" t="s">
        <v>10551</v>
      </c>
      <c r="B4477" s="2" t="s">
        <v>10552</v>
      </c>
      <c r="C4477" s="2" t="s">
        <v>34</v>
      </c>
      <c r="D4477" s="2" t="s">
        <v>35</v>
      </c>
      <c r="E4477" s="5">
        <v>-30335</v>
      </c>
      <c r="F4477" s="3" t="s">
        <v>468</v>
      </c>
      <c r="G4477" s="3" t="s">
        <v>72</v>
      </c>
      <c r="H4477" s="2" t="s">
        <v>29</v>
      </c>
      <c r="I4477" s="2" t="s">
        <v>10553</v>
      </c>
      <c r="J4477" s="3" t="str">
        <f>HYPERLINK("https://www.boe.es/gazeta/dias/1816/12/10/pdfs/GMD-1816-153.pdf#page=7","Abrir facsímil")</f>
        <v>Abrir facsímil</v>
      </c>
      <c r="K4477" s="3" t="s">
        <v>31</v>
      </c>
    </row>
    <row r="4478" spans="1:11" ht="42" customHeight="1">
      <c r="A4478" s="2" t="s">
        <v>10554</v>
      </c>
      <c r="B4478" s="2" t="s">
        <v>10554</v>
      </c>
      <c r="C4478" s="2" t="s">
        <v>34</v>
      </c>
      <c r="D4478" s="2" t="s">
        <v>35</v>
      </c>
      <c r="E4478" s="5">
        <v>-30571</v>
      </c>
      <c r="F4478" s="3" t="s">
        <v>738</v>
      </c>
      <c r="G4478" s="3" t="s">
        <v>184</v>
      </c>
      <c r="H4478" s="2" t="s">
        <v>21</v>
      </c>
      <c r="I4478" s="2" t="s">
        <v>10555</v>
      </c>
      <c r="J4478" s="3" t="str">
        <f>HYPERLINK("https://www.boe.es/gazeta/dias/1816/04/18/pdfs/GMD-1816-50.pdf#page=3","Abrir facsímil")</f>
        <v>Abrir facsímil</v>
      </c>
      <c r="K4478" s="3" t="s">
        <v>23</v>
      </c>
    </row>
    <row r="4479" spans="1:11" ht="42" customHeight="1">
      <c r="A4479" s="2" t="s">
        <v>10556</v>
      </c>
      <c r="B4479" s="2" t="s">
        <v>10556</v>
      </c>
      <c r="C4479" s="2" t="s">
        <v>111</v>
      </c>
      <c r="D4479" s="2" t="s">
        <v>112</v>
      </c>
      <c r="E4479" s="5">
        <v>-30613</v>
      </c>
      <c r="F4479" s="3" t="s">
        <v>392</v>
      </c>
      <c r="G4479" s="3" t="s">
        <v>58</v>
      </c>
      <c r="H4479" s="2" t="s">
        <v>21</v>
      </c>
      <c r="I4479" s="2" t="s">
        <v>10557</v>
      </c>
      <c r="J4479" s="3" t="str">
        <f>HYPERLINK("https://www.boe.es/gazeta/dias/1816/03/07/pdfs/GMD-1816-31.pdf#page=1","Abrir facsímil")</f>
        <v>Abrir facsímil</v>
      </c>
      <c r="K4479" s="3" t="s">
        <v>23</v>
      </c>
    </row>
    <row r="4480" spans="1:11" ht="42" customHeight="1">
      <c r="A4480" s="2" t="s">
        <v>10558</v>
      </c>
      <c r="B4480" s="2" t="s">
        <v>10558</v>
      </c>
      <c r="C4480" s="2" t="s">
        <v>26</v>
      </c>
      <c r="D4480" s="2" t="s">
        <v>18</v>
      </c>
      <c r="E4480" s="5">
        <v>-30562</v>
      </c>
      <c r="F4480" s="3" t="s">
        <v>1664</v>
      </c>
      <c r="G4480" s="3" t="s">
        <v>58</v>
      </c>
      <c r="H4480" s="2" t="s">
        <v>21</v>
      </c>
      <c r="I4480" s="2" t="s">
        <v>10559</v>
      </c>
      <c r="J4480" s="3" t="str">
        <f>HYPERLINK("https://www.boe.es/gazeta/dias/1816/04/27/pdfs/GMD-1816-54.pdf#page=1","Abrir facsímil")</f>
        <v>Abrir facsímil</v>
      </c>
      <c r="K4480" s="3" t="s">
        <v>23</v>
      </c>
    </row>
    <row r="4481" spans="1:11" ht="42" customHeight="1">
      <c r="A4481" s="2" t="s">
        <v>10558</v>
      </c>
      <c r="B4481" s="2" t="s">
        <v>10558</v>
      </c>
      <c r="C4481" s="2" t="s">
        <v>34</v>
      </c>
      <c r="D4481" s="2" t="s">
        <v>35</v>
      </c>
      <c r="E4481" s="5">
        <v>-30541</v>
      </c>
      <c r="F4481" s="3" t="s">
        <v>96</v>
      </c>
      <c r="G4481" s="3" t="s">
        <v>270</v>
      </c>
      <c r="H4481" s="2" t="s">
        <v>21</v>
      </c>
      <c r="I4481" s="2" t="s">
        <v>10560</v>
      </c>
      <c r="J4481" s="3" t="str">
        <f>HYPERLINK("https://www.boe.es/gazeta/dias/1816/05/18/pdfs/GMD-1816-63.pdf#page=2","Abrir facsímil")</f>
        <v>Abrir facsímil</v>
      </c>
      <c r="K4481" s="3" t="s">
        <v>23</v>
      </c>
    </row>
    <row r="4482" spans="1:11" ht="42" customHeight="1">
      <c r="A4482" s="2" t="s">
        <v>10561</v>
      </c>
      <c r="B4482" s="2" t="s">
        <v>10562</v>
      </c>
      <c r="C4482" s="2" t="s">
        <v>26</v>
      </c>
      <c r="D4482" s="2" t="s">
        <v>18</v>
      </c>
      <c r="E4482" s="5">
        <v>-30387</v>
      </c>
      <c r="F4482" s="3" t="s">
        <v>224</v>
      </c>
      <c r="G4482" s="3" t="s">
        <v>28</v>
      </c>
      <c r="H4482" s="2" t="s">
        <v>21</v>
      </c>
      <c r="I4482" s="2" t="s">
        <v>10563</v>
      </c>
      <c r="J4482" s="3" t="str">
        <f>HYPERLINK("https://www.boe.es/gazeta/dias/1816/10/19/pdfs/GMD-1816-131.pdf#page=6","Abrir facsímil")</f>
        <v>Abrir facsímil</v>
      </c>
      <c r="K4482" s="3" t="s">
        <v>23</v>
      </c>
    </row>
    <row r="4483" spans="1:11" ht="42" customHeight="1">
      <c r="A4483" s="2" t="s">
        <v>10564</v>
      </c>
      <c r="B4483" s="2" t="s">
        <v>10565</v>
      </c>
      <c r="C4483" s="2" t="s">
        <v>26</v>
      </c>
      <c r="D4483" s="2" t="s">
        <v>18</v>
      </c>
      <c r="E4483" s="5">
        <v>-30585</v>
      </c>
      <c r="F4483" s="3" t="s">
        <v>633</v>
      </c>
      <c r="G4483" s="3" t="s">
        <v>634</v>
      </c>
      <c r="H4483" s="2" t="s">
        <v>21</v>
      </c>
      <c r="I4483" s="2" t="s">
        <v>10566</v>
      </c>
      <c r="J4483" s="3" t="str">
        <f>HYPERLINK("https://www.boe.es/gazeta/dias/1816/04/04/pdfs/GMD-1816-44.pdf#page=6","Abrir facsímil")</f>
        <v>Abrir facsímil</v>
      </c>
      <c r="K4483" s="3" t="s">
        <v>23</v>
      </c>
    </row>
    <row r="4484" spans="1:11" ht="42" customHeight="1">
      <c r="A4484" s="2" t="s">
        <v>10567</v>
      </c>
      <c r="B4484" s="2" t="s">
        <v>10568</v>
      </c>
      <c r="C4484" s="2" t="s">
        <v>111</v>
      </c>
      <c r="D4484" s="2" t="s">
        <v>112</v>
      </c>
      <c r="E4484" s="5">
        <v>-30625</v>
      </c>
      <c r="F4484" s="3" t="s">
        <v>631</v>
      </c>
      <c r="G4484" s="3" t="s">
        <v>47</v>
      </c>
      <c r="H4484" s="2" t="s">
        <v>21</v>
      </c>
      <c r="I4484" s="2" t="s">
        <v>10569</v>
      </c>
      <c r="J4484" s="3" t="str">
        <f>HYPERLINK("https://www.boe.es/gazeta/dias/1816/02/24/pdfs/GMD-1816-25.pdf#page=5","Abrir facsímil")</f>
        <v>Abrir facsímil</v>
      </c>
      <c r="K4484" s="3" t="s">
        <v>23</v>
      </c>
    </row>
    <row r="4485" spans="1:11" ht="42" customHeight="1">
      <c r="A4485" s="2" t="s">
        <v>10567</v>
      </c>
      <c r="B4485" s="2" t="s">
        <v>10568</v>
      </c>
      <c r="C4485" s="2" t="s">
        <v>34</v>
      </c>
      <c r="D4485" s="2" t="s">
        <v>56</v>
      </c>
      <c r="E4485" s="5">
        <v>-30622</v>
      </c>
      <c r="F4485" s="3" t="s">
        <v>907</v>
      </c>
      <c r="G4485" s="3" t="s">
        <v>58</v>
      </c>
      <c r="H4485" s="2" t="s">
        <v>21</v>
      </c>
      <c r="I4485" s="2" t="s">
        <v>10570</v>
      </c>
      <c r="J4485" s="3" t="str">
        <f>HYPERLINK("https://www.boe.es/gazeta/dias/1816/02/27/pdfs/GMD-1816-27E.pdf#page=1","Abrir facsímil")</f>
        <v>Abrir facsímil</v>
      </c>
      <c r="K4485" s="3" t="s">
        <v>23</v>
      </c>
    </row>
    <row r="4486" spans="1:11" ht="42" customHeight="1">
      <c r="A4486" s="2" t="s">
        <v>10567</v>
      </c>
      <c r="B4486" s="2" t="s">
        <v>10568</v>
      </c>
      <c r="C4486" s="2" t="s">
        <v>26</v>
      </c>
      <c r="D4486" s="2" t="s">
        <v>18</v>
      </c>
      <c r="E4486" s="5">
        <v>-30333</v>
      </c>
      <c r="F4486" s="3" t="s">
        <v>1005</v>
      </c>
      <c r="G4486" s="3" t="s">
        <v>1006</v>
      </c>
      <c r="H4486" s="2" t="s">
        <v>21</v>
      </c>
      <c r="I4486" s="2" t="s">
        <v>10571</v>
      </c>
      <c r="J4486" s="3" t="str">
        <f>HYPERLINK("https://www.boe.es/gazeta/dias/1816/12/12/pdfs/GMD-1816-154.pdf#page=5","Abrir facsímil")</f>
        <v>Abrir facsímil</v>
      </c>
      <c r="K4486" s="3" t="s">
        <v>23</v>
      </c>
    </row>
    <row r="4487" spans="1:11" ht="42" customHeight="1">
      <c r="A4487" s="2" t="s">
        <v>10572</v>
      </c>
      <c r="B4487" s="2" t="s">
        <v>10572</v>
      </c>
      <c r="C4487" s="2" t="s">
        <v>34</v>
      </c>
      <c r="D4487" s="2" t="s">
        <v>35</v>
      </c>
      <c r="E4487" s="5">
        <v>-30468</v>
      </c>
      <c r="F4487" s="3" t="s">
        <v>383</v>
      </c>
      <c r="G4487" s="3" t="s">
        <v>184</v>
      </c>
      <c r="H4487" s="2" t="s">
        <v>21</v>
      </c>
      <c r="I4487" s="2" t="s">
        <v>10573</v>
      </c>
      <c r="J4487" s="3" t="str">
        <f>HYPERLINK("https://www.boe.es/gazeta/dias/1816/07/30/pdfs/GMD-1816-94.pdf#page=3","Abrir facsímil")</f>
        <v>Abrir facsímil</v>
      </c>
      <c r="K4487" s="3" t="s">
        <v>23</v>
      </c>
    </row>
    <row r="4488" spans="1:11" ht="42" customHeight="1">
      <c r="A4488" s="2" t="s">
        <v>10574</v>
      </c>
      <c r="B4488" s="2" t="s">
        <v>10574</v>
      </c>
      <c r="C4488" s="2" t="s">
        <v>81</v>
      </c>
      <c r="D4488" s="2" t="s">
        <v>18</v>
      </c>
      <c r="E4488" s="5">
        <v>-30557</v>
      </c>
      <c r="F4488" s="3" t="s">
        <v>508</v>
      </c>
      <c r="G4488" s="3" t="s">
        <v>10575</v>
      </c>
      <c r="H4488" s="2" t="s">
        <v>21</v>
      </c>
      <c r="I4488" s="2" t="s">
        <v>10576</v>
      </c>
      <c r="J4488" s="3" t="str">
        <f>HYPERLINK("https://www.boe.es/gazeta/dias/1816/05/02/pdfs/GMD-1816-56.pdf#page=2","Abrir facsímil")</f>
        <v>Abrir facsímil</v>
      </c>
      <c r="K4488" s="3" t="s">
        <v>23</v>
      </c>
    </row>
    <row r="4489" spans="1:11" ht="42" customHeight="1">
      <c r="A4489" s="2" t="s">
        <v>10577</v>
      </c>
      <c r="B4489" s="2" t="s">
        <v>10578</v>
      </c>
      <c r="C4489" s="2" t="s">
        <v>111</v>
      </c>
      <c r="D4489" s="2" t="s">
        <v>112</v>
      </c>
      <c r="E4489" s="5">
        <v>-30513</v>
      </c>
      <c r="F4489" s="3" t="s">
        <v>582</v>
      </c>
      <c r="G4489" s="3" t="s">
        <v>5808</v>
      </c>
      <c r="H4489" s="2" t="s">
        <v>21</v>
      </c>
      <c r="I4489" s="2" t="s">
        <v>10579</v>
      </c>
      <c r="J4489" s="3" t="str">
        <f>HYPERLINK("https://www.boe.es/gazeta/dias/1816/06/15/pdfs/GMD-1816-75.pdf#page=7","Abrir facsímil")</f>
        <v>Abrir facsímil</v>
      </c>
      <c r="K4489" s="3" t="s">
        <v>23</v>
      </c>
    </row>
    <row r="4490" spans="1:11" ht="42" customHeight="1">
      <c r="A4490" s="2" t="s">
        <v>10580</v>
      </c>
      <c r="B4490" s="2" t="s">
        <v>10581</v>
      </c>
      <c r="C4490" s="2" t="s">
        <v>111</v>
      </c>
      <c r="D4490" s="2" t="s">
        <v>112</v>
      </c>
      <c r="E4490" s="5">
        <v>-30550</v>
      </c>
      <c r="F4490" s="3" t="s">
        <v>435</v>
      </c>
      <c r="G4490" s="3" t="s">
        <v>103</v>
      </c>
      <c r="H4490" s="2" t="s">
        <v>21</v>
      </c>
      <c r="I4490" s="2" t="s">
        <v>10582</v>
      </c>
      <c r="J4490" s="3" t="str">
        <f>HYPERLINK("https://www.boe.es/gazeta/dias/1816/05/09/pdfs/GMD-1816-59.pdf#page=4","Abrir facsímil")</f>
        <v>Abrir facsímil</v>
      </c>
      <c r="K4490" s="3" t="s">
        <v>23</v>
      </c>
    </row>
    <row r="4491" spans="1:11" ht="42" customHeight="1">
      <c r="A4491" s="2" t="s">
        <v>10583</v>
      </c>
      <c r="B4491" s="2" t="s">
        <v>10583</v>
      </c>
      <c r="C4491" s="2" t="s">
        <v>34</v>
      </c>
      <c r="D4491" s="2" t="s">
        <v>35</v>
      </c>
      <c r="E4491" s="5">
        <v>-30478</v>
      </c>
      <c r="F4491" s="3" t="s">
        <v>123</v>
      </c>
      <c r="G4491" s="3" t="s">
        <v>4140</v>
      </c>
      <c r="H4491" s="2" t="s">
        <v>21</v>
      </c>
      <c r="I4491" s="2" t="s">
        <v>10584</v>
      </c>
      <c r="J4491" s="3" t="str">
        <f>HYPERLINK("https://www.boe.es/gazeta/dias/1816/07/20/pdfs/GMD-1816-90.pdf#page=3","Abrir facsímil")</f>
        <v>Abrir facsímil</v>
      </c>
      <c r="K4491" s="3" t="s">
        <v>23</v>
      </c>
    </row>
    <row r="4492" spans="1:11" ht="42" customHeight="1">
      <c r="A4492" s="2" t="s">
        <v>10585</v>
      </c>
      <c r="B4492" s="2" t="s">
        <v>10586</v>
      </c>
      <c r="C4492" s="2" t="s">
        <v>34</v>
      </c>
      <c r="D4492" s="2" t="s">
        <v>35</v>
      </c>
      <c r="E4492" s="5">
        <v>-30580</v>
      </c>
      <c r="F4492" s="3" t="s">
        <v>107</v>
      </c>
      <c r="G4492" s="3" t="s">
        <v>28</v>
      </c>
      <c r="H4492" s="2" t="s">
        <v>21</v>
      </c>
      <c r="I4492" s="2" t="s">
        <v>10587</v>
      </c>
      <c r="J4492" s="3" t="str">
        <f>HYPERLINK("https://www.boe.es/gazeta/dias/1816/04/09/pdfs/GMD-1816-46.pdf#page=6","Abrir facsímil")</f>
        <v>Abrir facsímil</v>
      </c>
      <c r="K4492" s="3" t="s">
        <v>23</v>
      </c>
    </row>
    <row r="4493" spans="1:11" ht="42" customHeight="1">
      <c r="A4493" s="2" t="s">
        <v>10588</v>
      </c>
      <c r="B4493" s="2" t="s">
        <v>10589</v>
      </c>
      <c r="C4493" s="2" t="s">
        <v>41</v>
      </c>
      <c r="D4493" s="2" t="s">
        <v>18</v>
      </c>
      <c r="E4493" s="5">
        <v>-30587</v>
      </c>
      <c r="F4493" s="3" t="s">
        <v>341</v>
      </c>
      <c r="G4493" s="3" t="s">
        <v>42</v>
      </c>
      <c r="H4493" s="2" t="s">
        <v>29</v>
      </c>
      <c r="I4493" s="2" t="s">
        <v>10590</v>
      </c>
      <c r="J4493" s="3" t="str">
        <f>HYPERLINK("https://www.boe.es/gazeta/dias/1816/04/02/pdfs/GMD-1816-43.pdf#page=8","Abrir facsímil")</f>
        <v>Abrir facsímil</v>
      </c>
      <c r="K4493" s="3" t="s">
        <v>31</v>
      </c>
    </row>
    <row r="4494" spans="1:11" ht="42" customHeight="1">
      <c r="A4494" s="2" t="s">
        <v>10591</v>
      </c>
      <c r="B4494" s="2" t="s">
        <v>10591</v>
      </c>
      <c r="C4494" s="2" t="s">
        <v>111</v>
      </c>
      <c r="D4494" s="2" t="s">
        <v>112</v>
      </c>
      <c r="E4494" s="5">
        <v>-30562</v>
      </c>
      <c r="F4494" s="3" t="s">
        <v>1664</v>
      </c>
      <c r="G4494" s="3" t="s">
        <v>58</v>
      </c>
      <c r="H4494" s="2" t="s">
        <v>21</v>
      </c>
      <c r="I4494" s="2" t="s">
        <v>10592</v>
      </c>
      <c r="J4494" s="3" t="str">
        <f>HYPERLINK("https://www.boe.es/gazeta/dias/1816/04/27/pdfs/GMD-1816-54.pdf#page=1","Abrir facsímil")</f>
        <v>Abrir facsímil</v>
      </c>
      <c r="K4494" s="3" t="s">
        <v>23</v>
      </c>
    </row>
    <row r="4495" spans="1:11" ht="42" customHeight="1">
      <c r="A4495" s="2" t="s">
        <v>10591</v>
      </c>
      <c r="B4495" s="2" t="s">
        <v>10591</v>
      </c>
      <c r="C4495" s="2" t="s">
        <v>26</v>
      </c>
      <c r="D4495" s="2" t="s">
        <v>18</v>
      </c>
      <c r="E4495" s="5">
        <v>-30557</v>
      </c>
      <c r="F4495" s="3" t="s">
        <v>508</v>
      </c>
      <c r="G4495" s="3" t="s">
        <v>58</v>
      </c>
      <c r="H4495" s="2" t="s">
        <v>21</v>
      </c>
      <c r="I4495" s="2" t="s">
        <v>10593</v>
      </c>
      <c r="J4495" s="3" t="str">
        <f>HYPERLINK("https://www.boe.es/gazeta/dias/1816/05/02/pdfs/GMD-1816-56.pdf#page=1","Abrir facsímil")</f>
        <v>Abrir facsímil</v>
      </c>
      <c r="K4495" s="3" t="s">
        <v>23</v>
      </c>
    </row>
    <row r="4496" spans="1:11" ht="42" customHeight="1">
      <c r="A4496" s="2" t="s">
        <v>10594</v>
      </c>
      <c r="B4496" s="2" t="s">
        <v>10595</v>
      </c>
      <c r="C4496" s="2" t="s">
        <v>41</v>
      </c>
      <c r="D4496" s="2" t="s">
        <v>18</v>
      </c>
      <c r="E4496" s="5">
        <v>-30370</v>
      </c>
      <c r="F4496" s="3" t="s">
        <v>669</v>
      </c>
      <c r="G4496" s="3" t="s">
        <v>58</v>
      </c>
      <c r="H4496" s="2" t="s">
        <v>21</v>
      </c>
      <c r="I4496" s="2" t="s">
        <v>10596</v>
      </c>
      <c r="J4496" s="3" t="str">
        <f>HYPERLINK("https://www.boe.es/gazeta/dias/1816/11/05/pdfs/GMD-1816-138.pdf#page=1","Abrir facsímil")</f>
        <v>Abrir facsímil</v>
      </c>
      <c r="K4496" s="3" t="s">
        <v>23</v>
      </c>
    </row>
    <row r="4497" spans="1:11" ht="42" customHeight="1">
      <c r="A4497" s="2" t="s">
        <v>10597</v>
      </c>
      <c r="B4497" s="2" t="s">
        <v>10597</v>
      </c>
      <c r="C4497" s="2" t="s">
        <v>34</v>
      </c>
      <c r="D4497" s="2" t="s">
        <v>35</v>
      </c>
      <c r="E4497" s="5">
        <v>-30671</v>
      </c>
      <c r="F4497" s="3" t="s">
        <v>2049</v>
      </c>
      <c r="G4497" s="3" t="s">
        <v>10598</v>
      </c>
      <c r="H4497" s="2" t="s">
        <v>21</v>
      </c>
      <c r="I4497" s="2" t="s">
        <v>10599</v>
      </c>
      <c r="J4497" s="3" t="str">
        <f>HYPERLINK("https://www.boe.es/gazeta/dias/1816/01/09/pdfs/GMD-1816-4.pdf#page=4","Abrir facsímil")</f>
        <v>Abrir facsímil</v>
      </c>
      <c r="K4497" s="3" t="s">
        <v>23</v>
      </c>
    </row>
    <row r="4498" spans="1:11" ht="42" customHeight="1">
      <c r="A4498" s="2" t="s">
        <v>10597</v>
      </c>
      <c r="B4498" s="2" t="s">
        <v>10597</v>
      </c>
      <c r="C4498" s="2" t="s">
        <v>34</v>
      </c>
      <c r="D4498" s="2" t="s">
        <v>35</v>
      </c>
      <c r="E4498" s="5">
        <v>-30671</v>
      </c>
      <c r="F4498" s="3" t="s">
        <v>2049</v>
      </c>
      <c r="G4498" s="3" t="s">
        <v>58</v>
      </c>
      <c r="H4498" s="2" t="s">
        <v>21</v>
      </c>
      <c r="I4498" s="2" t="s">
        <v>10600</v>
      </c>
      <c r="J4498" s="3" t="str">
        <f>HYPERLINK("https://www.boe.es/gazeta/dias/1816/01/09/pdfs/GMD-1816-4.pdf#page=1","Abrir facsímil")</f>
        <v>Abrir facsímil</v>
      </c>
      <c r="K4498" s="3" t="s">
        <v>23</v>
      </c>
    </row>
    <row r="4499" spans="1:11" ht="42" customHeight="1">
      <c r="A4499" s="2" t="s">
        <v>10601</v>
      </c>
      <c r="B4499" s="2" t="s">
        <v>10601</v>
      </c>
      <c r="C4499" s="2" t="s">
        <v>387</v>
      </c>
      <c r="D4499" s="2" t="s">
        <v>18</v>
      </c>
      <c r="E4499" s="5">
        <v>-30564</v>
      </c>
      <c r="F4499" s="3" t="s">
        <v>963</v>
      </c>
      <c r="G4499" s="3" t="s">
        <v>10602</v>
      </c>
      <c r="H4499" s="2" t="s">
        <v>21</v>
      </c>
      <c r="I4499" s="2" t="s">
        <v>10603</v>
      </c>
      <c r="J4499" s="3" t="str">
        <f>HYPERLINK("https://www.boe.es/gazeta/dias/1816/04/25/pdfs/GMD-1816-53.pdf#page=2","Abrir facsímil")</f>
        <v>Abrir facsímil</v>
      </c>
      <c r="K4499" s="3" t="s">
        <v>23</v>
      </c>
    </row>
    <row r="4500" spans="1:11" ht="42" customHeight="1">
      <c r="A4500" s="2" t="s">
        <v>10601</v>
      </c>
      <c r="B4500" s="2" t="s">
        <v>10601</v>
      </c>
      <c r="C4500" s="2" t="s">
        <v>387</v>
      </c>
      <c r="D4500" s="2" t="s">
        <v>18</v>
      </c>
      <c r="E4500" s="5">
        <v>-30517</v>
      </c>
      <c r="F4500" s="3" t="s">
        <v>557</v>
      </c>
      <c r="G4500" s="3" t="s">
        <v>184</v>
      </c>
      <c r="H4500" s="2" t="s">
        <v>21</v>
      </c>
      <c r="I4500" s="2" t="s">
        <v>10604</v>
      </c>
      <c r="J4500" s="3" t="str">
        <f>HYPERLINK("https://www.boe.es/gazeta/dias/1816/06/11/pdfs/GMD-1816-73.pdf#page=3","Abrir facsímil")</f>
        <v>Abrir facsímil</v>
      </c>
      <c r="K4500" s="3" t="s">
        <v>23</v>
      </c>
    </row>
    <row r="4501" spans="1:11" ht="42" customHeight="1">
      <c r="A4501" s="2" t="s">
        <v>10601</v>
      </c>
      <c r="B4501" s="2" t="s">
        <v>10601</v>
      </c>
      <c r="C4501" s="2" t="s">
        <v>111</v>
      </c>
      <c r="D4501" s="2" t="s">
        <v>112</v>
      </c>
      <c r="E4501" s="5">
        <v>-30489</v>
      </c>
      <c r="F4501" s="3" t="s">
        <v>1120</v>
      </c>
      <c r="G4501" s="3" t="s">
        <v>58</v>
      </c>
      <c r="H4501" s="2" t="s">
        <v>21</v>
      </c>
      <c r="I4501" s="2" t="s">
        <v>10605</v>
      </c>
      <c r="J4501" s="3" t="str">
        <f>HYPERLINK("https://www.boe.es/gazeta/dias/1816/07/09/pdfs/GMD-1816-85.pdf#page=1","Abrir facsímil")</f>
        <v>Abrir facsímil</v>
      </c>
      <c r="K4501" s="3" t="s">
        <v>23</v>
      </c>
    </row>
    <row r="4502" spans="1:11" ht="42" customHeight="1">
      <c r="A4502" s="2" t="s">
        <v>10601</v>
      </c>
      <c r="B4502" s="2" t="s">
        <v>10601</v>
      </c>
      <c r="C4502" s="2" t="s">
        <v>111</v>
      </c>
      <c r="D4502" s="2" t="s">
        <v>112</v>
      </c>
      <c r="E4502" s="5">
        <v>-30468</v>
      </c>
      <c r="F4502" s="3" t="s">
        <v>383</v>
      </c>
      <c r="G4502" s="3" t="s">
        <v>58</v>
      </c>
      <c r="H4502" s="2" t="s">
        <v>21</v>
      </c>
      <c r="I4502" s="2" t="s">
        <v>10606</v>
      </c>
      <c r="J4502" s="3" t="str">
        <f>HYPERLINK("https://www.boe.es/gazeta/dias/1816/07/30/pdfs/GMD-1816-94.pdf#page=1","Abrir facsímil")</f>
        <v>Abrir facsímil</v>
      </c>
      <c r="K4502" s="3" t="s">
        <v>23</v>
      </c>
    </row>
    <row r="4503" spans="1:11" ht="42" customHeight="1">
      <c r="A4503" s="2" t="s">
        <v>10607</v>
      </c>
      <c r="B4503" s="2" t="s">
        <v>10608</v>
      </c>
      <c r="C4503" s="2" t="s">
        <v>111</v>
      </c>
      <c r="D4503" s="2" t="s">
        <v>112</v>
      </c>
      <c r="E4503" s="5">
        <v>-30384</v>
      </c>
      <c r="F4503" s="3" t="s">
        <v>460</v>
      </c>
      <c r="G4503" s="3" t="s">
        <v>103</v>
      </c>
      <c r="H4503" s="2" t="s">
        <v>21</v>
      </c>
      <c r="I4503" s="2" t="s">
        <v>10609</v>
      </c>
      <c r="J4503" s="3" t="str">
        <f>HYPERLINK("https://www.boe.es/gazeta/dias/1816/10/22/pdfs/GMD-1816-132.pdf#page=4","Abrir facsímil")</f>
        <v>Abrir facsímil</v>
      </c>
      <c r="K4503" s="3" t="s">
        <v>23</v>
      </c>
    </row>
    <row r="4504" spans="1:11" ht="42" customHeight="1">
      <c r="A4504" s="2" t="s">
        <v>10610</v>
      </c>
      <c r="B4504" s="2" t="s">
        <v>10611</v>
      </c>
      <c r="C4504" s="2" t="s">
        <v>34</v>
      </c>
      <c r="D4504" s="2" t="s">
        <v>35</v>
      </c>
      <c r="E4504" s="5">
        <v>-30667</v>
      </c>
      <c r="F4504" s="3" t="s">
        <v>659</v>
      </c>
      <c r="G4504" s="3" t="s">
        <v>103</v>
      </c>
      <c r="H4504" s="2" t="s">
        <v>29</v>
      </c>
      <c r="I4504" s="2" t="s">
        <v>10612</v>
      </c>
      <c r="J4504" s="3" t="str">
        <f>HYPERLINK("https://www.boe.es/gazeta/dias/1816/01/13/pdfs/GMD-1816-6.pdf#page=4","Abrir facsímil")</f>
        <v>Abrir facsímil</v>
      </c>
      <c r="K4504" s="3" t="s">
        <v>31</v>
      </c>
    </row>
    <row r="4505" spans="1:11" ht="42" customHeight="1">
      <c r="A4505" s="2" t="s">
        <v>10613</v>
      </c>
      <c r="B4505" s="2" t="s">
        <v>10614</v>
      </c>
      <c r="C4505" s="2" t="s">
        <v>34</v>
      </c>
      <c r="D4505" s="2" t="s">
        <v>35</v>
      </c>
      <c r="E4505" s="5">
        <v>-30429</v>
      </c>
      <c r="F4505" s="3" t="s">
        <v>598</v>
      </c>
      <c r="G4505" s="3" t="s">
        <v>270</v>
      </c>
      <c r="H4505" s="2" t="s">
        <v>21</v>
      </c>
      <c r="I4505" s="2" t="s">
        <v>10615</v>
      </c>
      <c r="J4505" s="3" t="str">
        <f>HYPERLINK("https://www.boe.es/gazeta/dias/1816/09/07/pdfs/GMD-1816-111.pdf#page=2","Abrir facsímil")</f>
        <v>Abrir facsímil</v>
      </c>
      <c r="K4505" s="3" t="s">
        <v>23</v>
      </c>
    </row>
    <row r="4506" spans="1:11" ht="42" customHeight="1">
      <c r="A4506" s="2" t="s">
        <v>10616</v>
      </c>
      <c r="B4506" s="2" t="s">
        <v>10616</v>
      </c>
      <c r="C4506" s="2" t="s">
        <v>111</v>
      </c>
      <c r="D4506" s="2" t="s">
        <v>112</v>
      </c>
      <c r="E4506" s="5">
        <v>-30545</v>
      </c>
      <c r="F4506" s="3" t="s">
        <v>127</v>
      </c>
      <c r="G4506" s="3" t="s">
        <v>184</v>
      </c>
      <c r="H4506" s="2" t="s">
        <v>21</v>
      </c>
      <c r="I4506" s="2" t="s">
        <v>10617</v>
      </c>
      <c r="J4506" s="3" t="str">
        <f>HYPERLINK("https://www.boe.es/gazeta/dias/1816/05/14/pdfs/GMD-1816-61.pdf#page=3","Abrir facsímil")</f>
        <v>Abrir facsímil</v>
      </c>
      <c r="K4506" s="3" t="s">
        <v>23</v>
      </c>
    </row>
    <row r="4507" spans="1:11" ht="42" customHeight="1">
      <c r="A4507" s="2" t="s">
        <v>10618</v>
      </c>
      <c r="B4507" s="2" t="s">
        <v>10619</v>
      </c>
      <c r="C4507" s="2" t="s">
        <v>34</v>
      </c>
      <c r="D4507" s="2" t="s">
        <v>35</v>
      </c>
      <c r="E4507" s="5">
        <v>-30513</v>
      </c>
      <c r="F4507" s="3" t="s">
        <v>582</v>
      </c>
      <c r="G4507" s="3" t="s">
        <v>47</v>
      </c>
      <c r="H4507" s="2" t="s">
        <v>21</v>
      </c>
      <c r="I4507" s="2" t="s">
        <v>10620</v>
      </c>
      <c r="J4507" s="3" t="str">
        <f>HYPERLINK("https://www.boe.es/gazeta/dias/1816/06/15/pdfs/GMD-1816-75.pdf#page=5","Abrir facsímil")</f>
        <v>Abrir facsímil</v>
      </c>
      <c r="K4507" s="3" t="s">
        <v>23</v>
      </c>
    </row>
    <row r="4508" spans="1:11" ht="42" customHeight="1">
      <c r="A4508" s="2" t="s">
        <v>10621</v>
      </c>
      <c r="B4508" s="2" t="s">
        <v>10622</v>
      </c>
      <c r="C4508" s="2" t="s">
        <v>34</v>
      </c>
      <c r="D4508" s="2" t="s">
        <v>56</v>
      </c>
      <c r="E4508" s="5">
        <v>-30393</v>
      </c>
      <c r="F4508" s="3" t="s">
        <v>202</v>
      </c>
      <c r="G4508" s="3" t="s">
        <v>203</v>
      </c>
      <c r="H4508" s="2" t="s">
        <v>21</v>
      </c>
      <c r="I4508" s="2" t="s">
        <v>10623</v>
      </c>
      <c r="J4508" s="3" t="str">
        <f>HYPERLINK("https://www.boe.es/gazeta/dias/1816/10/13/pdfs/GMD-1816-128E.pdf#page=7","Abrir facsímil")</f>
        <v>Abrir facsímil</v>
      </c>
      <c r="K4508" s="3" t="s">
        <v>23</v>
      </c>
    </row>
    <row r="4509" spans="1:11" ht="42" customHeight="1">
      <c r="A4509" s="2" t="s">
        <v>10624</v>
      </c>
      <c r="B4509" s="2" t="s">
        <v>10625</v>
      </c>
      <c r="C4509" s="2" t="s">
        <v>26</v>
      </c>
      <c r="D4509" s="2" t="s">
        <v>18</v>
      </c>
      <c r="E4509" s="5">
        <v>-30494</v>
      </c>
      <c r="F4509" s="3" t="s">
        <v>174</v>
      </c>
      <c r="G4509" s="3" t="s">
        <v>175</v>
      </c>
      <c r="H4509" s="2" t="s">
        <v>21</v>
      </c>
      <c r="I4509" s="2" t="s">
        <v>10626</v>
      </c>
      <c r="J4509" s="3" t="str">
        <f>HYPERLINK("https://www.boe.es/gazeta/dias/1816/07/04/pdfs/GMD-1816-83.pdf#page=11","Abrir facsímil")</f>
        <v>Abrir facsímil</v>
      </c>
      <c r="K4509" s="3" t="s">
        <v>23</v>
      </c>
    </row>
    <row r="4510" spans="1:11" ht="42" customHeight="1">
      <c r="A4510" s="2" t="s">
        <v>10627</v>
      </c>
      <c r="B4510" s="2" t="s">
        <v>10628</v>
      </c>
      <c r="C4510" s="2" t="s">
        <v>41</v>
      </c>
      <c r="D4510" s="2" t="s">
        <v>18</v>
      </c>
      <c r="E4510" s="5">
        <v>-30494</v>
      </c>
      <c r="F4510" s="3" t="s">
        <v>174</v>
      </c>
      <c r="G4510" s="3" t="s">
        <v>175</v>
      </c>
      <c r="H4510" s="2" t="s">
        <v>21</v>
      </c>
      <c r="I4510" s="2" t="s">
        <v>10629</v>
      </c>
      <c r="J4510" s="3" t="str">
        <f>HYPERLINK("https://www.boe.es/gazeta/dias/1816/07/04/pdfs/GMD-1816-83.pdf#page=11","Abrir facsímil")</f>
        <v>Abrir facsímil</v>
      </c>
      <c r="K4510" s="3" t="s">
        <v>23</v>
      </c>
    </row>
    <row r="4511" spans="1:11" ht="42" customHeight="1">
      <c r="A4511" s="2" t="s">
        <v>10630</v>
      </c>
      <c r="B4511" s="2" t="s">
        <v>10631</v>
      </c>
      <c r="C4511" s="2" t="s">
        <v>26</v>
      </c>
      <c r="D4511" s="2" t="s">
        <v>56</v>
      </c>
      <c r="E4511" s="5">
        <v>-30393</v>
      </c>
      <c r="F4511" s="3" t="s">
        <v>202</v>
      </c>
      <c r="G4511" s="3" t="s">
        <v>834</v>
      </c>
      <c r="H4511" s="2" t="s">
        <v>21</v>
      </c>
      <c r="I4511" s="2" t="s">
        <v>10632</v>
      </c>
      <c r="J4511" s="3" t="str">
        <f>HYPERLINK("https://www.boe.es/gazeta/dias/1816/10/13/pdfs/GMD-1816-128E.pdf#page=6","Abrir facsímil")</f>
        <v>Abrir facsímil</v>
      </c>
      <c r="K4511" s="3" t="s">
        <v>23</v>
      </c>
    </row>
    <row r="4512" spans="1:11" ht="42" customHeight="1">
      <c r="A4512" s="2" t="s">
        <v>10633</v>
      </c>
      <c r="B4512" s="2" t="s">
        <v>10634</v>
      </c>
      <c r="C4512" s="2" t="s">
        <v>26</v>
      </c>
      <c r="D4512" s="2" t="s">
        <v>18</v>
      </c>
      <c r="E4512" s="5">
        <v>-30461</v>
      </c>
      <c r="F4512" s="3" t="s">
        <v>912</v>
      </c>
      <c r="G4512" s="3" t="s">
        <v>1375</v>
      </c>
      <c r="H4512" s="2" t="s">
        <v>21</v>
      </c>
      <c r="I4512" s="2" t="s">
        <v>10635</v>
      </c>
      <c r="J4512" s="3" t="str">
        <f>HYPERLINK("https://www.boe.es/gazeta/dias/1816/08/06/pdfs/GMD-1816-97.pdf#page=6","Abrir facsímil")</f>
        <v>Abrir facsímil</v>
      </c>
      <c r="K4512" s="3" t="s">
        <v>23</v>
      </c>
    </row>
    <row r="4513" spans="1:11" ht="42" customHeight="1">
      <c r="A4513" s="2" t="s">
        <v>10636</v>
      </c>
      <c r="B4513" s="2" t="s">
        <v>10637</v>
      </c>
      <c r="C4513" s="2" t="s">
        <v>34</v>
      </c>
      <c r="D4513" s="2" t="s">
        <v>35</v>
      </c>
      <c r="E4513" s="5">
        <v>-30650</v>
      </c>
      <c r="F4513" s="3" t="s">
        <v>1170</v>
      </c>
      <c r="G4513" s="3" t="s">
        <v>42</v>
      </c>
      <c r="H4513" s="2" t="s">
        <v>21</v>
      </c>
      <c r="I4513" s="2" t="s">
        <v>10638</v>
      </c>
      <c r="J4513" s="3" t="str">
        <f>HYPERLINK("https://www.boe.es/gazeta/dias/1816/01/30/pdfs/GMD-1816-14.pdf#page=8","Abrir facsímil")</f>
        <v>Abrir facsímil</v>
      </c>
      <c r="K4513" s="3" t="s">
        <v>23</v>
      </c>
    </row>
    <row r="4514" spans="1:11" ht="42" customHeight="1">
      <c r="A4514" s="2" t="s">
        <v>10636</v>
      </c>
      <c r="B4514" s="2" t="s">
        <v>10637</v>
      </c>
      <c r="C4514" s="2" t="s">
        <v>41</v>
      </c>
      <c r="D4514" s="2" t="s">
        <v>18</v>
      </c>
      <c r="E4514" s="5">
        <v>-30494</v>
      </c>
      <c r="F4514" s="3" t="s">
        <v>174</v>
      </c>
      <c r="G4514" s="3" t="s">
        <v>175</v>
      </c>
      <c r="H4514" s="2" t="s">
        <v>21</v>
      </c>
      <c r="I4514" s="2" t="s">
        <v>10639</v>
      </c>
      <c r="J4514" s="3" t="str">
        <f>HYPERLINK("https://www.boe.es/gazeta/dias/1816/07/04/pdfs/GMD-1816-83.pdf#page=11","Abrir facsímil")</f>
        <v>Abrir facsímil</v>
      </c>
      <c r="K4514" s="3" t="s">
        <v>23</v>
      </c>
    </row>
    <row r="4515" spans="1:11" ht="42" customHeight="1">
      <c r="A4515" s="2" t="s">
        <v>10640</v>
      </c>
      <c r="B4515" s="2" t="s">
        <v>10641</v>
      </c>
      <c r="C4515" s="2" t="s">
        <v>26</v>
      </c>
      <c r="D4515" s="2" t="s">
        <v>56</v>
      </c>
      <c r="E4515" s="5">
        <v>-30393</v>
      </c>
      <c r="F4515" s="3" t="s">
        <v>202</v>
      </c>
      <c r="G4515" s="3" t="s">
        <v>42</v>
      </c>
      <c r="H4515" s="2" t="s">
        <v>21</v>
      </c>
      <c r="I4515" s="2" t="s">
        <v>10642</v>
      </c>
      <c r="J4515" s="3" t="str">
        <f>HYPERLINK("https://www.boe.es/gazeta/dias/1816/10/13/pdfs/GMD-1816-128E.pdf#page=8","Abrir facsímil")</f>
        <v>Abrir facsímil</v>
      </c>
      <c r="K4515" s="3" t="s">
        <v>23</v>
      </c>
    </row>
    <row r="4516" spans="1:11" ht="42" customHeight="1">
      <c r="A4516" s="2" t="s">
        <v>10643</v>
      </c>
      <c r="B4516" s="2" t="s">
        <v>10644</v>
      </c>
      <c r="C4516" s="2" t="s">
        <v>67</v>
      </c>
      <c r="D4516" s="2" t="s">
        <v>18</v>
      </c>
      <c r="E4516" s="5">
        <v>-30660</v>
      </c>
      <c r="F4516" s="3" t="s">
        <v>809</v>
      </c>
      <c r="G4516" s="3" t="s">
        <v>810</v>
      </c>
      <c r="H4516" s="2" t="s">
        <v>21</v>
      </c>
      <c r="I4516" s="2" t="s">
        <v>10645</v>
      </c>
      <c r="J4516" s="3" t="str">
        <f>HYPERLINK("https://www.boe.es/gazeta/dias/1816/01/20/pdfs/GMD-1816-9.pdf#page=8","Abrir facsímil")</f>
        <v>Abrir facsímil</v>
      </c>
      <c r="K4516" s="3" t="s">
        <v>23</v>
      </c>
    </row>
    <row r="4517" spans="1:11" ht="42" customHeight="1">
      <c r="A4517" s="2" t="s">
        <v>10646</v>
      </c>
      <c r="B4517" s="2" t="s">
        <v>10646</v>
      </c>
      <c r="C4517" s="2" t="s">
        <v>34</v>
      </c>
      <c r="D4517" s="2" t="s">
        <v>35</v>
      </c>
      <c r="E4517" s="5">
        <v>-30648</v>
      </c>
      <c r="F4517" s="3" t="s">
        <v>872</v>
      </c>
      <c r="G4517" s="3" t="s">
        <v>28</v>
      </c>
      <c r="H4517" s="2" t="s">
        <v>21</v>
      </c>
      <c r="I4517" s="2" t="s">
        <v>10647</v>
      </c>
      <c r="J4517" s="3" t="str">
        <f>HYPERLINK("https://www.boe.es/gazeta/dias/1816/02/01/pdfs/GMD-1816-15.pdf#page=6","Abrir facsímil")</f>
        <v>Abrir facsímil</v>
      </c>
      <c r="K4517" s="3" t="s">
        <v>23</v>
      </c>
    </row>
    <row r="4518" spans="1:11" ht="42" customHeight="1">
      <c r="A4518" s="2" t="s">
        <v>10646</v>
      </c>
      <c r="B4518" s="2" t="s">
        <v>10646</v>
      </c>
      <c r="C4518" s="2" t="s">
        <v>26</v>
      </c>
      <c r="D4518" s="2" t="s">
        <v>18</v>
      </c>
      <c r="E4518" s="5">
        <v>-30487</v>
      </c>
      <c r="F4518" s="3" t="s">
        <v>397</v>
      </c>
      <c r="G4518" s="3" t="s">
        <v>184</v>
      </c>
      <c r="H4518" s="2" t="s">
        <v>21</v>
      </c>
      <c r="I4518" s="2" t="s">
        <v>10648</v>
      </c>
      <c r="J4518" s="3" t="str">
        <f>HYPERLINK("https://www.boe.es/gazeta/dias/1816/07/11/pdfs/GMD-1816-86.pdf#page=3","Abrir facsímil")</f>
        <v>Abrir facsímil</v>
      </c>
      <c r="K4518" s="3" t="s">
        <v>23</v>
      </c>
    </row>
    <row r="4519" spans="1:11" ht="42" customHeight="1">
      <c r="A4519" s="2" t="s">
        <v>10649</v>
      </c>
      <c r="B4519" s="2" t="s">
        <v>10649</v>
      </c>
      <c r="C4519" s="2" t="s">
        <v>34</v>
      </c>
      <c r="D4519" s="2" t="s">
        <v>35</v>
      </c>
      <c r="E4519" s="5">
        <v>-30389</v>
      </c>
      <c r="F4519" s="3" t="s">
        <v>522</v>
      </c>
      <c r="G4519" s="3" t="s">
        <v>270</v>
      </c>
      <c r="H4519" s="2" t="s">
        <v>21</v>
      </c>
      <c r="I4519" s="2" t="s">
        <v>10650</v>
      </c>
      <c r="J4519" s="3" t="str">
        <f>HYPERLINK("https://www.boe.es/gazeta/dias/1816/10/17/pdfs/GMD-1816-130.pdf#page=2","Abrir facsímil")</f>
        <v>Abrir facsímil</v>
      </c>
      <c r="K4519" s="3" t="s">
        <v>23</v>
      </c>
    </row>
    <row r="4520" spans="1:11" ht="42" customHeight="1">
      <c r="A4520" s="2" t="s">
        <v>10651</v>
      </c>
      <c r="B4520" s="2" t="s">
        <v>10652</v>
      </c>
      <c r="C4520" s="2" t="s">
        <v>67</v>
      </c>
      <c r="D4520" s="2" t="s">
        <v>18</v>
      </c>
      <c r="E4520" s="5">
        <v>-30314</v>
      </c>
      <c r="F4520" s="3" t="s">
        <v>1899</v>
      </c>
      <c r="G4520" s="3" t="s">
        <v>42</v>
      </c>
      <c r="H4520" s="2" t="s">
        <v>21</v>
      </c>
      <c r="I4520" s="2" t="s">
        <v>10653</v>
      </c>
      <c r="J4520" s="3" t="str">
        <f>HYPERLINK("https://www.boe.es/gazeta/dias/1816/12/31/pdfs/GMD-1816-162.pdf#page=8","Abrir facsímil")</f>
        <v>Abrir facsímil</v>
      </c>
      <c r="K4520" s="3" t="s">
        <v>23</v>
      </c>
    </row>
    <row r="4521" spans="1:11" ht="42" customHeight="1">
      <c r="A4521" s="2" t="s">
        <v>10654</v>
      </c>
      <c r="B4521" s="2" t="s">
        <v>10655</v>
      </c>
      <c r="C4521" s="2" t="s">
        <v>34</v>
      </c>
      <c r="D4521" s="2" t="s">
        <v>35</v>
      </c>
      <c r="E4521" s="5">
        <v>-30359</v>
      </c>
      <c r="F4521" s="3" t="s">
        <v>812</v>
      </c>
      <c r="G4521" s="3" t="s">
        <v>47</v>
      </c>
      <c r="H4521" s="2" t="s">
        <v>29</v>
      </c>
      <c r="I4521" s="2" t="s">
        <v>10656</v>
      </c>
      <c r="J4521" s="3" t="str">
        <f>HYPERLINK("https://www.boe.es/gazeta/dias/1816/11/16/pdfs/GMD-1816-143.pdf#page=5","Abrir facsímil")</f>
        <v>Abrir facsímil</v>
      </c>
      <c r="K4521" s="3" t="s">
        <v>31</v>
      </c>
    </row>
    <row r="4522" spans="1:11" ht="42" customHeight="1">
      <c r="A4522" s="2" t="s">
        <v>10657</v>
      </c>
      <c r="B4522" s="2" t="s">
        <v>10658</v>
      </c>
      <c r="C4522" s="2" t="s">
        <v>26</v>
      </c>
      <c r="D4522" s="2" t="s">
        <v>18</v>
      </c>
      <c r="E4522" s="5">
        <v>-30438</v>
      </c>
      <c r="F4522" s="3" t="s">
        <v>299</v>
      </c>
      <c r="G4522" s="3" t="s">
        <v>92</v>
      </c>
      <c r="H4522" s="2" t="s">
        <v>21</v>
      </c>
      <c r="I4522" s="2" t="s">
        <v>10659</v>
      </c>
      <c r="J4522" s="3" t="str">
        <f>HYPERLINK("https://www.boe.es/gazeta/dias/1816/08/29/pdfs/GMD-1816-107.pdf#page=9","Abrir facsímil")</f>
        <v>Abrir facsímil</v>
      </c>
      <c r="K4522" s="3" t="s">
        <v>23</v>
      </c>
    </row>
    <row r="4523" spans="1:11" ht="42" customHeight="1">
      <c r="A4523" s="2" t="s">
        <v>10660</v>
      </c>
      <c r="B4523" s="2" t="s">
        <v>10661</v>
      </c>
      <c r="C4523" s="2" t="s">
        <v>111</v>
      </c>
      <c r="D4523" s="2" t="s">
        <v>112</v>
      </c>
      <c r="E4523" s="5">
        <v>-30410</v>
      </c>
      <c r="F4523" s="3" t="s">
        <v>1259</v>
      </c>
      <c r="G4523" s="3" t="s">
        <v>184</v>
      </c>
      <c r="H4523" s="2" t="s">
        <v>21</v>
      </c>
      <c r="I4523" s="2" t="s">
        <v>10662</v>
      </c>
      <c r="J4523" s="3" t="str">
        <f>HYPERLINK("https://www.boe.es/gazeta/dias/1816/09/26/pdfs/GMD-1816-119.pdf#page=3","Abrir facsímil")</f>
        <v>Abrir facsímil</v>
      </c>
      <c r="K4523" s="3" t="s">
        <v>23</v>
      </c>
    </row>
    <row r="4524" spans="1:11" ht="42" customHeight="1">
      <c r="A4524" s="2" t="s">
        <v>10663</v>
      </c>
      <c r="B4524" s="2" t="s">
        <v>10664</v>
      </c>
      <c r="C4524" s="2" t="s">
        <v>67</v>
      </c>
      <c r="D4524" s="2" t="s">
        <v>18</v>
      </c>
      <c r="E4524" s="5">
        <v>-30650</v>
      </c>
      <c r="F4524" s="3" t="s">
        <v>1170</v>
      </c>
      <c r="G4524" s="3" t="s">
        <v>42</v>
      </c>
      <c r="H4524" s="2" t="s">
        <v>21</v>
      </c>
      <c r="I4524" s="2" t="s">
        <v>10665</v>
      </c>
      <c r="J4524" s="3" t="str">
        <f>HYPERLINK("https://www.boe.es/gazeta/dias/1816/01/30/pdfs/GMD-1816-14.pdf#page=8","Abrir facsímil")</f>
        <v>Abrir facsímil</v>
      </c>
      <c r="K4524" s="3" t="s">
        <v>23</v>
      </c>
    </row>
    <row r="4525" spans="1:11" ht="42" customHeight="1">
      <c r="A4525" s="2" t="s">
        <v>10666</v>
      </c>
      <c r="B4525" s="2" t="s">
        <v>10667</v>
      </c>
      <c r="C4525" s="2" t="s">
        <v>111</v>
      </c>
      <c r="D4525" s="2" t="s">
        <v>112</v>
      </c>
      <c r="E4525" s="5">
        <v>-30482</v>
      </c>
      <c r="F4525" s="3" t="s">
        <v>370</v>
      </c>
      <c r="G4525" s="3" t="s">
        <v>103</v>
      </c>
      <c r="H4525" s="2" t="s">
        <v>21</v>
      </c>
      <c r="I4525" s="2" t="s">
        <v>10668</v>
      </c>
      <c r="J4525" s="3" t="str">
        <f>HYPERLINK("https://www.boe.es/gazeta/dias/1816/07/16/pdfs/GMD-1816-88.pdf#page=4","Abrir facsímil")</f>
        <v>Abrir facsímil</v>
      </c>
      <c r="K4525" s="3" t="s">
        <v>23</v>
      </c>
    </row>
    <row r="4526" spans="1:11" ht="42" customHeight="1">
      <c r="A4526" s="2" t="s">
        <v>10669</v>
      </c>
      <c r="B4526" s="2" t="s">
        <v>10669</v>
      </c>
      <c r="C4526" s="2" t="s">
        <v>34</v>
      </c>
      <c r="D4526" s="2" t="s">
        <v>35</v>
      </c>
      <c r="E4526" s="5">
        <v>-30401</v>
      </c>
      <c r="F4526" s="3" t="s">
        <v>652</v>
      </c>
      <c r="G4526" s="3" t="s">
        <v>58</v>
      </c>
      <c r="H4526" s="2" t="s">
        <v>21</v>
      </c>
      <c r="I4526" s="2" t="s">
        <v>10670</v>
      </c>
      <c r="J4526" s="3" t="str">
        <f>HYPERLINK("https://www.boe.es/gazeta/dias/1816/10/05/pdfs/GMD-1816-123.pdf#page=1","Abrir facsímil")</f>
        <v>Abrir facsímil</v>
      </c>
      <c r="K4526" s="3" t="s">
        <v>23</v>
      </c>
    </row>
    <row r="4527" spans="1:11" ht="42" customHeight="1">
      <c r="A4527" s="2" t="s">
        <v>10671</v>
      </c>
      <c r="B4527" s="2" t="s">
        <v>10672</v>
      </c>
      <c r="C4527" s="2" t="s">
        <v>41</v>
      </c>
      <c r="D4527" s="2" t="s">
        <v>18</v>
      </c>
      <c r="E4527" s="5">
        <v>-30417</v>
      </c>
      <c r="F4527" s="3" t="s">
        <v>62</v>
      </c>
      <c r="G4527" s="3" t="s">
        <v>28</v>
      </c>
      <c r="H4527" s="2" t="s">
        <v>21</v>
      </c>
      <c r="I4527" s="2" t="s">
        <v>10673</v>
      </c>
      <c r="J4527" s="3" t="str">
        <f>HYPERLINK("https://www.boe.es/gazeta/dias/1816/09/19/pdfs/GMD-1816-116.pdf#page=6","Abrir facsímil")</f>
        <v>Abrir facsímil</v>
      </c>
      <c r="K4527" s="3" t="s">
        <v>23</v>
      </c>
    </row>
    <row r="4528" spans="1:11" ht="42" customHeight="1">
      <c r="A4528" s="2" t="s">
        <v>10674</v>
      </c>
      <c r="B4528" s="2" t="s">
        <v>10675</v>
      </c>
      <c r="C4528" s="2" t="s">
        <v>111</v>
      </c>
      <c r="D4528" s="2" t="s">
        <v>112</v>
      </c>
      <c r="E4528" s="5">
        <v>-30412</v>
      </c>
      <c r="F4528" s="3" t="s">
        <v>388</v>
      </c>
      <c r="G4528" s="3" t="s">
        <v>42</v>
      </c>
      <c r="H4528" s="2" t="s">
        <v>29</v>
      </c>
      <c r="I4528" s="2" t="s">
        <v>10676</v>
      </c>
      <c r="J4528" s="3" t="str">
        <f>HYPERLINK("https://www.boe.es/gazeta/dias/1816/09/24/pdfs/GMD-1816-118.pdf#page=8","Abrir facsímil")</f>
        <v>Abrir facsímil</v>
      </c>
      <c r="K4528" s="3" t="s">
        <v>31</v>
      </c>
    </row>
    <row r="4529" spans="1:11" ht="42" customHeight="1">
      <c r="A4529" s="2" t="s">
        <v>10677</v>
      </c>
      <c r="B4529" s="2" t="s">
        <v>10678</v>
      </c>
      <c r="C4529" s="2" t="s">
        <v>111</v>
      </c>
      <c r="D4529" s="2" t="s">
        <v>112</v>
      </c>
      <c r="E4529" s="5">
        <v>-30499</v>
      </c>
      <c r="F4529" s="3" t="s">
        <v>971</v>
      </c>
      <c r="G4529" s="3" t="s">
        <v>184</v>
      </c>
      <c r="H4529" s="2" t="s">
        <v>21</v>
      </c>
      <c r="I4529" s="2" t="s">
        <v>10679</v>
      </c>
      <c r="J4529" s="3" t="str">
        <f>HYPERLINK("https://www.boe.es/gazeta/dias/1816/06/29/pdfs/GMD-1816-81.pdf#page=3","Abrir facsímil")</f>
        <v>Abrir facsímil</v>
      </c>
      <c r="K4529" s="3" t="s">
        <v>23</v>
      </c>
    </row>
    <row r="4530" spans="1:11" ht="42" customHeight="1">
      <c r="A4530" s="2" t="s">
        <v>10680</v>
      </c>
      <c r="B4530" s="2" t="s">
        <v>10681</v>
      </c>
      <c r="C4530" s="2" t="s">
        <v>81</v>
      </c>
      <c r="D4530" s="2" t="s">
        <v>18</v>
      </c>
      <c r="E4530" s="5">
        <v>-30571</v>
      </c>
      <c r="F4530" s="3" t="s">
        <v>738</v>
      </c>
      <c r="G4530" s="3" t="s">
        <v>72</v>
      </c>
      <c r="H4530" s="2" t="s">
        <v>21</v>
      </c>
      <c r="I4530" s="2" t="s">
        <v>10682</v>
      </c>
      <c r="J4530" s="3" t="str">
        <f>HYPERLINK("https://www.boe.es/gazeta/dias/1816/04/18/pdfs/GMD-1816-50.pdf#page=7","Abrir facsímil")</f>
        <v>Abrir facsímil</v>
      </c>
      <c r="K4530" s="3" t="s">
        <v>23</v>
      </c>
    </row>
    <row r="4531" spans="1:11" ht="42" customHeight="1">
      <c r="A4531" s="2" t="s">
        <v>10683</v>
      </c>
      <c r="B4531" s="2" t="s">
        <v>10684</v>
      </c>
      <c r="C4531" s="2" t="s">
        <v>111</v>
      </c>
      <c r="D4531" s="2" t="s">
        <v>112</v>
      </c>
      <c r="E4531" s="5">
        <v>-30433</v>
      </c>
      <c r="F4531" s="3" t="s">
        <v>954</v>
      </c>
      <c r="G4531" s="3" t="s">
        <v>1124</v>
      </c>
      <c r="H4531" s="2" t="s">
        <v>21</v>
      </c>
      <c r="I4531" s="2" t="s">
        <v>10685</v>
      </c>
      <c r="J4531" s="3" t="str">
        <f>HYPERLINK("https://www.boe.es/gazeta/dias/1816/09/03/pdfs/GMD-1816-109.pdf#page=8","Abrir facsímil")</f>
        <v>Abrir facsímil</v>
      </c>
      <c r="K4531" s="3" t="s">
        <v>23</v>
      </c>
    </row>
    <row r="4532" spans="1:11" ht="42" customHeight="1">
      <c r="A4532" s="2" t="s">
        <v>10686</v>
      </c>
      <c r="B4532" s="2" t="s">
        <v>10687</v>
      </c>
      <c r="C4532" s="2" t="s">
        <v>34</v>
      </c>
      <c r="D4532" s="2" t="s">
        <v>35</v>
      </c>
      <c r="E4532" s="5">
        <v>-30543</v>
      </c>
      <c r="F4532" s="3" t="s">
        <v>94</v>
      </c>
      <c r="G4532" s="3" t="s">
        <v>28</v>
      </c>
      <c r="H4532" s="2" t="s">
        <v>21</v>
      </c>
      <c r="I4532" s="2" t="s">
        <v>10688</v>
      </c>
      <c r="J4532" s="3" t="str">
        <f>HYPERLINK("https://www.boe.es/gazeta/dias/1816/05/16/pdfs/GMD-1816-62.pdf#page=6","Abrir facsímil")</f>
        <v>Abrir facsímil</v>
      </c>
      <c r="K4532" s="3" t="s">
        <v>23</v>
      </c>
    </row>
    <row r="4533" spans="1:11" ht="42" customHeight="1">
      <c r="A4533" s="2" t="s">
        <v>10689</v>
      </c>
      <c r="B4533" s="2" t="s">
        <v>10690</v>
      </c>
      <c r="C4533" s="2" t="s">
        <v>67</v>
      </c>
      <c r="D4533" s="2" t="s">
        <v>18</v>
      </c>
      <c r="E4533" s="5">
        <v>-30655</v>
      </c>
      <c r="F4533" s="3" t="s">
        <v>170</v>
      </c>
      <c r="G4533" s="3" t="s">
        <v>42</v>
      </c>
      <c r="H4533" s="2" t="s">
        <v>21</v>
      </c>
      <c r="I4533" s="2" t="s">
        <v>10691</v>
      </c>
      <c r="J4533" s="3" t="str">
        <f>HYPERLINK("https://www.boe.es/gazeta/dias/1816/01/25/pdfs/GMD-1816-11.pdf#page=8","Abrir facsímil")</f>
        <v>Abrir facsímil</v>
      </c>
      <c r="K4533" s="3" t="s">
        <v>23</v>
      </c>
    </row>
    <row r="4534" spans="1:11" ht="42" customHeight="1">
      <c r="A4534" s="2" t="s">
        <v>10692</v>
      </c>
      <c r="B4534" s="2" t="s">
        <v>10693</v>
      </c>
      <c r="C4534" s="2" t="s">
        <v>34</v>
      </c>
      <c r="D4534" s="2" t="s">
        <v>35</v>
      </c>
      <c r="E4534" s="5">
        <v>-30615</v>
      </c>
      <c r="F4534" s="3" t="s">
        <v>1848</v>
      </c>
      <c r="G4534" s="3" t="s">
        <v>72</v>
      </c>
      <c r="H4534" s="2" t="s">
        <v>21</v>
      </c>
      <c r="I4534" s="2" t="s">
        <v>10694</v>
      </c>
      <c r="J4534" s="3" t="str">
        <f>HYPERLINK("https://www.boe.es/gazeta/dias/1816/03/05/pdfs/GMD-1816-30.pdf#page=7","Abrir facsímil")</f>
        <v>Abrir facsímil</v>
      </c>
      <c r="K4534" s="3" t="s">
        <v>23</v>
      </c>
    </row>
    <row r="4535" spans="1:11" ht="42" customHeight="1">
      <c r="A4535" s="2" t="s">
        <v>10695</v>
      </c>
      <c r="B4535" s="2" t="s">
        <v>10696</v>
      </c>
      <c r="C4535" s="2" t="s">
        <v>34</v>
      </c>
      <c r="D4535" s="2" t="s">
        <v>35</v>
      </c>
      <c r="E4535" s="5">
        <v>-30564</v>
      </c>
      <c r="F4535" s="3" t="s">
        <v>963</v>
      </c>
      <c r="G4535" s="3" t="s">
        <v>964</v>
      </c>
      <c r="H4535" s="2" t="s">
        <v>21</v>
      </c>
      <c r="I4535" s="2" t="s">
        <v>10697</v>
      </c>
      <c r="J4535" s="3" t="str">
        <f>HYPERLINK("https://www.boe.es/gazeta/dias/1816/04/25/pdfs/GMD-1816-53.pdf#page=6","Abrir facsímil")</f>
        <v>Abrir facsímil</v>
      </c>
      <c r="K4535" s="3" t="s">
        <v>23</v>
      </c>
    </row>
    <row r="4536" spans="1:11" ht="42" customHeight="1">
      <c r="A4536" s="2" t="s">
        <v>10698</v>
      </c>
      <c r="B4536" s="2" t="s">
        <v>10699</v>
      </c>
      <c r="C4536" s="2" t="s">
        <v>34</v>
      </c>
      <c r="D4536" s="2" t="s">
        <v>35</v>
      </c>
      <c r="E4536" s="5">
        <v>-30328</v>
      </c>
      <c r="F4536" s="3" t="s">
        <v>573</v>
      </c>
      <c r="G4536" s="3" t="s">
        <v>42</v>
      </c>
      <c r="H4536" s="2" t="s">
        <v>21</v>
      </c>
      <c r="I4536" s="2" t="s">
        <v>10700</v>
      </c>
      <c r="J4536" s="3" t="str">
        <f>HYPERLINK("https://www.boe.es/gazeta/dias/1816/12/17/pdfs/GMD-1816-156.pdf#page=8","Abrir facsímil")</f>
        <v>Abrir facsímil</v>
      </c>
      <c r="K4536" s="3" t="s">
        <v>23</v>
      </c>
    </row>
    <row r="4537" spans="1:11" ht="42" customHeight="1">
      <c r="A4537" s="2" t="s">
        <v>10701</v>
      </c>
      <c r="B4537" s="2" t="s">
        <v>10702</v>
      </c>
      <c r="C4537" s="2" t="s">
        <v>34</v>
      </c>
      <c r="D4537" s="2" t="s">
        <v>35</v>
      </c>
      <c r="E4537" s="5">
        <v>-30643</v>
      </c>
      <c r="F4537" s="3" t="s">
        <v>620</v>
      </c>
      <c r="G4537" s="3" t="s">
        <v>42</v>
      </c>
      <c r="H4537" s="2" t="s">
        <v>21</v>
      </c>
      <c r="I4537" s="2" t="s">
        <v>10703</v>
      </c>
      <c r="J4537" s="3" t="str">
        <f>HYPERLINK("https://www.boe.es/gazeta/dias/1816/02/06/pdfs/GMD-1816-17.pdf#page=8","Abrir facsímil")</f>
        <v>Abrir facsímil</v>
      </c>
      <c r="K4537" s="3" t="s">
        <v>23</v>
      </c>
    </row>
    <row r="4538" spans="1:11" ht="42" customHeight="1">
      <c r="A4538" s="2" t="s">
        <v>10704</v>
      </c>
      <c r="B4538" s="2" t="s">
        <v>10705</v>
      </c>
      <c r="C4538" s="2" t="s">
        <v>34</v>
      </c>
      <c r="D4538" s="2" t="s">
        <v>35</v>
      </c>
      <c r="E4538" s="5">
        <v>-30405</v>
      </c>
      <c r="F4538" s="3" t="s">
        <v>587</v>
      </c>
      <c r="G4538" s="3" t="s">
        <v>47</v>
      </c>
      <c r="H4538" s="2" t="s">
        <v>21</v>
      </c>
      <c r="I4538" s="2" t="s">
        <v>10706</v>
      </c>
      <c r="J4538" s="3" t="str">
        <f>HYPERLINK("https://www.boe.es/gazeta/dias/1816/10/01/pdfs/GMD-1816-121.pdf#page=5","Abrir facsímil")</f>
        <v>Abrir facsímil</v>
      </c>
      <c r="K4538" s="3" t="s">
        <v>23</v>
      </c>
    </row>
    <row r="4539" spans="1:11" ht="42" customHeight="1">
      <c r="A4539" s="2" t="s">
        <v>10707</v>
      </c>
      <c r="B4539" s="2" t="s">
        <v>10708</v>
      </c>
      <c r="C4539" s="2" t="s">
        <v>111</v>
      </c>
      <c r="D4539" s="2" t="s">
        <v>112</v>
      </c>
      <c r="E4539" s="5">
        <v>-30438</v>
      </c>
      <c r="F4539" s="3" t="s">
        <v>299</v>
      </c>
      <c r="G4539" s="3" t="s">
        <v>42</v>
      </c>
      <c r="H4539" s="2" t="s">
        <v>21</v>
      </c>
      <c r="I4539" s="2" t="s">
        <v>10709</v>
      </c>
      <c r="J4539" s="3" t="str">
        <f>HYPERLINK("https://www.boe.es/gazeta/dias/1816/08/29/pdfs/GMD-1816-107.pdf#page=8","Abrir facsímil")</f>
        <v>Abrir facsímil</v>
      </c>
      <c r="K4539" s="3" t="s">
        <v>23</v>
      </c>
    </row>
    <row r="4540" spans="1:11" ht="42" customHeight="1">
      <c r="A4540" s="2" t="s">
        <v>10710</v>
      </c>
      <c r="B4540" s="2" t="s">
        <v>10710</v>
      </c>
      <c r="C4540" s="2" t="s">
        <v>34</v>
      </c>
      <c r="D4540" s="2" t="s">
        <v>35</v>
      </c>
      <c r="E4540" s="5">
        <v>-30412</v>
      </c>
      <c r="F4540" s="3" t="s">
        <v>388</v>
      </c>
      <c r="G4540" s="3" t="s">
        <v>184</v>
      </c>
      <c r="H4540" s="2" t="s">
        <v>21</v>
      </c>
      <c r="I4540" s="2" t="s">
        <v>10711</v>
      </c>
      <c r="J4540" s="3" t="str">
        <f>HYPERLINK("https://www.boe.es/gazeta/dias/1816/09/24/pdfs/GMD-1816-118.pdf#page=3","Abrir facsímil")</f>
        <v>Abrir facsímil</v>
      </c>
      <c r="K4540" s="3" t="s">
        <v>23</v>
      </c>
    </row>
    <row r="4541" spans="1:11" ht="42" customHeight="1">
      <c r="A4541" s="2" t="s">
        <v>10712</v>
      </c>
      <c r="B4541" s="2" t="s">
        <v>10713</v>
      </c>
      <c r="C4541" s="2" t="s">
        <v>34</v>
      </c>
      <c r="D4541" s="2" t="s">
        <v>35</v>
      </c>
      <c r="E4541" s="5">
        <v>-30571</v>
      </c>
      <c r="F4541" s="3" t="s">
        <v>738</v>
      </c>
      <c r="G4541" s="3" t="s">
        <v>72</v>
      </c>
      <c r="H4541" s="2" t="s">
        <v>21</v>
      </c>
      <c r="I4541" s="2" t="s">
        <v>10714</v>
      </c>
      <c r="J4541" s="3" t="str">
        <f>HYPERLINK("https://www.boe.es/gazeta/dias/1816/04/18/pdfs/GMD-1816-50.pdf#page=7","Abrir facsímil")</f>
        <v>Abrir facsímil</v>
      </c>
      <c r="K4541" s="3" t="s">
        <v>23</v>
      </c>
    </row>
    <row r="4542" spans="1:11" ht="42" customHeight="1">
      <c r="A4542" s="2" t="s">
        <v>10712</v>
      </c>
      <c r="B4542" s="2" t="s">
        <v>10713</v>
      </c>
      <c r="C4542" s="2" t="s">
        <v>67</v>
      </c>
      <c r="D4542" s="2" t="s">
        <v>18</v>
      </c>
      <c r="E4542" s="5">
        <v>-30473</v>
      </c>
      <c r="F4542" s="3" t="s">
        <v>336</v>
      </c>
      <c r="G4542" s="3" t="s">
        <v>562</v>
      </c>
      <c r="H4542" s="2" t="s">
        <v>21</v>
      </c>
      <c r="I4542" s="2" t="s">
        <v>10715</v>
      </c>
      <c r="J4542" s="3" t="str">
        <f>HYPERLINK("https://www.boe.es/gazeta/dias/1816/07/25/pdfs/GMD-1816-92.pdf#page=16","Abrir facsímil")</f>
        <v>Abrir facsímil</v>
      </c>
      <c r="K4542" s="3" t="s">
        <v>23</v>
      </c>
    </row>
    <row r="4543" spans="1:11" ht="42" customHeight="1">
      <c r="A4543" s="2" t="s">
        <v>10716</v>
      </c>
      <c r="B4543" s="2" t="s">
        <v>10717</v>
      </c>
      <c r="C4543" s="2" t="s">
        <v>111</v>
      </c>
      <c r="D4543" s="2" t="s">
        <v>112</v>
      </c>
      <c r="E4543" s="5">
        <v>-30338</v>
      </c>
      <c r="F4543" s="3" t="s">
        <v>464</v>
      </c>
      <c r="G4543" s="3" t="s">
        <v>28</v>
      </c>
      <c r="H4543" s="2" t="s">
        <v>21</v>
      </c>
      <c r="I4543" s="2" t="s">
        <v>10718</v>
      </c>
      <c r="J4543" s="3" t="str">
        <f>HYPERLINK("https://www.boe.es/gazeta/dias/1816/12/07/pdfs/GMD-1816-152.pdf#page=6","Abrir facsímil")</f>
        <v>Abrir facsímil</v>
      </c>
      <c r="K4543" s="3" t="s">
        <v>23</v>
      </c>
    </row>
    <row r="4544" spans="1:11" ht="42" customHeight="1">
      <c r="A4544" s="2" t="s">
        <v>10719</v>
      </c>
      <c r="B4544" s="2" t="s">
        <v>10720</v>
      </c>
      <c r="C4544" s="2" t="s">
        <v>67</v>
      </c>
      <c r="D4544" s="2" t="s">
        <v>18</v>
      </c>
      <c r="E4544" s="5">
        <v>-30534</v>
      </c>
      <c r="F4544" s="3" t="s">
        <v>274</v>
      </c>
      <c r="G4544" s="3" t="s">
        <v>42</v>
      </c>
      <c r="H4544" s="2" t="s">
        <v>21</v>
      </c>
      <c r="I4544" s="2" t="s">
        <v>10721</v>
      </c>
      <c r="J4544" s="3" t="str">
        <f>HYPERLINK("https://www.boe.es/gazeta/dias/1816/05/25/pdfs/GMD-1816-66.pdf#page=8","Abrir facsímil")</f>
        <v>Abrir facsímil</v>
      </c>
      <c r="K4544" s="3" t="s">
        <v>23</v>
      </c>
    </row>
    <row r="4545" spans="1:11" ht="42" customHeight="1">
      <c r="A4545" s="2" t="s">
        <v>10722</v>
      </c>
      <c r="B4545" s="2" t="s">
        <v>10723</v>
      </c>
      <c r="C4545" s="2" t="s">
        <v>81</v>
      </c>
      <c r="D4545" s="2" t="s">
        <v>18</v>
      </c>
      <c r="E4545" s="5">
        <v>-30545</v>
      </c>
      <c r="F4545" s="3" t="s">
        <v>127</v>
      </c>
      <c r="G4545" s="3" t="s">
        <v>42</v>
      </c>
      <c r="H4545" s="2" t="s">
        <v>21</v>
      </c>
      <c r="I4545" s="2" t="s">
        <v>10724</v>
      </c>
      <c r="J4545" s="3" t="str">
        <f>HYPERLINK("https://www.boe.es/gazeta/dias/1816/05/14/pdfs/GMD-1816-61.pdf#page=8","Abrir facsímil")</f>
        <v>Abrir facsímil</v>
      </c>
      <c r="K4545" s="3" t="s">
        <v>23</v>
      </c>
    </row>
    <row r="4546" spans="1:11" ht="42" customHeight="1">
      <c r="A4546" s="2" t="s">
        <v>10725</v>
      </c>
      <c r="B4546" s="2" t="s">
        <v>10726</v>
      </c>
      <c r="C4546" s="2" t="s">
        <v>34</v>
      </c>
      <c r="D4546" s="2" t="s">
        <v>35</v>
      </c>
      <c r="E4546" s="5">
        <v>-30394</v>
      </c>
      <c r="F4546" s="3" t="s">
        <v>589</v>
      </c>
      <c r="G4546" s="3" t="s">
        <v>42</v>
      </c>
      <c r="H4546" s="2" t="s">
        <v>21</v>
      </c>
      <c r="I4546" s="2" t="s">
        <v>10727</v>
      </c>
      <c r="J4546" s="3" t="str">
        <f>HYPERLINK("https://www.boe.es/gazeta/dias/1816/10/12/pdfs/GMD-1816-127.pdf#page=8","Abrir facsímil")</f>
        <v>Abrir facsímil</v>
      </c>
      <c r="K4546" s="3" t="s">
        <v>23</v>
      </c>
    </row>
    <row r="4547" spans="1:11" ht="42" customHeight="1">
      <c r="A4547" s="2" t="s">
        <v>10728</v>
      </c>
      <c r="B4547" s="2" t="s">
        <v>10729</v>
      </c>
      <c r="C4547" s="2" t="s">
        <v>111</v>
      </c>
      <c r="D4547" s="2" t="s">
        <v>112</v>
      </c>
      <c r="E4547" s="5">
        <v>-30375</v>
      </c>
      <c r="F4547" s="3" t="s">
        <v>404</v>
      </c>
      <c r="G4547" s="3" t="s">
        <v>1276</v>
      </c>
      <c r="H4547" s="2" t="s">
        <v>21</v>
      </c>
      <c r="I4547" s="2" t="s">
        <v>10730</v>
      </c>
      <c r="J4547" s="3" t="str">
        <f>HYPERLINK("https://www.boe.es/gazeta/dias/1816/10/31/pdfs/GMD-1816-136.pdf#page=5","Abrir facsímil")</f>
        <v>Abrir facsímil</v>
      </c>
      <c r="K4547" s="3" t="s">
        <v>23</v>
      </c>
    </row>
    <row r="4548" spans="1:11" ht="42" customHeight="1">
      <c r="A4548" s="2" t="s">
        <v>10731</v>
      </c>
      <c r="B4548" s="2" t="s">
        <v>10732</v>
      </c>
      <c r="C4548" s="2" t="s">
        <v>34</v>
      </c>
      <c r="D4548" s="2" t="s">
        <v>56</v>
      </c>
      <c r="E4548" s="5">
        <v>-30393</v>
      </c>
      <c r="F4548" s="3" t="s">
        <v>202</v>
      </c>
      <c r="G4548" s="3" t="s">
        <v>42</v>
      </c>
      <c r="H4548" s="2" t="s">
        <v>21</v>
      </c>
      <c r="I4548" s="2" t="s">
        <v>10733</v>
      </c>
      <c r="J4548" s="3" t="str">
        <f>HYPERLINK("https://www.boe.es/gazeta/dias/1816/10/13/pdfs/GMD-1816-128E.pdf#page=8","Abrir facsímil")</f>
        <v>Abrir facsímil</v>
      </c>
      <c r="K4548" s="3" t="s">
        <v>23</v>
      </c>
    </row>
    <row r="4549" spans="1:11" ht="42" customHeight="1">
      <c r="A4549" s="2" t="s">
        <v>10734</v>
      </c>
      <c r="B4549" s="2" t="s">
        <v>10734</v>
      </c>
      <c r="C4549" s="2" t="s">
        <v>111</v>
      </c>
      <c r="D4549" s="2" t="s">
        <v>112</v>
      </c>
      <c r="E4549" s="5">
        <v>-30655</v>
      </c>
      <c r="F4549" s="3" t="s">
        <v>170</v>
      </c>
      <c r="G4549" s="3" t="s">
        <v>184</v>
      </c>
      <c r="H4549" s="2" t="s">
        <v>21</v>
      </c>
      <c r="I4549" s="2" t="s">
        <v>10735</v>
      </c>
      <c r="J4549" s="3" t="str">
        <f>HYPERLINK("https://www.boe.es/gazeta/dias/1816/01/25/pdfs/GMD-1816-11.pdf#page=3","Abrir facsímil")</f>
        <v>Abrir facsímil</v>
      </c>
      <c r="K4549" s="3" t="s">
        <v>23</v>
      </c>
    </row>
    <row r="4550" spans="1:11" ht="42" customHeight="1">
      <c r="A4550" s="2" t="s">
        <v>10736</v>
      </c>
      <c r="B4550" s="2" t="s">
        <v>10737</v>
      </c>
      <c r="C4550" s="2" t="s">
        <v>111</v>
      </c>
      <c r="D4550" s="2" t="s">
        <v>112</v>
      </c>
      <c r="E4550" s="5">
        <v>-30387</v>
      </c>
      <c r="F4550" s="3" t="s">
        <v>224</v>
      </c>
      <c r="G4550" s="3" t="s">
        <v>28</v>
      </c>
      <c r="H4550" s="2" t="s">
        <v>21</v>
      </c>
      <c r="I4550" s="2" t="s">
        <v>10738</v>
      </c>
      <c r="J4550" s="3" t="str">
        <f>HYPERLINK("https://www.boe.es/gazeta/dias/1816/10/19/pdfs/GMD-1816-131.pdf#page=6","Abrir facsímil")</f>
        <v>Abrir facsímil</v>
      </c>
      <c r="K4550" s="3" t="s">
        <v>23</v>
      </c>
    </row>
    <row r="4551" spans="1:11" ht="42" customHeight="1">
      <c r="A4551" s="2" t="s">
        <v>10739</v>
      </c>
      <c r="B4551" s="2" t="s">
        <v>10740</v>
      </c>
      <c r="C4551" s="2" t="s">
        <v>26</v>
      </c>
      <c r="D4551" s="2" t="s">
        <v>18</v>
      </c>
      <c r="E4551" s="5">
        <v>-30401</v>
      </c>
      <c r="F4551" s="3" t="s">
        <v>652</v>
      </c>
      <c r="G4551" s="3" t="s">
        <v>47</v>
      </c>
      <c r="H4551" s="2" t="s">
        <v>21</v>
      </c>
      <c r="I4551" s="2" t="s">
        <v>10741</v>
      </c>
      <c r="J4551" s="3" t="str">
        <f>HYPERLINK("https://www.boe.es/gazeta/dias/1816/10/05/pdfs/GMD-1816-123.pdf#page=5","Abrir facsímil")</f>
        <v>Abrir facsímil</v>
      </c>
      <c r="K4551" s="3" t="s">
        <v>23</v>
      </c>
    </row>
    <row r="4552" spans="1:11" ht="42" customHeight="1">
      <c r="A4552" s="2" t="s">
        <v>10742</v>
      </c>
      <c r="B4552" s="2" t="s">
        <v>10742</v>
      </c>
      <c r="C4552" s="2" t="s">
        <v>67</v>
      </c>
      <c r="D4552" s="2" t="s">
        <v>18</v>
      </c>
      <c r="E4552" s="5">
        <v>-30375</v>
      </c>
      <c r="F4552" s="3" t="s">
        <v>404</v>
      </c>
      <c r="G4552" s="3" t="s">
        <v>1278</v>
      </c>
      <c r="H4552" s="2" t="s">
        <v>21</v>
      </c>
      <c r="I4552" s="2" t="s">
        <v>10743</v>
      </c>
      <c r="J4552" s="3" t="str">
        <f>HYPERLINK("https://www.boe.es/gazeta/dias/1816/10/31/pdfs/GMD-1816-136.pdf#page=7","Abrir facsímil")</f>
        <v>Abrir facsímil</v>
      </c>
      <c r="K4552" s="3" t="s">
        <v>23</v>
      </c>
    </row>
    <row r="4553" spans="1:11" ht="42" customHeight="1">
      <c r="A4553" s="2" t="s">
        <v>10744</v>
      </c>
      <c r="B4553" s="2" t="s">
        <v>10745</v>
      </c>
      <c r="C4553" s="2" t="s">
        <v>2803</v>
      </c>
      <c r="D4553" s="2" t="s">
        <v>112</v>
      </c>
      <c r="E4553" s="5">
        <v>-30634</v>
      </c>
      <c r="F4553" s="3" t="s">
        <v>1104</v>
      </c>
      <c r="G4553" s="3" t="s">
        <v>10746</v>
      </c>
      <c r="H4553" s="2" t="s">
        <v>21</v>
      </c>
      <c r="I4553" s="2" t="s">
        <v>10747</v>
      </c>
      <c r="J4553" s="3" t="str">
        <f>HYPERLINK("https://www.boe.es/gazeta/dias/1816/02/15/pdfs/GMD-1816-21.pdf#page=7","Abrir facsímil")</f>
        <v>Abrir facsímil</v>
      </c>
      <c r="K4553" s="3" t="s">
        <v>23</v>
      </c>
    </row>
    <row r="4554" spans="1:11" ht="42" customHeight="1">
      <c r="A4554" s="2" t="s">
        <v>10744</v>
      </c>
      <c r="B4554" s="2" t="s">
        <v>10745</v>
      </c>
      <c r="C4554" s="2" t="s">
        <v>111</v>
      </c>
      <c r="D4554" s="2" t="s">
        <v>56</v>
      </c>
      <c r="E4554" s="5">
        <v>-30622</v>
      </c>
      <c r="F4554" s="3" t="s">
        <v>907</v>
      </c>
      <c r="G4554" s="3" t="s">
        <v>184</v>
      </c>
      <c r="H4554" s="2" t="s">
        <v>21</v>
      </c>
      <c r="I4554" s="2" t="s">
        <v>10748</v>
      </c>
      <c r="J4554" s="3" t="str">
        <f>HYPERLINK("https://www.boe.es/gazeta/dias/1816/02/27/pdfs/GMD-1816-27E.pdf#page=3","Abrir facsímil")</f>
        <v>Abrir facsímil</v>
      </c>
      <c r="K4554" s="3" t="s">
        <v>23</v>
      </c>
    </row>
    <row r="4555" spans="1:11" ht="42" customHeight="1">
      <c r="A4555" s="2" t="s">
        <v>10744</v>
      </c>
      <c r="B4555" s="2" t="s">
        <v>10745</v>
      </c>
      <c r="C4555" s="2" t="s">
        <v>34</v>
      </c>
      <c r="D4555" s="2" t="s">
        <v>35</v>
      </c>
      <c r="E4555" s="5">
        <v>-30415</v>
      </c>
      <c r="F4555" s="3" t="s">
        <v>585</v>
      </c>
      <c r="G4555" s="3" t="s">
        <v>1156</v>
      </c>
      <c r="H4555" s="2" t="s">
        <v>21</v>
      </c>
      <c r="I4555" s="2" t="s">
        <v>10749</v>
      </c>
      <c r="J4555" s="3" t="str">
        <f>HYPERLINK("https://www.boe.es/gazeta/dias/1816/09/21/pdfs/GMD-1816-117.pdf#page=7","Abrir facsímil")</f>
        <v>Abrir facsímil</v>
      </c>
      <c r="K4555" s="3" t="s">
        <v>23</v>
      </c>
    </row>
    <row r="4556" spans="1:11" ht="42" customHeight="1">
      <c r="A4556" s="2" t="s">
        <v>10750</v>
      </c>
      <c r="B4556" s="2" t="s">
        <v>10751</v>
      </c>
      <c r="C4556" s="2" t="s">
        <v>26</v>
      </c>
      <c r="D4556" s="2" t="s">
        <v>18</v>
      </c>
      <c r="E4556" s="5">
        <v>-30559</v>
      </c>
      <c r="F4556" s="3" t="s">
        <v>165</v>
      </c>
      <c r="G4556" s="3" t="s">
        <v>28</v>
      </c>
      <c r="H4556" s="2" t="s">
        <v>21</v>
      </c>
      <c r="I4556" s="2" t="s">
        <v>10752</v>
      </c>
      <c r="J4556" s="3" t="str">
        <f>HYPERLINK("https://www.boe.es/gazeta/dias/1816/04/30/pdfs/GMD-1816-55.pdf#page=6","Abrir facsímil")</f>
        <v>Abrir facsímil</v>
      </c>
      <c r="K4556" s="3" t="s">
        <v>23</v>
      </c>
    </row>
    <row r="4557" spans="1:11" ht="42" customHeight="1">
      <c r="A4557" s="2" t="s">
        <v>10753</v>
      </c>
      <c r="B4557" s="2" t="s">
        <v>10754</v>
      </c>
      <c r="C4557" s="2" t="s">
        <v>111</v>
      </c>
      <c r="D4557" s="2" t="s">
        <v>112</v>
      </c>
      <c r="E4557" s="5">
        <v>-30412</v>
      </c>
      <c r="F4557" s="3" t="s">
        <v>388</v>
      </c>
      <c r="G4557" s="3" t="s">
        <v>42</v>
      </c>
      <c r="H4557" s="2" t="s">
        <v>21</v>
      </c>
      <c r="I4557" s="2" t="s">
        <v>10755</v>
      </c>
      <c r="J4557" s="3" t="str">
        <f>HYPERLINK("https://www.boe.es/gazeta/dias/1816/09/24/pdfs/GMD-1816-118.pdf#page=8","Abrir facsímil")</f>
        <v>Abrir facsímil</v>
      </c>
      <c r="K4557" s="3" t="s">
        <v>23</v>
      </c>
    </row>
    <row r="4558" spans="1:11" ht="42" customHeight="1">
      <c r="A4558" s="2" t="s">
        <v>10756</v>
      </c>
      <c r="B4558" s="2" t="s">
        <v>10757</v>
      </c>
      <c r="C4558" s="2" t="s">
        <v>67</v>
      </c>
      <c r="D4558" s="2" t="s">
        <v>18</v>
      </c>
      <c r="E4558" s="5">
        <v>-30660</v>
      </c>
      <c r="F4558" s="3" t="s">
        <v>809</v>
      </c>
      <c r="G4558" s="3" t="s">
        <v>810</v>
      </c>
      <c r="H4558" s="2" t="s">
        <v>21</v>
      </c>
      <c r="I4558" s="2" t="s">
        <v>10758</v>
      </c>
      <c r="J4558" s="3" t="str">
        <f>HYPERLINK("https://www.boe.es/gazeta/dias/1816/01/20/pdfs/GMD-1816-9.pdf#page=8","Abrir facsímil")</f>
        <v>Abrir facsímil</v>
      </c>
      <c r="K4558" s="3" t="s">
        <v>23</v>
      </c>
    </row>
    <row r="4559" spans="1:11" ht="42" customHeight="1">
      <c r="A4559" s="2" t="s">
        <v>10759</v>
      </c>
      <c r="B4559" s="2" t="s">
        <v>10760</v>
      </c>
      <c r="C4559" s="2" t="s">
        <v>26</v>
      </c>
      <c r="D4559" s="2" t="s">
        <v>18</v>
      </c>
      <c r="E4559" s="5">
        <v>-30335</v>
      </c>
      <c r="F4559" s="3" t="s">
        <v>468</v>
      </c>
      <c r="G4559" s="3" t="s">
        <v>103</v>
      </c>
      <c r="H4559" s="2" t="s">
        <v>21</v>
      </c>
      <c r="I4559" s="2" t="s">
        <v>10761</v>
      </c>
      <c r="J4559" s="3" t="str">
        <f>HYPERLINK("https://www.boe.es/gazeta/dias/1816/12/10/pdfs/GMD-1816-153.pdf#page=4","Abrir facsímil")</f>
        <v>Abrir facsímil</v>
      </c>
      <c r="K4559" s="3" t="s">
        <v>23</v>
      </c>
    </row>
    <row r="4560" spans="1:11" ht="42" customHeight="1">
      <c r="A4560" s="2" t="s">
        <v>10762</v>
      </c>
      <c r="B4560" s="2" t="s">
        <v>10763</v>
      </c>
      <c r="C4560" s="2" t="s">
        <v>34</v>
      </c>
      <c r="D4560" s="2" t="s">
        <v>35</v>
      </c>
      <c r="E4560" s="5">
        <v>-30391</v>
      </c>
      <c r="F4560" s="3" t="s">
        <v>482</v>
      </c>
      <c r="G4560" s="3" t="s">
        <v>28</v>
      </c>
      <c r="H4560" s="2" t="s">
        <v>21</v>
      </c>
      <c r="I4560" s="2" t="s">
        <v>10764</v>
      </c>
      <c r="J4560" s="3" t="str">
        <f>HYPERLINK("https://www.boe.es/gazeta/dias/1816/10/15/pdfs/GMD-1816-129.pdf#page=6","Abrir facsímil")</f>
        <v>Abrir facsímil</v>
      </c>
      <c r="K4560" s="3" t="s">
        <v>23</v>
      </c>
    </row>
    <row r="4561" spans="1:11" ht="42" customHeight="1">
      <c r="A4561" s="2" t="s">
        <v>10765</v>
      </c>
      <c r="B4561" s="2" t="s">
        <v>10766</v>
      </c>
      <c r="C4561" s="2" t="s">
        <v>26</v>
      </c>
      <c r="D4561" s="2" t="s">
        <v>18</v>
      </c>
      <c r="E4561" s="5">
        <v>-30590</v>
      </c>
      <c r="F4561" s="3" t="s">
        <v>195</v>
      </c>
      <c r="G4561" s="3" t="s">
        <v>6226</v>
      </c>
      <c r="H4561" s="2" t="s">
        <v>21</v>
      </c>
      <c r="I4561" s="2" t="s">
        <v>10767</v>
      </c>
      <c r="J4561" s="3" t="str">
        <f>HYPERLINK("https://www.boe.es/gazeta/dias/1816/03/30/pdfs/GMD-1816-42.pdf#page=7","Abrir facsímil")</f>
        <v>Abrir facsímil</v>
      </c>
      <c r="K4561" s="3" t="s">
        <v>23</v>
      </c>
    </row>
    <row r="4562" spans="1:11" ht="42" customHeight="1">
      <c r="A4562" s="2" t="s">
        <v>10768</v>
      </c>
      <c r="B4562" s="2" t="s">
        <v>10769</v>
      </c>
      <c r="C4562" s="2" t="s">
        <v>26</v>
      </c>
      <c r="D4562" s="2" t="s">
        <v>18</v>
      </c>
      <c r="E4562" s="5">
        <v>-30391</v>
      </c>
      <c r="F4562" s="3" t="s">
        <v>482</v>
      </c>
      <c r="G4562" s="3" t="s">
        <v>28</v>
      </c>
      <c r="H4562" s="2" t="s">
        <v>21</v>
      </c>
      <c r="I4562" s="2" t="s">
        <v>10770</v>
      </c>
      <c r="J4562" s="3" t="str">
        <f>HYPERLINK("https://www.boe.es/gazeta/dias/1816/10/15/pdfs/GMD-1816-129.pdf#page=6","Abrir facsímil")</f>
        <v>Abrir facsímil</v>
      </c>
      <c r="K4562" s="3" t="s">
        <v>23</v>
      </c>
    </row>
    <row r="4563" spans="1:11" ht="42" customHeight="1">
      <c r="A4563" s="2" t="s">
        <v>10771</v>
      </c>
      <c r="B4563" s="2" t="s">
        <v>10771</v>
      </c>
      <c r="C4563" s="2" t="s">
        <v>111</v>
      </c>
      <c r="D4563" s="2" t="s">
        <v>112</v>
      </c>
      <c r="E4563" s="5">
        <v>-30576</v>
      </c>
      <c r="F4563" s="3" t="s">
        <v>353</v>
      </c>
      <c r="G4563" s="3" t="s">
        <v>72</v>
      </c>
      <c r="H4563" s="2" t="s">
        <v>21</v>
      </c>
      <c r="I4563" s="2" t="s">
        <v>10772</v>
      </c>
      <c r="J4563" s="3" t="str">
        <f>HYPERLINK("https://www.boe.es/gazeta/dias/1816/04/13/pdfs/GMD-1816-48.pdf#page=7","Abrir facsímil")</f>
        <v>Abrir facsímil</v>
      </c>
      <c r="K4563" s="3" t="s">
        <v>23</v>
      </c>
    </row>
    <row r="4564" spans="1:11" ht="42" customHeight="1">
      <c r="A4564" s="2" t="s">
        <v>10773</v>
      </c>
      <c r="B4564" s="2" t="s">
        <v>10774</v>
      </c>
      <c r="C4564" s="2" t="s">
        <v>26</v>
      </c>
      <c r="D4564" s="2" t="s">
        <v>18</v>
      </c>
      <c r="E4564" s="5">
        <v>-30391</v>
      </c>
      <c r="F4564" s="3" t="s">
        <v>482</v>
      </c>
      <c r="G4564" s="3" t="s">
        <v>72</v>
      </c>
      <c r="H4564" s="2" t="s">
        <v>21</v>
      </c>
      <c r="I4564" s="2" t="s">
        <v>10775</v>
      </c>
      <c r="J4564" s="3" t="str">
        <f>HYPERLINK("https://www.boe.es/gazeta/dias/1816/10/15/pdfs/GMD-1816-129.pdf#page=7","Abrir facsímil")</f>
        <v>Abrir facsímil</v>
      </c>
      <c r="K4564" s="3" t="s">
        <v>23</v>
      </c>
    </row>
    <row r="4565" spans="1:11" ht="42" customHeight="1">
      <c r="A4565" s="2" t="s">
        <v>10776</v>
      </c>
      <c r="B4565" s="2" t="s">
        <v>10777</v>
      </c>
      <c r="C4565" s="2" t="s">
        <v>111</v>
      </c>
      <c r="D4565" s="2" t="s">
        <v>112</v>
      </c>
      <c r="E4565" s="5">
        <v>-30410</v>
      </c>
      <c r="F4565" s="3" t="s">
        <v>1259</v>
      </c>
      <c r="G4565" s="3" t="s">
        <v>175</v>
      </c>
      <c r="H4565" s="2" t="s">
        <v>21</v>
      </c>
      <c r="I4565" s="2" t="s">
        <v>10778</v>
      </c>
      <c r="J4565" s="3" t="str">
        <f>HYPERLINK("https://www.boe.es/gazeta/dias/1816/09/26/pdfs/GMD-1816-119.pdf#page=11","Abrir facsímil")</f>
        <v>Abrir facsímil</v>
      </c>
      <c r="K4565" s="3" t="s">
        <v>23</v>
      </c>
    </row>
    <row r="4566" spans="1:11" ht="42" customHeight="1">
      <c r="A4566" s="2" t="s">
        <v>10779</v>
      </c>
      <c r="B4566" s="2" t="s">
        <v>10780</v>
      </c>
      <c r="C4566" s="2" t="s">
        <v>111</v>
      </c>
      <c r="D4566" s="2" t="s">
        <v>112</v>
      </c>
      <c r="E4566" s="5">
        <v>-30410</v>
      </c>
      <c r="F4566" s="3" t="s">
        <v>1259</v>
      </c>
      <c r="G4566" s="3" t="s">
        <v>175</v>
      </c>
      <c r="H4566" s="2" t="s">
        <v>21</v>
      </c>
      <c r="I4566" s="2" t="s">
        <v>10781</v>
      </c>
      <c r="J4566" s="3" t="str">
        <f>HYPERLINK("https://www.boe.es/gazeta/dias/1816/09/26/pdfs/GMD-1816-119.pdf#page=11","Abrir facsímil")</f>
        <v>Abrir facsímil</v>
      </c>
      <c r="K4566" s="3" t="s">
        <v>23</v>
      </c>
    </row>
    <row r="4567" spans="1:11" ht="42" customHeight="1">
      <c r="A4567" s="2" t="s">
        <v>10782</v>
      </c>
      <c r="B4567" s="2" t="s">
        <v>10783</v>
      </c>
      <c r="C4567" s="2" t="s">
        <v>111</v>
      </c>
      <c r="D4567" s="2" t="s">
        <v>112</v>
      </c>
      <c r="E4567" s="5">
        <v>-30541</v>
      </c>
      <c r="F4567" s="3" t="s">
        <v>96</v>
      </c>
      <c r="G4567" s="3" t="s">
        <v>42</v>
      </c>
      <c r="H4567" s="2" t="s">
        <v>21</v>
      </c>
      <c r="I4567" s="2" t="s">
        <v>10784</v>
      </c>
      <c r="J4567" s="3" t="str">
        <f>HYPERLINK("https://www.boe.es/gazeta/dias/1816/05/18/pdfs/GMD-1816-63.pdf#page=8","Abrir facsímil")</f>
        <v>Abrir facsímil</v>
      </c>
      <c r="K4567" s="3" t="s">
        <v>23</v>
      </c>
    </row>
    <row r="4568" spans="1:11" ht="42" customHeight="1">
      <c r="A4568" s="2" t="s">
        <v>10782</v>
      </c>
      <c r="B4568" s="2" t="s">
        <v>10783</v>
      </c>
      <c r="C4568" s="2" t="s">
        <v>111</v>
      </c>
      <c r="D4568" s="2" t="s">
        <v>112</v>
      </c>
      <c r="E4568" s="5">
        <v>-30396</v>
      </c>
      <c r="F4568" s="3" t="s">
        <v>1623</v>
      </c>
      <c r="G4568" s="3" t="s">
        <v>52</v>
      </c>
      <c r="H4568" s="2" t="s">
        <v>21</v>
      </c>
      <c r="I4568" s="2" t="s">
        <v>10785</v>
      </c>
      <c r="J4568" s="3" t="str">
        <f>HYPERLINK("https://www.boe.es/gazeta/dias/1816/10/10/pdfs/GMD-1816-126.pdf#page=12","Abrir facsímil")</f>
        <v>Abrir facsímil</v>
      </c>
      <c r="K4568" s="3" t="s">
        <v>23</v>
      </c>
    </row>
    <row r="4569" spans="1:11" ht="42" customHeight="1">
      <c r="A4569" s="2" t="s">
        <v>10786</v>
      </c>
      <c r="B4569" s="2" t="s">
        <v>10786</v>
      </c>
      <c r="C4569" s="2" t="s">
        <v>26</v>
      </c>
      <c r="D4569" s="2" t="s">
        <v>18</v>
      </c>
      <c r="E4569" s="5">
        <v>-30557</v>
      </c>
      <c r="F4569" s="3" t="s">
        <v>508</v>
      </c>
      <c r="G4569" s="3" t="s">
        <v>103</v>
      </c>
      <c r="H4569" s="2" t="s">
        <v>21</v>
      </c>
      <c r="I4569" s="2" t="s">
        <v>10787</v>
      </c>
      <c r="J4569" s="3" t="str">
        <f>HYPERLINK("https://www.boe.es/gazeta/dias/1816/05/02/pdfs/GMD-1816-56.pdf#page=4","Abrir facsímil")</f>
        <v>Abrir facsímil</v>
      </c>
      <c r="K4569" s="3" t="s">
        <v>23</v>
      </c>
    </row>
    <row r="4570" spans="1:11" ht="42" customHeight="1">
      <c r="A4570" s="2" t="s">
        <v>10788</v>
      </c>
      <c r="B4570" s="2" t="s">
        <v>10789</v>
      </c>
      <c r="C4570" s="2" t="s">
        <v>34</v>
      </c>
      <c r="D4570" s="2" t="s">
        <v>35</v>
      </c>
      <c r="E4570" s="5">
        <v>-30417</v>
      </c>
      <c r="F4570" s="3" t="s">
        <v>62</v>
      </c>
      <c r="G4570" s="3" t="s">
        <v>63</v>
      </c>
      <c r="H4570" s="2" t="s">
        <v>21</v>
      </c>
      <c r="I4570" s="2" t="s">
        <v>10790</v>
      </c>
      <c r="J4570" s="3" t="str">
        <f>HYPERLINK("https://www.boe.es/gazeta/dias/1816/09/19/pdfs/GMD-1816-116.pdf#page=8","Abrir facsímil")</f>
        <v>Abrir facsímil</v>
      </c>
      <c r="K4570" s="3" t="s">
        <v>23</v>
      </c>
    </row>
    <row r="4571" spans="1:11" ht="42" customHeight="1">
      <c r="A4571" s="2" t="s">
        <v>10791</v>
      </c>
      <c r="B4571" s="2" t="s">
        <v>10792</v>
      </c>
      <c r="C4571" s="2" t="s">
        <v>26</v>
      </c>
      <c r="D4571" s="2" t="s">
        <v>18</v>
      </c>
      <c r="E4571" s="5">
        <v>-30447</v>
      </c>
      <c r="F4571" s="3" t="s">
        <v>151</v>
      </c>
      <c r="G4571" s="3" t="s">
        <v>47</v>
      </c>
      <c r="H4571" s="2" t="s">
        <v>29</v>
      </c>
      <c r="I4571" s="2" t="s">
        <v>10793</v>
      </c>
      <c r="J4571" s="3" t="str">
        <f>HYPERLINK("https://www.boe.es/gazeta/dias/1816/08/20/pdfs/GMD-1816-103.pdf#page=5","Abrir facsímil")</f>
        <v>Abrir facsímil</v>
      </c>
      <c r="K4571" s="3" t="s">
        <v>31</v>
      </c>
    </row>
    <row r="4572" spans="1:11" ht="42" customHeight="1">
      <c r="A4572" s="2" t="s">
        <v>10794</v>
      </c>
      <c r="B4572" s="2" t="s">
        <v>10794</v>
      </c>
      <c r="C4572" s="2" t="s">
        <v>34</v>
      </c>
      <c r="D4572" s="2" t="s">
        <v>35</v>
      </c>
      <c r="E4572" s="5">
        <v>-30319</v>
      </c>
      <c r="F4572" s="3" t="s">
        <v>131</v>
      </c>
      <c r="G4572" s="3" t="s">
        <v>184</v>
      </c>
      <c r="H4572" s="2" t="s">
        <v>21</v>
      </c>
      <c r="I4572" s="2" t="s">
        <v>10795</v>
      </c>
      <c r="J4572" s="3" t="str">
        <f>HYPERLINK("https://www.boe.es/gazeta/dias/1816/12/26/pdfs/GMD-1816-160.pdf#page=3","Abrir facsímil")</f>
        <v>Abrir facsímil</v>
      </c>
      <c r="K4572" s="3" t="s">
        <v>23</v>
      </c>
    </row>
    <row r="4573" spans="1:11" ht="42" customHeight="1">
      <c r="A4573" s="2" t="s">
        <v>10796</v>
      </c>
      <c r="B4573" s="2" t="s">
        <v>10796</v>
      </c>
      <c r="C4573" s="2" t="s">
        <v>26</v>
      </c>
      <c r="D4573" s="2" t="s">
        <v>18</v>
      </c>
      <c r="E4573" s="5">
        <v>-30447</v>
      </c>
      <c r="F4573" s="3" t="s">
        <v>151</v>
      </c>
      <c r="G4573" s="3" t="s">
        <v>47</v>
      </c>
      <c r="H4573" s="2" t="s">
        <v>21</v>
      </c>
      <c r="I4573" s="2" t="s">
        <v>10797</v>
      </c>
      <c r="J4573" s="3" t="str">
        <f>HYPERLINK("https://www.boe.es/gazeta/dias/1816/08/20/pdfs/GMD-1816-103.pdf#page=5","Abrir facsímil")</f>
        <v>Abrir facsímil</v>
      </c>
      <c r="K4573" s="3" t="s">
        <v>23</v>
      </c>
    </row>
    <row r="4574" spans="1:11" ht="42" customHeight="1">
      <c r="A4574" s="2" t="s">
        <v>10798</v>
      </c>
      <c r="B4574" s="2" t="s">
        <v>10799</v>
      </c>
      <c r="C4574" s="2" t="s">
        <v>26</v>
      </c>
      <c r="D4574" s="2" t="s">
        <v>56</v>
      </c>
      <c r="E4574" s="5">
        <v>-30393</v>
      </c>
      <c r="F4574" s="3" t="s">
        <v>202</v>
      </c>
      <c r="G4574" s="3" t="s">
        <v>47</v>
      </c>
      <c r="H4574" s="2" t="s">
        <v>21</v>
      </c>
      <c r="I4574" s="2" t="s">
        <v>10800</v>
      </c>
      <c r="J4574" s="3" t="str">
        <f>HYPERLINK("https://www.boe.es/gazeta/dias/1816/10/13/pdfs/GMD-1816-128E.pdf#page=5","Abrir facsímil")</f>
        <v>Abrir facsímil</v>
      </c>
      <c r="K4574" s="3" t="s">
        <v>23</v>
      </c>
    </row>
    <row r="4575" spans="1:11" ht="42" customHeight="1">
      <c r="A4575" s="2" t="s">
        <v>10801</v>
      </c>
      <c r="B4575" s="2" t="s">
        <v>10801</v>
      </c>
      <c r="C4575" s="2" t="s">
        <v>34</v>
      </c>
      <c r="D4575" s="2" t="s">
        <v>35</v>
      </c>
      <c r="E4575" s="5">
        <v>-30676</v>
      </c>
      <c r="F4575" s="3" t="s">
        <v>1932</v>
      </c>
      <c r="G4575" s="3" t="s">
        <v>270</v>
      </c>
      <c r="H4575" s="2" t="s">
        <v>21</v>
      </c>
      <c r="I4575" s="2" t="s">
        <v>10802</v>
      </c>
      <c r="J4575" s="3" t="str">
        <f>HYPERLINK("https://www.boe.es/gazeta/dias/1816/01/04/pdfs/GMD-1816-2.pdf#page=2","Abrir facsímil")</f>
        <v>Abrir facsímil</v>
      </c>
      <c r="K4575" s="3" t="s">
        <v>23</v>
      </c>
    </row>
    <row r="4576" spans="1:11" ht="42" customHeight="1">
      <c r="A4576" s="2" t="s">
        <v>10803</v>
      </c>
      <c r="B4576" s="2" t="s">
        <v>10804</v>
      </c>
      <c r="C4576" s="2" t="s">
        <v>26</v>
      </c>
      <c r="D4576" s="2" t="s">
        <v>18</v>
      </c>
      <c r="E4576" s="5">
        <v>-30494</v>
      </c>
      <c r="F4576" s="3" t="s">
        <v>174</v>
      </c>
      <c r="G4576" s="3" t="s">
        <v>270</v>
      </c>
      <c r="H4576" s="2" t="s">
        <v>21</v>
      </c>
      <c r="I4576" s="2" t="s">
        <v>10805</v>
      </c>
      <c r="J4576" s="3" t="str">
        <f>HYPERLINK("https://www.boe.es/gazeta/dias/1816/07/04/pdfs/GMD-1816-83.pdf#page=2","Abrir facsímil")</f>
        <v>Abrir facsímil</v>
      </c>
      <c r="K4576" s="3" t="s">
        <v>23</v>
      </c>
    </row>
    <row r="4577" spans="1:11" ht="42" customHeight="1">
      <c r="A4577" s="2" t="s">
        <v>10806</v>
      </c>
      <c r="B4577" s="2" t="s">
        <v>10807</v>
      </c>
      <c r="C4577" s="2" t="s">
        <v>111</v>
      </c>
      <c r="D4577" s="2" t="s">
        <v>112</v>
      </c>
      <c r="E4577" s="5">
        <v>-30431</v>
      </c>
      <c r="F4577" s="3" t="s">
        <v>756</v>
      </c>
      <c r="G4577" s="3" t="s">
        <v>72</v>
      </c>
      <c r="H4577" s="2" t="s">
        <v>21</v>
      </c>
      <c r="I4577" s="2" t="s">
        <v>10808</v>
      </c>
      <c r="J4577" s="3" t="str">
        <f>HYPERLINK("https://www.boe.es/gazeta/dias/1816/09/05/pdfs/GMD-1816-110.pdf#page=7","Abrir facsímil")</f>
        <v>Abrir facsímil</v>
      </c>
      <c r="K4577" s="3" t="s">
        <v>23</v>
      </c>
    </row>
    <row r="4578" spans="1:11" ht="42" customHeight="1">
      <c r="A4578" s="2" t="s">
        <v>10809</v>
      </c>
      <c r="B4578" s="2" t="s">
        <v>10809</v>
      </c>
      <c r="C4578" s="2" t="s">
        <v>111</v>
      </c>
      <c r="D4578" s="2" t="s">
        <v>112</v>
      </c>
      <c r="E4578" s="5">
        <v>-30499</v>
      </c>
      <c r="F4578" s="3" t="s">
        <v>971</v>
      </c>
      <c r="G4578" s="3" t="s">
        <v>2505</v>
      </c>
      <c r="H4578" s="2" t="s">
        <v>21</v>
      </c>
      <c r="I4578" s="2" t="s">
        <v>10810</v>
      </c>
      <c r="J4578" s="3" t="str">
        <f>HYPERLINK("https://www.boe.es/gazeta/dias/1816/06/29/pdfs/GMD-1816-81.pdf#page=4","Abrir facsímil")</f>
        <v>Abrir facsímil</v>
      </c>
      <c r="K4578" s="3" t="s">
        <v>23</v>
      </c>
    </row>
    <row r="4579" spans="1:11" ht="42" customHeight="1">
      <c r="A4579" s="2" t="s">
        <v>10811</v>
      </c>
      <c r="B4579" s="2" t="s">
        <v>10811</v>
      </c>
      <c r="C4579" s="2" t="s">
        <v>26</v>
      </c>
      <c r="D4579" s="2" t="s">
        <v>18</v>
      </c>
      <c r="E4579" s="5">
        <v>-30368</v>
      </c>
      <c r="F4579" s="3" t="s">
        <v>531</v>
      </c>
      <c r="G4579" s="3" t="s">
        <v>7840</v>
      </c>
      <c r="H4579" s="2" t="s">
        <v>21</v>
      </c>
      <c r="I4579" s="2" t="s">
        <v>10812</v>
      </c>
      <c r="J4579" s="3" t="str">
        <f>HYPERLINK("https://www.boe.es/gazeta/dias/1816/11/07/pdfs/GMD-1816-139.pdf#page=5","Abrir facsímil")</f>
        <v>Abrir facsímil</v>
      </c>
      <c r="K4579" s="3" t="s">
        <v>23</v>
      </c>
    </row>
    <row r="4580" spans="1:11" ht="42" customHeight="1">
      <c r="A4580" s="2" t="s">
        <v>10813</v>
      </c>
      <c r="B4580" s="2" t="s">
        <v>10814</v>
      </c>
      <c r="C4580" s="2" t="s">
        <v>34</v>
      </c>
      <c r="D4580" s="2" t="s">
        <v>35</v>
      </c>
      <c r="E4580" s="5">
        <v>-30347</v>
      </c>
      <c r="F4580" s="3" t="s">
        <v>2994</v>
      </c>
      <c r="G4580" s="3" t="s">
        <v>28</v>
      </c>
      <c r="H4580" s="2" t="s">
        <v>21</v>
      </c>
      <c r="I4580" s="2" t="s">
        <v>10815</v>
      </c>
      <c r="J4580" s="3" t="str">
        <f>HYPERLINK("https://www.boe.es/gazeta/dias/1816/11/28/pdfs/GMD-1816-148.pdf#page=6","Abrir facsímil")</f>
        <v>Abrir facsímil</v>
      </c>
      <c r="K4580" s="3" t="s">
        <v>23</v>
      </c>
    </row>
    <row r="4581" spans="1:11" ht="42" customHeight="1">
      <c r="A4581" s="2" t="s">
        <v>10816</v>
      </c>
      <c r="B4581" s="2" t="s">
        <v>10817</v>
      </c>
      <c r="C4581" s="2" t="s">
        <v>26</v>
      </c>
      <c r="D4581" s="2" t="s">
        <v>18</v>
      </c>
      <c r="E4581" s="5">
        <v>-30592</v>
      </c>
      <c r="F4581" s="3" t="s">
        <v>236</v>
      </c>
      <c r="G4581" s="3" t="s">
        <v>42</v>
      </c>
      <c r="H4581" s="2" t="s">
        <v>21</v>
      </c>
      <c r="I4581" s="2" t="s">
        <v>10818</v>
      </c>
      <c r="J4581" s="3" t="str">
        <f>HYPERLINK("https://www.boe.es/gazeta/dias/1816/03/28/pdfs/GMD-1816-41.pdf#page=8","Abrir facsímil")</f>
        <v>Abrir facsímil</v>
      </c>
      <c r="K4581" s="3" t="s">
        <v>23</v>
      </c>
    </row>
    <row r="4582" spans="1:11" ht="42" customHeight="1">
      <c r="A4582" s="2" t="s">
        <v>10816</v>
      </c>
      <c r="B4582" s="2" t="s">
        <v>10817</v>
      </c>
      <c r="C4582" s="2" t="s">
        <v>26</v>
      </c>
      <c r="D4582" s="2" t="s">
        <v>18</v>
      </c>
      <c r="E4582" s="5">
        <v>-30580</v>
      </c>
      <c r="F4582" s="3" t="s">
        <v>107</v>
      </c>
      <c r="G4582" s="3" t="s">
        <v>72</v>
      </c>
      <c r="H4582" s="2" t="s">
        <v>21</v>
      </c>
      <c r="I4582" s="2" t="s">
        <v>10819</v>
      </c>
      <c r="J4582" s="3" t="str">
        <f>HYPERLINK("https://www.boe.es/gazeta/dias/1816/04/09/pdfs/GMD-1816-46.pdf#page=7","Abrir facsímil")</f>
        <v>Abrir facsímil</v>
      </c>
      <c r="K4582" s="3" t="s">
        <v>23</v>
      </c>
    </row>
    <row r="4583" spans="1:11" ht="42" customHeight="1">
      <c r="A4583" s="2" t="s">
        <v>10820</v>
      </c>
      <c r="B4583" s="2" t="s">
        <v>10820</v>
      </c>
      <c r="C4583" s="2" t="s">
        <v>387</v>
      </c>
      <c r="D4583" s="2" t="s">
        <v>18</v>
      </c>
      <c r="E4583" s="5">
        <v>-30347</v>
      </c>
      <c r="F4583" s="3" t="s">
        <v>2994</v>
      </c>
      <c r="G4583" s="3" t="s">
        <v>58</v>
      </c>
      <c r="H4583" s="2" t="s">
        <v>21</v>
      </c>
      <c r="I4583" s="2" t="s">
        <v>10821</v>
      </c>
      <c r="J4583" s="3" t="str">
        <f>HYPERLINK("https://www.boe.es/gazeta/dias/1816/11/28/pdfs/GMD-1816-148.pdf#page=1","Abrir facsímil")</f>
        <v>Abrir facsímil</v>
      </c>
      <c r="K4583" s="3" t="s">
        <v>23</v>
      </c>
    </row>
    <row r="4584" spans="1:11" ht="42" customHeight="1">
      <c r="A4584" s="2" t="s">
        <v>10822</v>
      </c>
      <c r="B4584" s="2" t="s">
        <v>10822</v>
      </c>
      <c r="C4584" s="2" t="s">
        <v>111</v>
      </c>
      <c r="D4584" s="2" t="s">
        <v>112</v>
      </c>
      <c r="E4584" s="5">
        <v>-30471</v>
      </c>
      <c r="F4584" s="3" t="s">
        <v>639</v>
      </c>
      <c r="G4584" s="3" t="s">
        <v>42</v>
      </c>
      <c r="H4584" s="2" t="s">
        <v>21</v>
      </c>
      <c r="I4584" s="2" t="s">
        <v>10823</v>
      </c>
      <c r="J4584" s="3" t="str">
        <f>HYPERLINK("https://www.boe.es/gazeta/dias/1816/07/27/pdfs/GMD-1816-93.pdf#page=8","Abrir facsímil")</f>
        <v>Abrir facsímil</v>
      </c>
      <c r="K4584" s="3" t="s">
        <v>23</v>
      </c>
    </row>
    <row r="4585" spans="1:11" ht="42" customHeight="1">
      <c r="A4585" s="2" t="s">
        <v>10822</v>
      </c>
      <c r="B4585" s="2" t="s">
        <v>10822</v>
      </c>
      <c r="C4585" s="2" t="s">
        <v>41</v>
      </c>
      <c r="D4585" s="2" t="s">
        <v>18</v>
      </c>
      <c r="E4585" s="5">
        <v>-30387</v>
      </c>
      <c r="F4585" s="3" t="s">
        <v>224</v>
      </c>
      <c r="G4585" s="3" t="s">
        <v>28</v>
      </c>
      <c r="H4585" s="2" t="s">
        <v>21</v>
      </c>
      <c r="I4585" s="2" t="s">
        <v>10824</v>
      </c>
      <c r="J4585" s="3" t="str">
        <f>HYPERLINK("https://www.boe.es/gazeta/dias/1816/10/19/pdfs/GMD-1816-131.pdf#page=6","Abrir facsímil")</f>
        <v>Abrir facsímil</v>
      </c>
      <c r="K4585" s="3" t="s">
        <v>23</v>
      </c>
    </row>
    <row r="4586" spans="1:11" ht="42" customHeight="1">
      <c r="A4586" s="2" t="s">
        <v>10825</v>
      </c>
      <c r="B4586" s="2" t="s">
        <v>10826</v>
      </c>
      <c r="C4586" s="2" t="s">
        <v>111</v>
      </c>
      <c r="D4586" s="2" t="s">
        <v>112</v>
      </c>
      <c r="E4586" s="5">
        <v>-30380</v>
      </c>
      <c r="F4586" s="3" t="s">
        <v>819</v>
      </c>
      <c r="G4586" s="3" t="s">
        <v>47</v>
      </c>
      <c r="H4586" s="2" t="s">
        <v>21</v>
      </c>
      <c r="I4586" s="2" t="s">
        <v>10827</v>
      </c>
      <c r="J4586" s="3" t="str">
        <f>HYPERLINK("https://www.boe.es/gazeta/dias/1816/10/26/pdfs/GMD-1816-134.pdf#page=5","Abrir facsímil")</f>
        <v>Abrir facsímil</v>
      </c>
      <c r="K4586" s="3" t="s">
        <v>23</v>
      </c>
    </row>
    <row r="4587" spans="1:11" ht="42" customHeight="1">
      <c r="A4587" s="2" t="s">
        <v>10828</v>
      </c>
      <c r="B4587" s="2" t="s">
        <v>10829</v>
      </c>
      <c r="C4587" s="2" t="s">
        <v>26</v>
      </c>
      <c r="D4587" s="2" t="s">
        <v>18</v>
      </c>
      <c r="E4587" s="5">
        <v>-30501</v>
      </c>
      <c r="F4587" s="3" t="s">
        <v>475</v>
      </c>
      <c r="G4587" s="3" t="s">
        <v>28</v>
      </c>
      <c r="H4587" s="2" t="s">
        <v>21</v>
      </c>
      <c r="I4587" s="2" t="s">
        <v>10830</v>
      </c>
      <c r="J4587" s="3" t="str">
        <f>HYPERLINK("https://www.boe.es/gazeta/dias/1816/06/27/pdfs/GMD-1816-80.pdf#page=6","Abrir facsímil")</f>
        <v>Abrir facsímil</v>
      </c>
      <c r="K4587" s="3" t="s">
        <v>23</v>
      </c>
    </row>
    <row r="4588" spans="1:11" ht="42" customHeight="1">
      <c r="A4588" s="2" t="s">
        <v>10831</v>
      </c>
      <c r="B4588" s="2" t="s">
        <v>10832</v>
      </c>
      <c r="C4588" s="2" t="s">
        <v>111</v>
      </c>
      <c r="D4588" s="2" t="s">
        <v>112</v>
      </c>
      <c r="E4588" s="5">
        <v>-30389</v>
      </c>
      <c r="F4588" s="3" t="s">
        <v>522</v>
      </c>
      <c r="G4588" s="3" t="s">
        <v>47</v>
      </c>
      <c r="H4588" s="2" t="s">
        <v>21</v>
      </c>
      <c r="I4588" s="2" t="s">
        <v>10833</v>
      </c>
      <c r="J4588" s="3" t="str">
        <f>HYPERLINK("https://www.boe.es/gazeta/dias/1816/10/17/pdfs/GMD-1816-130.pdf#page=5","Abrir facsímil")</f>
        <v>Abrir facsímil</v>
      </c>
      <c r="K4588" s="3" t="s">
        <v>23</v>
      </c>
    </row>
    <row r="4589" spans="1:11" ht="42" customHeight="1">
      <c r="A4589" s="2" t="s">
        <v>10834</v>
      </c>
      <c r="B4589" s="2" t="s">
        <v>10835</v>
      </c>
      <c r="C4589" s="2" t="s">
        <v>67</v>
      </c>
      <c r="D4589" s="2" t="s">
        <v>18</v>
      </c>
      <c r="E4589" s="5">
        <v>-30590</v>
      </c>
      <c r="F4589" s="3" t="s">
        <v>195</v>
      </c>
      <c r="G4589" s="3" t="s">
        <v>103</v>
      </c>
      <c r="H4589" s="2" t="s">
        <v>21</v>
      </c>
      <c r="I4589" s="2" t="s">
        <v>10836</v>
      </c>
      <c r="J4589" s="3" t="str">
        <f>HYPERLINK("https://www.boe.es/gazeta/dias/1816/03/30/pdfs/GMD-1816-42.pdf#page=4","Abrir facsímil")</f>
        <v>Abrir facsímil</v>
      </c>
      <c r="K4589" s="3" t="s">
        <v>23</v>
      </c>
    </row>
    <row r="4590" spans="1:11" ht="42" customHeight="1">
      <c r="A4590" s="2" t="s">
        <v>10837</v>
      </c>
      <c r="B4590" s="2" t="s">
        <v>10838</v>
      </c>
      <c r="C4590" s="2" t="s">
        <v>34</v>
      </c>
      <c r="D4590" s="2" t="s">
        <v>56</v>
      </c>
      <c r="E4590" s="5">
        <v>-30399</v>
      </c>
      <c r="F4590" s="3" t="s">
        <v>57</v>
      </c>
      <c r="G4590" s="3" t="s">
        <v>92</v>
      </c>
      <c r="H4590" s="2" t="s">
        <v>21</v>
      </c>
      <c r="I4590" s="2" t="s">
        <v>10839</v>
      </c>
      <c r="J4590" s="3" t="str">
        <f>HYPERLINK("https://www.boe.es/gazeta/dias/1816/10/07/pdfs/GMD-1816-124E.pdf#page=9","Abrir facsímil")</f>
        <v>Abrir facsímil</v>
      </c>
      <c r="K4590" s="3" t="s">
        <v>23</v>
      </c>
    </row>
    <row r="4591" spans="1:11" ht="42" customHeight="1">
      <c r="A4591" s="2" t="s">
        <v>10840</v>
      </c>
      <c r="B4591" s="2" t="s">
        <v>10841</v>
      </c>
      <c r="C4591" s="2" t="s">
        <v>34</v>
      </c>
      <c r="D4591" s="2" t="s">
        <v>35</v>
      </c>
      <c r="E4591" s="5">
        <v>-30398</v>
      </c>
      <c r="F4591" s="3" t="s">
        <v>447</v>
      </c>
      <c r="G4591" s="3" t="s">
        <v>42</v>
      </c>
      <c r="H4591" s="2" t="s">
        <v>21</v>
      </c>
      <c r="I4591" s="2" t="s">
        <v>10842</v>
      </c>
      <c r="J4591" s="3" t="str">
        <f>HYPERLINK("https://www.boe.es/gazeta/dias/1816/10/08/pdfs/GMD-1816-125.pdf#page=8","Abrir facsímil")</f>
        <v>Abrir facsímil</v>
      </c>
      <c r="K4591" s="3" t="s">
        <v>23</v>
      </c>
    </row>
    <row r="4592" spans="1:11" ht="42" customHeight="1">
      <c r="A4592" s="2" t="s">
        <v>10843</v>
      </c>
      <c r="B4592" s="2" t="s">
        <v>10844</v>
      </c>
      <c r="C4592" s="2" t="s">
        <v>26</v>
      </c>
      <c r="D4592" s="2" t="s">
        <v>18</v>
      </c>
      <c r="E4592" s="5">
        <v>-30436</v>
      </c>
      <c r="F4592" s="3" t="s">
        <v>102</v>
      </c>
      <c r="G4592" s="3" t="s">
        <v>184</v>
      </c>
      <c r="H4592" s="2" t="s">
        <v>21</v>
      </c>
      <c r="I4592" s="2" t="s">
        <v>10845</v>
      </c>
      <c r="J4592" s="3" t="str">
        <f>HYPERLINK("https://www.boe.es/gazeta/dias/1816/08/31/pdfs/GMD-1816-108.pdf#page=3","Abrir facsímil")</f>
        <v>Abrir facsímil</v>
      </c>
      <c r="K4592" s="3" t="s">
        <v>23</v>
      </c>
    </row>
    <row r="4593" spans="1:11" ht="42" customHeight="1">
      <c r="A4593" s="2" t="s">
        <v>10846</v>
      </c>
      <c r="B4593" s="2" t="s">
        <v>10847</v>
      </c>
      <c r="C4593" s="2" t="s">
        <v>34</v>
      </c>
      <c r="D4593" s="2" t="s">
        <v>56</v>
      </c>
      <c r="E4593" s="5">
        <v>-30399</v>
      </c>
      <c r="F4593" s="3" t="s">
        <v>57</v>
      </c>
      <c r="G4593" s="3" t="s">
        <v>72</v>
      </c>
      <c r="H4593" s="2" t="s">
        <v>21</v>
      </c>
      <c r="I4593" s="2" t="s">
        <v>10848</v>
      </c>
      <c r="J4593" s="3" t="str">
        <f>HYPERLINK("https://www.boe.es/gazeta/dias/1816/10/07/pdfs/GMD-1816-124E.pdf#page=7","Abrir facsímil")</f>
        <v>Abrir facsímil</v>
      </c>
      <c r="K4593" s="3" t="s">
        <v>23</v>
      </c>
    </row>
    <row r="4594" spans="1:11" ht="42" customHeight="1">
      <c r="A4594" s="2" t="s">
        <v>10849</v>
      </c>
      <c r="B4594" s="2" t="s">
        <v>10850</v>
      </c>
      <c r="C4594" s="2" t="s">
        <v>41</v>
      </c>
      <c r="D4594" s="2" t="s">
        <v>18</v>
      </c>
      <c r="E4594" s="5">
        <v>-30639</v>
      </c>
      <c r="F4594" s="3" t="s">
        <v>87</v>
      </c>
      <c r="G4594" s="3" t="s">
        <v>42</v>
      </c>
      <c r="H4594" s="2" t="s">
        <v>21</v>
      </c>
      <c r="I4594" s="2" t="s">
        <v>10851</v>
      </c>
      <c r="J4594" s="3" t="str">
        <f>HYPERLINK("https://www.boe.es/gazeta/dias/1816/02/10/pdfs/GMD-1816-19.pdf#page=8","Abrir facsímil")</f>
        <v>Abrir facsímil</v>
      </c>
      <c r="K4594" s="3" t="s">
        <v>23</v>
      </c>
    </row>
    <row r="4595" spans="1:11" ht="42" customHeight="1">
      <c r="A4595" s="2" t="s">
        <v>10852</v>
      </c>
      <c r="B4595" s="2" t="s">
        <v>10852</v>
      </c>
      <c r="C4595" s="2" t="s">
        <v>34</v>
      </c>
      <c r="D4595" s="2" t="s">
        <v>35</v>
      </c>
      <c r="E4595" s="5">
        <v>-30643</v>
      </c>
      <c r="F4595" s="3" t="s">
        <v>620</v>
      </c>
      <c r="G4595" s="3" t="s">
        <v>58</v>
      </c>
      <c r="H4595" s="2" t="s">
        <v>21</v>
      </c>
      <c r="I4595" s="2" t="s">
        <v>10853</v>
      </c>
      <c r="J4595" s="3" t="str">
        <f>HYPERLINK("https://www.boe.es/gazeta/dias/1816/02/06/pdfs/GMD-1816-17.pdf#page=1","Abrir facsímil")</f>
        <v>Abrir facsímil</v>
      </c>
      <c r="K4595" s="3" t="s">
        <v>23</v>
      </c>
    </row>
    <row r="4596" spans="1:11" ht="42" customHeight="1">
      <c r="A4596" s="2" t="s">
        <v>10854</v>
      </c>
      <c r="B4596" s="2" t="s">
        <v>10855</v>
      </c>
      <c r="C4596" s="2" t="s">
        <v>111</v>
      </c>
      <c r="D4596" s="2" t="s">
        <v>112</v>
      </c>
      <c r="E4596" s="5">
        <v>-30646</v>
      </c>
      <c r="F4596" s="3" t="s">
        <v>615</v>
      </c>
      <c r="G4596" s="3" t="s">
        <v>58</v>
      </c>
      <c r="H4596" s="2" t="s">
        <v>21</v>
      </c>
      <c r="I4596" s="2" t="s">
        <v>10856</v>
      </c>
      <c r="J4596" s="3" t="str">
        <f>HYPERLINK("https://www.boe.es/gazeta/dias/1816/02/03/pdfs/GMD-1816-16.pdf#page=1","Abrir facsímil")</f>
        <v>Abrir facsímil</v>
      </c>
      <c r="K4596" s="3" t="s">
        <v>23</v>
      </c>
    </row>
    <row r="4597" spans="1:11" ht="42" customHeight="1">
      <c r="A4597" s="2" t="s">
        <v>10857</v>
      </c>
      <c r="B4597" s="2" t="s">
        <v>10858</v>
      </c>
      <c r="C4597" s="2" t="s">
        <v>34</v>
      </c>
      <c r="D4597" s="2" t="s">
        <v>35</v>
      </c>
      <c r="E4597" s="5">
        <v>-30536</v>
      </c>
      <c r="F4597" s="3" t="s">
        <v>580</v>
      </c>
      <c r="G4597" s="3" t="s">
        <v>47</v>
      </c>
      <c r="H4597" s="2" t="s">
        <v>21</v>
      </c>
      <c r="I4597" s="2" t="s">
        <v>10859</v>
      </c>
      <c r="J4597" s="3" t="str">
        <f>HYPERLINK("https://www.boe.es/gazeta/dias/1816/05/23/pdfs/GMD-1816-65.pdf#page=5","Abrir facsímil")</f>
        <v>Abrir facsímil</v>
      </c>
      <c r="K4597" s="3" t="s">
        <v>23</v>
      </c>
    </row>
    <row r="4598" spans="1:11" ht="42" customHeight="1">
      <c r="A4598" s="2" t="s">
        <v>10860</v>
      </c>
      <c r="B4598" s="2" t="s">
        <v>10860</v>
      </c>
      <c r="C4598" s="2" t="s">
        <v>67</v>
      </c>
      <c r="D4598" s="2" t="s">
        <v>18</v>
      </c>
      <c r="E4598" s="5">
        <v>-30412</v>
      </c>
      <c r="F4598" s="3" t="s">
        <v>388</v>
      </c>
      <c r="G4598" s="3" t="s">
        <v>42</v>
      </c>
      <c r="H4598" s="2" t="s">
        <v>21</v>
      </c>
      <c r="I4598" s="2" t="s">
        <v>10861</v>
      </c>
      <c r="J4598" s="3" t="str">
        <f>HYPERLINK("https://www.boe.es/gazeta/dias/1816/09/24/pdfs/GMD-1816-118.pdf#page=8","Abrir facsímil")</f>
        <v>Abrir facsímil</v>
      </c>
      <c r="K4598" s="3" t="s">
        <v>23</v>
      </c>
    </row>
    <row r="4599" spans="1:11" ht="42" customHeight="1">
      <c r="A4599" s="2" t="s">
        <v>10860</v>
      </c>
      <c r="B4599" s="2" t="s">
        <v>10860</v>
      </c>
      <c r="C4599" s="2" t="s">
        <v>111</v>
      </c>
      <c r="D4599" s="2" t="s">
        <v>112</v>
      </c>
      <c r="E4599" s="5">
        <v>-30391</v>
      </c>
      <c r="F4599" s="3" t="s">
        <v>482</v>
      </c>
      <c r="G4599" s="3" t="s">
        <v>3258</v>
      </c>
      <c r="H4599" s="2" t="s">
        <v>21</v>
      </c>
      <c r="I4599" s="2" t="s">
        <v>10862</v>
      </c>
      <c r="J4599" s="3" t="str">
        <f>HYPERLINK("https://www.boe.es/gazeta/dias/1816/10/15/pdfs/GMD-1816-129.pdf#page=8","Abrir facsímil")</f>
        <v>Abrir facsímil</v>
      </c>
      <c r="K4599" s="3" t="s">
        <v>23</v>
      </c>
    </row>
    <row r="4600" spans="1:11" ht="42" customHeight="1">
      <c r="A4600" s="2" t="s">
        <v>10863</v>
      </c>
      <c r="B4600" s="2" t="s">
        <v>10864</v>
      </c>
      <c r="C4600" s="2" t="s">
        <v>26</v>
      </c>
      <c r="D4600" s="2" t="s">
        <v>18</v>
      </c>
      <c r="E4600" s="5">
        <v>-30410</v>
      </c>
      <c r="F4600" s="3" t="s">
        <v>1259</v>
      </c>
      <c r="G4600" s="3" t="s">
        <v>47</v>
      </c>
      <c r="H4600" s="2" t="s">
        <v>21</v>
      </c>
      <c r="I4600" s="2" t="s">
        <v>10865</v>
      </c>
      <c r="J4600" s="3" t="str">
        <f>HYPERLINK("https://www.boe.es/gazeta/dias/1816/09/26/pdfs/GMD-1816-119.pdf#page=5","Abrir facsímil")</f>
        <v>Abrir facsímil</v>
      </c>
      <c r="K4600" s="3" t="s">
        <v>23</v>
      </c>
    </row>
    <row r="4601" spans="1:11" ht="42" customHeight="1">
      <c r="A4601" s="2" t="s">
        <v>10866</v>
      </c>
      <c r="B4601" s="2" t="s">
        <v>10867</v>
      </c>
      <c r="C4601" s="2" t="s">
        <v>81</v>
      </c>
      <c r="D4601" s="2" t="s">
        <v>18</v>
      </c>
      <c r="E4601" s="5">
        <v>-30345</v>
      </c>
      <c r="F4601" s="3" t="s">
        <v>1382</v>
      </c>
      <c r="G4601" s="3" t="s">
        <v>72</v>
      </c>
      <c r="H4601" s="2" t="s">
        <v>21</v>
      </c>
      <c r="I4601" s="2" t="s">
        <v>10868</v>
      </c>
      <c r="J4601" s="3" t="str">
        <f>HYPERLINK("https://www.boe.es/gazeta/dias/1816/11/30/pdfs/GMD-1816-149.pdf#page=7","Abrir facsímil")</f>
        <v>Abrir facsímil</v>
      </c>
      <c r="K4601" s="3" t="s">
        <v>23</v>
      </c>
    </row>
    <row r="4602" spans="1:11" ht="42" customHeight="1">
      <c r="A4602" s="2" t="s">
        <v>10869</v>
      </c>
      <c r="B4602" s="2" t="s">
        <v>10870</v>
      </c>
      <c r="C4602" s="2" t="s">
        <v>26</v>
      </c>
      <c r="D4602" s="2" t="s">
        <v>56</v>
      </c>
      <c r="E4602" s="5">
        <v>-30393</v>
      </c>
      <c r="F4602" s="3" t="s">
        <v>202</v>
      </c>
      <c r="G4602" s="3" t="s">
        <v>203</v>
      </c>
      <c r="H4602" s="2" t="s">
        <v>21</v>
      </c>
      <c r="I4602" s="2" t="s">
        <v>10871</v>
      </c>
      <c r="J4602" s="3" t="str">
        <f>HYPERLINK("https://www.boe.es/gazeta/dias/1816/10/13/pdfs/GMD-1816-128E.pdf#page=7","Abrir facsímil")</f>
        <v>Abrir facsímil</v>
      </c>
      <c r="K4602" s="3" t="s">
        <v>23</v>
      </c>
    </row>
    <row r="4603" spans="1:11" ht="42" customHeight="1">
      <c r="A4603" s="2" t="s">
        <v>10872</v>
      </c>
      <c r="B4603" s="2" t="s">
        <v>10873</v>
      </c>
      <c r="C4603" s="2" t="s">
        <v>34</v>
      </c>
      <c r="D4603" s="2" t="s">
        <v>35</v>
      </c>
      <c r="E4603" s="5">
        <v>-30524</v>
      </c>
      <c r="F4603" s="3" t="s">
        <v>98</v>
      </c>
      <c r="G4603" s="3" t="s">
        <v>47</v>
      </c>
      <c r="H4603" s="2" t="s">
        <v>21</v>
      </c>
      <c r="I4603" s="2" t="s">
        <v>10874</v>
      </c>
      <c r="J4603" s="3" t="str">
        <f>HYPERLINK("https://www.boe.es/gazeta/dias/1816/06/04/pdfs/GMD-1816-70.pdf#page=5","Abrir facsímil")</f>
        <v>Abrir facsímil</v>
      </c>
      <c r="K4603" s="3" t="s">
        <v>23</v>
      </c>
    </row>
    <row r="4604" spans="1:11" ht="42" customHeight="1">
      <c r="A4604" s="2" t="s">
        <v>10875</v>
      </c>
      <c r="B4604" s="2" t="s">
        <v>10875</v>
      </c>
      <c r="C4604" s="2" t="s">
        <v>41</v>
      </c>
      <c r="D4604" s="2" t="s">
        <v>18</v>
      </c>
      <c r="E4604" s="5">
        <v>-30398</v>
      </c>
      <c r="F4604" s="3" t="s">
        <v>447</v>
      </c>
      <c r="G4604" s="3" t="s">
        <v>72</v>
      </c>
      <c r="H4604" s="2" t="s">
        <v>21</v>
      </c>
      <c r="I4604" s="2" t="s">
        <v>10876</v>
      </c>
      <c r="J4604" s="3" t="str">
        <f>HYPERLINK("https://www.boe.es/gazeta/dias/1816/10/08/pdfs/GMD-1816-125.pdf#page=7","Abrir facsímil")</f>
        <v>Abrir facsímil</v>
      </c>
      <c r="K4604" s="3" t="s">
        <v>23</v>
      </c>
    </row>
    <row r="4605" spans="1:11" ht="42" customHeight="1">
      <c r="A4605" s="2" t="s">
        <v>10877</v>
      </c>
      <c r="B4605" s="2" t="s">
        <v>10878</v>
      </c>
      <c r="C4605" s="2" t="s">
        <v>26</v>
      </c>
      <c r="D4605" s="2" t="s">
        <v>18</v>
      </c>
      <c r="E4605" s="5">
        <v>-30592</v>
      </c>
      <c r="F4605" s="3" t="s">
        <v>236</v>
      </c>
      <c r="G4605" s="3" t="s">
        <v>72</v>
      </c>
      <c r="H4605" s="2" t="s">
        <v>21</v>
      </c>
      <c r="I4605" s="2" t="s">
        <v>10879</v>
      </c>
      <c r="J4605" s="3" t="str">
        <f>HYPERLINK("https://www.boe.es/gazeta/dias/1816/03/28/pdfs/GMD-1816-41.pdf#page=7","Abrir facsímil")</f>
        <v>Abrir facsímil</v>
      </c>
      <c r="K4605" s="3" t="s">
        <v>23</v>
      </c>
    </row>
    <row r="4606" spans="1:11" ht="42" customHeight="1">
      <c r="A4606" s="2" t="s">
        <v>10877</v>
      </c>
      <c r="B4606" s="2" t="s">
        <v>10878</v>
      </c>
      <c r="C4606" s="2" t="s">
        <v>26</v>
      </c>
      <c r="D4606" s="2" t="s">
        <v>18</v>
      </c>
      <c r="E4606" s="5">
        <v>-30592</v>
      </c>
      <c r="F4606" s="3" t="s">
        <v>236</v>
      </c>
      <c r="G4606" s="3" t="s">
        <v>42</v>
      </c>
      <c r="H4606" s="2" t="s">
        <v>21</v>
      </c>
      <c r="I4606" s="2" t="s">
        <v>10880</v>
      </c>
      <c r="J4606" s="3" t="str">
        <f>HYPERLINK("https://www.boe.es/gazeta/dias/1816/03/28/pdfs/GMD-1816-41.pdf#page=8","Abrir facsímil")</f>
        <v>Abrir facsímil</v>
      </c>
      <c r="K4606" s="3" t="s">
        <v>23</v>
      </c>
    </row>
    <row r="4607" spans="1:11" ht="42" customHeight="1">
      <c r="A4607" s="2" t="s">
        <v>10881</v>
      </c>
      <c r="B4607" s="2" t="s">
        <v>10882</v>
      </c>
      <c r="C4607" s="2" t="s">
        <v>34</v>
      </c>
      <c r="D4607" s="2" t="s">
        <v>56</v>
      </c>
      <c r="E4607" s="5">
        <v>-30603</v>
      </c>
      <c r="F4607" s="3" t="s">
        <v>503</v>
      </c>
      <c r="G4607" s="3" t="s">
        <v>58</v>
      </c>
      <c r="H4607" s="2" t="s">
        <v>21</v>
      </c>
      <c r="I4607" s="2" t="s">
        <v>10883</v>
      </c>
      <c r="J4607" s="3" t="str">
        <f>HYPERLINK("https://www.boe.es/gazeta/dias/1816/03/17/pdfs/GMD-1816-36E.pdf#page=1","Abrir facsímil")</f>
        <v>Abrir facsímil</v>
      </c>
      <c r="K4607" s="3" t="s">
        <v>23</v>
      </c>
    </row>
    <row r="4608" spans="1:11" ht="42" customHeight="1">
      <c r="A4608" s="2" t="s">
        <v>10884</v>
      </c>
      <c r="B4608" s="2" t="s">
        <v>10885</v>
      </c>
      <c r="C4608" s="2" t="s">
        <v>26</v>
      </c>
      <c r="D4608" s="2" t="s">
        <v>18</v>
      </c>
      <c r="E4608" s="5">
        <v>-30594</v>
      </c>
      <c r="F4608" s="3" t="s">
        <v>234</v>
      </c>
      <c r="G4608" s="3" t="s">
        <v>92</v>
      </c>
      <c r="H4608" s="2" t="s">
        <v>21</v>
      </c>
      <c r="I4608" s="2" t="s">
        <v>10886</v>
      </c>
      <c r="J4608" s="3" t="str">
        <f>HYPERLINK("https://www.boe.es/gazeta/dias/1816/03/26/pdfs/GMD-1816-40.pdf#page=9","Abrir facsímil")</f>
        <v>Abrir facsímil</v>
      </c>
      <c r="K4608" s="3" t="s">
        <v>23</v>
      </c>
    </row>
    <row r="4609" spans="1:11" ht="42" customHeight="1">
      <c r="A4609" s="2" t="s">
        <v>10887</v>
      </c>
      <c r="B4609" s="2" t="s">
        <v>10888</v>
      </c>
      <c r="C4609" s="2" t="s">
        <v>26</v>
      </c>
      <c r="D4609" s="2" t="s">
        <v>18</v>
      </c>
      <c r="E4609" s="5">
        <v>-30534</v>
      </c>
      <c r="F4609" s="3" t="s">
        <v>274</v>
      </c>
      <c r="G4609" s="3" t="s">
        <v>103</v>
      </c>
      <c r="H4609" s="2" t="s">
        <v>21</v>
      </c>
      <c r="I4609" s="2" t="s">
        <v>10889</v>
      </c>
      <c r="J4609" s="3" t="str">
        <f>HYPERLINK("https://www.boe.es/gazeta/dias/1816/05/25/pdfs/GMD-1816-66.pdf#page=4","Abrir facsímil")</f>
        <v>Abrir facsímil</v>
      </c>
      <c r="K4609" s="3" t="s">
        <v>23</v>
      </c>
    </row>
    <row r="4610" spans="1:11" ht="42" customHeight="1">
      <c r="A4610" s="2" t="s">
        <v>10890</v>
      </c>
      <c r="B4610" s="2" t="s">
        <v>10891</v>
      </c>
      <c r="C4610" s="2" t="s">
        <v>34</v>
      </c>
      <c r="D4610" s="2" t="s">
        <v>56</v>
      </c>
      <c r="E4610" s="5">
        <v>-30393</v>
      </c>
      <c r="F4610" s="3" t="s">
        <v>202</v>
      </c>
      <c r="G4610" s="3" t="s">
        <v>645</v>
      </c>
      <c r="H4610" s="2" t="s">
        <v>21</v>
      </c>
      <c r="I4610" s="2" t="s">
        <v>10892</v>
      </c>
      <c r="J4610" s="3" t="str">
        <f>HYPERLINK("https://www.boe.es/gazeta/dias/1816/10/13/pdfs/GMD-1816-128E.pdf#page=4","Abrir facsímil")</f>
        <v>Abrir facsímil</v>
      </c>
      <c r="K4610" s="3" t="s">
        <v>23</v>
      </c>
    </row>
    <row r="4611" spans="1:11" ht="42" customHeight="1">
      <c r="A4611" s="2" t="s">
        <v>10893</v>
      </c>
      <c r="B4611" s="2" t="s">
        <v>10894</v>
      </c>
      <c r="C4611" s="2" t="s">
        <v>111</v>
      </c>
      <c r="D4611" s="2" t="s">
        <v>112</v>
      </c>
      <c r="E4611" s="5">
        <v>-30438</v>
      </c>
      <c r="F4611" s="3" t="s">
        <v>299</v>
      </c>
      <c r="G4611" s="3" t="s">
        <v>300</v>
      </c>
      <c r="H4611" s="2" t="s">
        <v>21</v>
      </c>
      <c r="I4611" s="2" t="s">
        <v>10895</v>
      </c>
      <c r="J4611" s="3" t="str">
        <f>HYPERLINK("https://www.boe.es/gazeta/dias/1816/08/29/pdfs/GMD-1816-107.pdf#page=12","Abrir facsímil")</f>
        <v>Abrir facsímil</v>
      </c>
      <c r="K4611" s="3" t="s">
        <v>23</v>
      </c>
    </row>
    <row r="4612" spans="1:11" ht="42" customHeight="1">
      <c r="A4612" s="2" t="s">
        <v>10896</v>
      </c>
      <c r="B4612" s="2" t="s">
        <v>10897</v>
      </c>
      <c r="C4612" s="2" t="s">
        <v>111</v>
      </c>
      <c r="D4612" s="2" t="s">
        <v>112</v>
      </c>
      <c r="E4612" s="5">
        <v>-30487</v>
      </c>
      <c r="F4612" s="3" t="s">
        <v>397</v>
      </c>
      <c r="G4612" s="3" t="s">
        <v>180</v>
      </c>
      <c r="H4612" s="2" t="s">
        <v>21</v>
      </c>
      <c r="I4612" s="2" t="s">
        <v>10898</v>
      </c>
      <c r="J4612" s="3" t="str">
        <f>HYPERLINK("https://www.boe.es/gazeta/dias/1816/07/11/pdfs/GMD-1816-86.pdf#page=10","Abrir facsímil")</f>
        <v>Abrir facsímil</v>
      </c>
      <c r="K4612" s="3" t="s">
        <v>23</v>
      </c>
    </row>
    <row r="4613" spans="1:11" ht="42" customHeight="1">
      <c r="A4613" s="2" t="s">
        <v>10899</v>
      </c>
      <c r="B4613" s="2" t="s">
        <v>10900</v>
      </c>
      <c r="C4613" s="2" t="s">
        <v>26</v>
      </c>
      <c r="D4613" s="2" t="s">
        <v>18</v>
      </c>
      <c r="E4613" s="5">
        <v>-30424</v>
      </c>
      <c r="F4613" s="3" t="s">
        <v>142</v>
      </c>
      <c r="G4613" s="3" t="s">
        <v>143</v>
      </c>
      <c r="H4613" s="2" t="s">
        <v>21</v>
      </c>
      <c r="I4613" s="2" t="s">
        <v>10901</v>
      </c>
      <c r="J4613" s="3" t="str">
        <f>HYPERLINK("https://www.boe.es/gazeta/dias/1816/09/12/pdfs/GMD-1816-113.pdf#page=4","Abrir facsímil")</f>
        <v>Abrir facsímil</v>
      </c>
      <c r="K4613" s="3" t="s">
        <v>23</v>
      </c>
    </row>
    <row r="4614" spans="1:11" ht="42" customHeight="1">
      <c r="A4614" s="2" t="s">
        <v>10899</v>
      </c>
      <c r="B4614" s="2" t="s">
        <v>10900</v>
      </c>
      <c r="C4614" s="2" t="s">
        <v>41</v>
      </c>
      <c r="D4614" s="2" t="s">
        <v>18</v>
      </c>
      <c r="E4614" s="5">
        <v>-30356</v>
      </c>
      <c r="F4614" s="3" t="s">
        <v>824</v>
      </c>
      <c r="G4614" s="3" t="s">
        <v>42</v>
      </c>
      <c r="H4614" s="2" t="s">
        <v>21</v>
      </c>
      <c r="I4614" s="2" t="s">
        <v>10902</v>
      </c>
      <c r="J4614" s="3" t="str">
        <f>HYPERLINK("https://www.boe.es/gazeta/dias/1816/11/19/pdfs/GMD-1816-144.pdf#page=8","Abrir facsímil")</f>
        <v>Abrir facsímil</v>
      </c>
      <c r="K4614" s="3" t="s">
        <v>23</v>
      </c>
    </row>
    <row r="4615" spans="1:11" ht="42" customHeight="1">
      <c r="A4615" s="2" t="s">
        <v>10899</v>
      </c>
      <c r="B4615" s="2" t="s">
        <v>10900</v>
      </c>
      <c r="C4615" s="2" t="s">
        <v>26</v>
      </c>
      <c r="D4615" s="2" t="s">
        <v>18</v>
      </c>
      <c r="E4615" s="5">
        <v>-30317</v>
      </c>
      <c r="F4615" s="3" t="s">
        <v>1030</v>
      </c>
      <c r="G4615" s="3" t="s">
        <v>4521</v>
      </c>
      <c r="H4615" s="2" t="s">
        <v>21</v>
      </c>
      <c r="I4615" s="2" t="s">
        <v>10903</v>
      </c>
      <c r="J4615" s="3" t="str">
        <f>HYPERLINK("https://www.boe.es/gazeta/dias/1816/12/28/pdfs/GMD-1816-161.pdf#page=4","Abrir facsímil")</f>
        <v>Abrir facsímil</v>
      </c>
      <c r="K4615" s="3" t="s">
        <v>23</v>
      </c>
    </row>
    <row r="4616" spans="1:11" ht="42" customHeight="1">
      <c r="A4616" s="2" t="s">
        <v>10904</v>
      </c>
      <c r="B4616" s="2" t="s">
        <v>10904</v>
      </c>
      <c r="C4616" s="2" t="s">
        <v>34</v>
      </c>
      <c r="D4616" s="2" t="s">
        <v>35</v>
      </c>
      <c r="E4616" s="5">
        <v>-30380</v>
      </c>
      <c r="F4616" s="3" t="s">
        <v>819</v>
      </c>
      <c r="G4616" s="3" t="s">
        <v>270</v>
      </c>
      <c r="H4616" s="2" t="s">
        <v>21</v>
      </c>
      <c r="I4616" s="2" t="s">
        <v>10905</v>
      </c>
      <c r="J4616" s="3" t="str">
        <f>HYPERLINK("https://www.boe.es/gazeta/dias/1816/10/26/pdfs/GMD-1816-134.pdf#page=2","Abrir facsímil")</f>
        <v>Abrir facsímil</v>
      </c>
      <c r="K4616" s="3" t="s">
        <v>23</v>
      </c>
    </row>
    <row r="4617" spans="1:11" ht="42" customHeight="1">
      <c r="A4617" s="2" t="s">
        <v>10906</v>
      </c>
      <c r="B4617" s="2" t="s">
        <v>10906</v>
      </c>
      <c r="C4617" s="2" t="s">
        <v>34</v>
      </c>
      <c r="D4617" s="2" t="s">
        <v>35</v>
      </c>
      <c r="E4617" s="5">
        <v>-30662</v>
      </c>
      <c r="F4617" s="3" t="s">
        <v>485</v>
      </c>
      <c r="G4617" s="3" t="s">
        <v>58</v>
      </c>
      <c r="H4617" s="2" t="s">
        <v>21</v>
      </c>
      <c r="I4617" s="2" t="s">
        <v>10907</v>
      </c>
      <c r="J4617" s="3" t="str">
        <f>HYPERLINK("https://www.boe.es/gazeta/dias/1816/01/18/pdfs/GMD-1816-8.pdf#page=1","Abrir facsímil")</f>
        <v>Abrir facsímil</v>
      </c>
      <c r="K4617" s="3" t="s">
        <v>23</v>
      </c>
    </row>
    <row r="4618" spans="1:11" ht="42" customHeight="1">
      <c r="A4618" s="2" t="s">
        <v>10908</v>
      </c>
      <c r="B4618" s="2" t="s">
        <v>10909</v>
      </c>
      <c r="C4618" s="2" t="s">
        <v>26</v>
      </c>
      <c r="D4618" s="2" t="s">
        <v>56</v>
      </c>
      <c r="E4618" s="5">
        <v>-30393</v>
      </c>
      <c r="F4618" s="3" t="s">
        <v>202</v>
      </c>
      <c r="G4618" s="3" t="s">
        <v>834</v>
      </c>
      <c r="H4618" s="2" t="s">
        <v>21</v>
      </c>
      <c r="I4618" s="2" t="s">
        <v>10910</v>
      </c>
      <c r="J4618" s="3" t="str">
        <f>HYPERLINK("https://www.boe.es/gazeta/dias/1816/10/13/pdfs/GMD-1816-128E.pdf#page=6","Abrir facsímil")</f>
        <v>Abrir facsímil</v>
      </c>
      <c r="K4618" s="3" t="s">
        <v>23</v>
      </c>
    </row>
    <row r="4619" spans="1:11" ht="42" customHeight="1">
      <c r="A4619" s="2" t="s">
        <v>10911</v>
      </c>
      <c r="B4619" s="2" t="s">
        <v>10912</v>
      </c>
      <c r="C4619" s="2" t="s">
        <v>26</v>
      </c>
      <c r="D4619" s="2" t="s">
        <v>18</v>
      </c>
      <c r="E4619" s="5">
        <v>-30436</v>
      </c>
      <c r="F4619" s="3" t="s">
        <v>102</v>
      </c>
      <c r="G4619" s="3" t="s">
        <v>184</v>
      </c>
      <c r="H4619" s="2" t="s">
        <v>21</v>
      </c>
      <c r="I4619" s="2" t="s">
        <v>10913</v>
      </c>
      <c r="J4619" s="3" t="str">
        <f>HYPERLINK("https://www.boe.es/gazeta/dias/1816/08/31/pdfs/GMD-1816-108.pdf#page=3","Abrir facsímil")</f>
        <v>Abrir facsímil</v>
      </c>
      <c r="K4619" s="3" t="s">
        <v>23</v>
      </c>
    </row>
    <row r="4620" spans="1:11" ht="42" customHeight="1">
      <c r="A4620" s="2" t="s">
        <v>10914</v>
      </c>
      <c r="B4620" s="2" t="s">
        <v>10915</v>
      </c>
      <c r="C4620" s="2" t="s">
        <v>111</v>
      </c>
      <c r="D4620" s="2" t="s">
        <v>112</v>
      </c>
      <c r="E4620" s="5">
        <v>-30314</v>
      </c>
      <c r="F4620" s="3" t="s">
        <v>1899</v>
      </c>
      <c r="G4620" s="3" t="s">
        <v>42</v>
      </c>
      <c r="H4620" s="2" t="s">
        <v>21</v>
      </c>
      <c r="I4620" s="2" t="s">
        <v>10916</v>
      </c>
      <c r="J4620" s="3" t="str">
        <f>HYPERLINK("https://www.boe.es/gazeta/dias/1816/12/31/pdfs/GMD-1816-162.pdf#page=8","Abrir facsímil")</f>
        <v>Abrir facsímil</v>
      </c>
      <c r="K4620" s="3" t="s">
        <v>23</v>
      </c>
    </row>
    <row r="4621" spans="1:11" ht="42" customHeight="1">
      <c r="A4621" s="2" t="s">
        <v>10917</v>
      </c>
      <c r="B4621" s="2" t="s">
        <v>10918</v>
      </c>
      <c r="C4621" s="2" t="s">
        <v>26</v>
      </c>
      <c r="D4621" s="2" t="s">
        <v>18</v>
      </c>
      <c r="E4621" s="5">
        <v>-30564</v>
      </c>
      <c r="F4621" s="3" t="s">
        <v>963</v>
      </c>
      <c r="G4621" s="3" t="s">
        <v>5064</v>
      </c>
      <c r="H4621" s="2" t="s">
        <v>21</v>
      </c>
      <c r="I4621" s="2" t="s">
        <v>10919</v>
      </c>
      <c r="J4621" s="3" t="str">
        <f>HYPERLINK("https://www.boe.es/gazeta/dias/1816/04/25/pdfs/GMD-1816-53.pdf#page=8","Abrir facsímil")</f>
        <v>Abrir facsímil</v>
      </c>
      <c r="K4621" s="3" t="s">
        <v>23</v>
      </c>
    </row>
    <row r="4622" spans="1:11" ht="42" customHeight="1">
      <c r="A4622" s="2" t="s">
        <v>10920</v>
      </c>
      <c r="B4622" s="2" t="s">
        <v>10920</v>
      </c>
      <c r="C4622" s="2" t="s">
        <v>34</v>
      </c>
      <c r="D4622" s="2" t="s">
        <v>35</v>
      </c>
      <c r="E4622" s="5">
        <v>-30452</v>
      </c>
      <c r="F4622" s="3" t="s">
        <v>3546</v>
      </c>
      <c r="G4622" s="3" t="s">
        <v>184</v>
      </c>
      <c r="H4622" s="2" t="s">
        <v>21</v>
      </c>
      <c r="I4622" s="2" t="s">
        <v>10921</v>
      </c>
      <c r="J4622" s="3" t="str">
        <f>HYPERLINK("https://www.boe.es/gazeta/dias/1816/08/15/pdfs/GMD-1816-101.pdf#page=3","Abrir facsímil")</f>
        <v>Abrir facsímil</v>
      </c>
      <c r="K4622" s="3" t="s">
        <v>23</v>
      </c>
    </row>
    <row r="4623" spans="1:11" ht="42" customHeight="1">
      <c r="A4623" s="2" t="s">
        <v>10922</v>
      </c>
      <c r="B4623" s="2" t="s">
        <v>10923</v>
      </c>
      <c r="C4623" s="2" t="s">
        <v>387</v>
      </c>
      <c r="D4623" s="2" t="s">
        <v>18</v>
      </c>
      <c r="E4623" s="5">
        <v>-30461</v>
      </c>
      <c r="F4623" s="3" t="s">
        <v>912</v>
      </c>
      <c r="G4623" s="3" t="s">
        <v>1375</v>
      </c>
      <c r="H4623" s="2" t="s">
        <v>21</v>
      </c>
      <c r="I4623" s="2" t="s">
        <v>10924</v>
      </c>
      <c r="J4623" s="3" t="str">
        <f>HYPERLINK("https://www.boe.es/gazeta/dias/1816/08/06/pdfs/GMD-1816-97.pdf#page=6","Abrir facsímil")</f>
        <v>Abrir facsímil</v>
      </c>
      <c r="K4623" s="3" t="s">
        <v>23</v>
      </c>
    </row>
    <row r="4624" spans="1:11" ht="42" customHeight="1">
      <c r="A4624" s="2" t="s">
        <v>10925</v>
      </c>
      <c r="B4624" s="2" t="s">
        <v>10926</v>
      </c>
      <c r="C4624" s="2" t="s">
        <v>111</v>
      </c>
      <c r="D4624" s="2" t="s">
        <v>112</v>
      </c>
      <c r="E4624" s="5">
        <v>-30487</v>
      </c>
      <c r="F4624" s="3" t="s">
        <v>397</v>
      </c>
      <c r="G4624" s="3" t="s">
        <v>180</v>
      </c>
      <c r="H4624" s="2" t="s">
        <v>21</v>
      </c>
      <c r="I4624" s="2" t="s">
        <v>10927</v>
      </c>
      <c r="J4624" s="3" t="str">
        <f>HYPERLINK("https://www.boe.es/gazeta/dias/1816/07/11/pdfs/GMD-1816-86.pdf#page=10","Abrir facsímil")</f>
        <v>Abrir facsímil</v>
      </c>
      <c r="K4624" s="3" t="s">
        <v>23</v>
      </c>
    </row>
    <row r="4625" spans="1:11" ht="42" customHeight="1">
      <c r="A4625" s="2" t="s">
        <v>10928</v>
      </c>
      <c r="B4625" s="2" t="s">
        <v>10929</v>
      </c>
      <c r="C4625" s="2" t="s">
        <v>34</v>
      </c>
      <c r="D4625" s="2" t="s">
        <v>35</v>
      </c>
      <c r="E4625" s="5">
        <v>-30594</v>
      </c>
      <c r="F4625" s="3" t="s">
        <v>234</v>
      </c>
      <c r="G4625" s="3" t="s">
        <v>42</v>
      </c>
      <c r="H4625" s="2" t="s">
        <v>21</v>
      </c>
      <c r="I4625" s="2" t="s">
        <v>10930</v>
      </c>
      <c r="J4625" s="3" t="str">
        <f>HYPERLINK("https://www.boe.es/gazeta/dias/1816/03/26/pdfs/GMD-1816-40.pdf#page=8","Abrir facsímil")</f>
        <v>Abrir facsímil</v>
      </c>
      <c r="K4625" s="3" t="s">
        <v>23</v>
      </c>
    </row>
    <row r="4626" spans="1:11" ht="42" customHeight="1">
      <c r="A4626" s="2" t="s">
        <v>10928</v>
      </c>
      <c r="B4626" s="2" t="s">
        <v>10929</v>
      </c>
      <c r="C4626" s="2" t="s">
        <v>34</v>
      </c>
      <c r="D4626" s="2" t="s">
        <v>35</v>
      </c>
      <c r="E4626" s="5">
        <v>-30592</v>
      </c>
      <c r="F4626" s="3" t="s">
        <v>236</v>
      </c>
      <c r="G4626" s="3" t="s">
        <v>47</v>
      </c>
      <c r="H4626" s="2" t="s">
        <v>21</v>
      </c>
      <c r="I4626" s="2" t="s">
        <v>10931</v>
      </c>
      <c r="J4626" s="3" t="str">
        <f>HYPERLINK("https://www.boe.es/gazeta/dias/1816/03/28/pdfs/GMD-1816-41.pdf#page=5","Abrir facsímil")</f>
        <v>Abrir facsímil</v>
      </c>
      <c r="K4626" s="3" t="s">
        <v>23</v>
      </c>
    </row>
    <row r="4627" spans="1:11" ht="42" customHeight="1">
      <c r="A4627" s="2" t="s">
        <v>10928</v>
      </c>
      <c r="B4627" s="2" t="s">
        <v>10929</v>
      </c>
      <c r="C4627" s="2" t="s">
        <v>34</v>
      </c>
      <c r="D4627" s="2" t="s">
        <v>35</v>
      </c>
      <c r="E4627" s="5">
        <v>-30580</v>
      </c>
      <c r="F4627" s="3" t="s">
        <v>107</v>
      </c>
      <c r="G4627" s="3" t="s">
        <v>28</v>
      </c>
      <c r="H4627" s="2" t="s">
        <v>21</v>
      </c>
      <c r="I4627" s="2" t="s">
        <v>10932</v>
      </c>
      <c r="J4627" s="3" t="str">
        <f>HYPERLINK("https://www.boe.es/gazeta/dias/1816/04/09/pdfs/GMD-1816-46.pdf#page=6","Abrir facsímil")</f>
        <v>Abrir facsímil</v>
      </c>
      <c r="K4627" s="3" t="s">
        <v>23</v>
      </c>
    </row>
    <row r="4628" spans="1:11" ht="42" customHeight="1">
      <c r="A4628" s="2" t="s">
        <v>10933</v>
      </c>
      <c r="B4628" s="2" t="s">
        <v>10934</v>
      </c>
      <c r="C4628" s="2" t="s">
        <v>111</v>
      </c>
      <c r="D4628" s="2" t="s">
        <v>112</v>
      </c>
      <c r="E4628" s="5">
        <v>-30419</v>
      </c>
      <c r="F4628" s="3" t="s">
        <v>1256</v>
      </c>
      <c r="G4628" s="3" t="s">
        <v>2162</v>
      </c>
      <c r="H4628" s="2" t="s">
        <v>21</v>
      </c>
      <c r="I4628" s="2" t="s">
        <v>10935</v>
      </c>
      <c r="J4628" s="3" t="str">
        <f>HYPERLINK("https://www.boe.es/gazeta/dias/1816/09/17/pdfs/GMD-1816-115.pdf#page=8","Abrir facsímil")</f>
        <v>Abrir facsímil</v>
      </c>
      <c r="K4628" s="3" t="s">
        <v>23</v>
      </c>
    </row>
    <row r="4629" spans="1:11" ht="42" customHeight="1">
      <c r="A4629" s="2" t="s">
        <v>10936</v>
      </c>
      <c r="B4629" s="2" t="s">
        <v>10937</v>
      </c>
      <c r="C4629" s="2" t="s">
        <v>34</v>
      </c>
      <c r="D4629" s="2" t="s">
        <v>35</v>
      </c>
      <c r="E4629" s="5">
        <v>-30646</v>
      </c>
      <c r="F4629" s="3" t="s">
        <v>615</v>
      </c>
      <c r="G4629" s="3" t="s">
        <v>42</v>
      </c>
      <c r="H4629" s="2" t="s">
        <v>21</v>
      </c>
      <c r="I4629" s="2" t="s">
        <v>10938</v>
      </c>
      <c r="J4629" s="3" t="str">
        <f>HYPERLINK("https://www.boe.es/gazeta/dias/1816/02/03/pdfs/GMD-1816-16.pdf#page=8","Abrir facsímil")</f>
        <v>Abrir facsímil</v>
      </c>
      <c r="K4629" s="3" t="s">
        <v>23</v>
      </c>
    </row>
    <row r="4630" spans="1:11" ht="42" customHeight="1">
      <c r="A4630" s="2" t="s">
        <v>10936</v>
      </c>
      <c r="B4630" s="2" t="s">
        <v>10937</v>
      </c>
      <c r="C4630" s="2" t="s">
        <v>111</v>
      </c>
      <c r="D4630" s="2" t="s">
        <v>112</v>
      </c>
      <c r="E4630" s="5">
        <v>-30396</v>
      </c>
      <c r="F4630" s="3" t="s">
        <v>1623</v>
      </c>
      <c r="G4630" s="3" t="s">
        <v>184</v>
      </c>
      <c r="H4630" s="2" t="s">
        <v>21</v>
      </c>
      <c r="I4630" s="2" t="s">
        <v>10939</v>
      </c>
      <c r="J4630" s="3" t="str">
        <f>HYPERLINK("https://www.boe.es/gazeta/dias/1816/10/10/pdfs/GMD-1816-126.pdf#page=3","Abrir facsímil")</f>
        <v>Abrir facsímil</v>
      </c>
      <c r="K4630" s="3" t="s">
        <v>23</v>
      </c>
    </row>
    <row r="4631" spans="1:11" ht="42" customHeight="1">
      <c r="A4631" s="2" t="s">
        <v>10940</v>
      </c>
      <c r="B4631" s="2" t="s">
        <v>10941</v>
      </c>
      <c r="C4631" s="2" t="s">
        <v>111</v>
      </c>
      <c r="D4631" s="2" t="s">
        <v>112</v>
      </c>
      <c r="E4631" s="5">
        <v>-30394</v>
      </c>
      <c r="F4631" s="3" t="s">
        <v>589</v>
      </c>
      <c r="G4631" s="3" t="s">
        <v>1306</v>
      </c>
      <c r="H4631" s="2" t="s">
        <v>29</v>
      </c>
      <c r="I4631" s="2" t="s">
        <v>10942</v>
      </c>
      <c r="J4631" s="3" t="str">
        <f>HYPERLINK("https://www.boe.es/gazeta/dias/1816/10/12/pdfs/GMD-1816-127.pdf#page=4","Abrir facsímil")</f>
        <v>Abrir facsímil</v>
      </c>
      <c r="K4631" s="3" t="s">
        <v>31</v>
      </c>
    </row>
    <row r="4632" spans="1:11" ht="42" customHeight="1">
      <c r="A4632" s="2" t="s">
        <v>10943</v>
      </c>
      <c r="B4632" s="2" t="s">
        <v>10944</v>
      </c>
      <c r="C4632" s="2" t="s">
        <v>111</v>
      </c>
      <c r="D4632" s="2" t="s">
        <v>112</v>
      </c>
      <c r="E4632" s="5">
        <v>-30606</v>
      </c>
      <c r="F4632" s="3" t="s">
        <v>761</v>
      </c>
      <c r="G4632" s="3" t="s">
        <v>28</v>
      </c>
      <c r="H4632" s="2" t="s">
        <v>29</v>
      </c>
      <c r="I4632" s="2" t="s">
        <v>10945</v>
      </c>
      <c r="J4632" s="3" t="str">
        <f>HYPERLINK("https://www.boe.es/gazeta/dias/1816/03/14/pdfs/GMD-1816-34.pdf#page=6","Abrir facsímil")</f>
        <v>Abrir facsímil</v>
      </c>
      <c r="K4632" s="3" t="s">
        <v>31</v>
      </c>
    </row>
    <row r="4633" spans="1:11" ht="42" customHeight="1">
      <c r="A4633" s="2" t="s">
        <v>10946</v>
      </c>
      <c r="B4633" s="2" t="s">
        <v>10947</v>
      </c>
      <c r="C4633" s="2" t="s">
        <v>34</v>
      </c>
      <c r="D4633" s="2" t="s">
        <v>35</v>
      </c>
      <c r="E4633" s="5">
        <v>-30531</v>
      </c>
      <c r="F4633" s="3" t="s">
        <v>535</v>
      </c>
      <c r="G4633" s="3" t="s">
        <v>47</v>
      </c>
      <c r="H4633" s="2" t="s">
        <v>29</v>
      </c>
      <c r="I4633" s="2" t="s">
        <v>10948</v>
      </c>
      <c r="J4633" s="3" t="str">
        <f>HYPERLINK("https://www.boe.es/gazeta/dias/1816/05/28/pdfs/GMD-1816-67.pdf#page=5","Abrir facsímil")</f>
        <v>Abrir facsímil</v>
      </c>
      <c r="K4633" s="3" t="s">
        <v>31</v>
      </c>
    </row>
    <row r="4634" spans="1:11" ht="42" customHeight="1">
      <c r="A4634" s="2" t="s">
        <v>10949</v>
      </c>
      <c r="B4634" s="2" t="s">
        <v>10950</v>
      </c>
      <c r="C4634" s="2" t="s">
        <v>26</v>
      </c>
      <c r="D4634" s="2" t="s">
        <v>18</v>
      </c>
      <c r="E4634" s="5">
        <v>-30438</v>
      </c>
      <c r="F4634" s="3" t="s">
        <v>299</v>
      </c>
      <c r="G4634" s="3" t="s">
        <v>300</v>
      </c>
      <c r="H4634" s="2" t="s">
        <v>21</v>
      </c>
      <c r="I4634" s="2" t="s">
        <v>10951</v>
      </c>
      <c r="J4634" s="3" t="str">
        <f>HYPERLINK("https://www.boe.es/gazeta/dias/1816/08/29/pdfs/GMD-1816-107.pdf#page=12","Abrir facsímil")</f>
        <v>Abrir facsímil</v>
      </c>
      <c r="K4634" s="3" t="s">
        <v>23</v>
      </c>
    </row>
    <row r="4635" spans="1:11" ht="42" customHeight="1">
      <c r="A4635" s="2" t="s">
        <v>10952</v>
      </c>
      <c r="B4635" s="2" t="s">
        <v>10953</v>
      </c>
      <c r="C4635" s="2" t="s">
        <v>111</v>
      </c>
      <c r="D4635" s="2" t="s">
        <v>112</v>
      </c>
      <c r="E4635" s="5">
        <v>-30331</v>
      </c>
      <c r="F4635" s="3" t="s">
        <v>315</v>
      </c>
      <c r="G4635" s="3" t="s">
        <v>103</v>
      </c>
      <c r="H4635" s="2" t="s">
        <v>21</v>
      </c>
      <c r="I4635" s="2" t="s">
        <v>10954</v>
      </c>
      <c r="J4635" s="3" t="str">
        <f>HYPERLINK("https://www.boe.es/gazeta/dias/1816/12/14/pdfs/GMD-1816-155.pdf#page=4","Abrir facsímil")</f>
        <v>Abrir facsímil</v>
      </c>
      <c r="K4635" s="3" t="s">
        <v>23</v>
      </c>
    </row>
    <row r="4636" spans="1:11" ht="42" customHeight="1">
      <c r="A4636" s="2" t="s">
        <v>10955</v>
      </c>
      <c r="B4636" s="2" t="s">
        <v>10956</v>
      </c>
      <c r="C4636" s="2" t="s">
        <v>26</v>
      </c>
      <c r="D4636" s="2" t="s">
        <v>18</v>
      </c>
      <c r="E4636" s="5">
        <v>-30641</v>
      </c>
      <c r="F4636" s="3" t="s">
        <v>192</v>
      </c>
      <c r="G4636" s="3" t="s">
        <v>42</v>
      </c>
      <c r="H4636" s="2" t="s">
        <v>21</v>
      </c>
      <c r="I4636" s="2" t="s">
        <v>10957</v>
      </c>
      <c r="J4636" s="3" t="str">
        <f>HYPERLINK("https://www.boe.es/gazeta/dias/1816/02/08/pdfs/GMD-1816-18.pdf#page=8","Abrir facsímil")</f>
        <v>Abrir facsímil</v>
      </c>
      <c r="K4636" s="3" t="s">
        <v>23</v>
      </c>
    </row>
    <row r="4637" spans="1:11" ht="42" customHeight="1">
      <c r="A4637" s="2" t="s">
        <v>10958</v>
      </c>
      <c r="B4637" s="2" t="s">
        <v>10959</v>
      </c>
      <c r="C4637" s="2" t="s">
        <v>41</v>
      </c>
      <c r="D4637" s="2" t="s">
        <v>18</v>
      </c>
      <c r="E4637" s="5">
        <v>-30331</v>
      </c>
      <c r="F4637" s="3" t="s">
        <v>315</v>
      </c>
      <c r="G4637" s="3" t="s">
        <v>42</v>
      </c>
      <c r="H4637" s="2" t="s">
        <v>21</v>
      </c>
      <c r="I4637" s="2" t="s">
        <v>10960</v>
      </c>
      <c r="J4637" s="3" t="str">
        <f>HYPERLINK("https://www.boe.es/gazeta/dias/1816/12/14/pdfs/GMD-1816-155.pdf#page=8","Abrir facsímil")</f>
        <v>Abrir facsímil</v>
      </c>
      <c r="K4637" s="3" t="s">
        <v>23</v>
      </c>
    </row>
    <row r="4638" spans="1:11" ht="42" customHeight="1">
      <c r="A4638" s="2" t="s">
        <v>10961</v>
      </c>
      <c r="B4638" s="2" t="s">
        <v>10961</v>
      </c>
      <c r="C4638" s="2" t="s">
        <v>34</v>
      </c>
      <c r="D4638" s="2" t="s">
        <v>35</v>
      </c>
      <c r="E4638" s="5">
        <v>-30578</v>
      </c>
      <c r="F4638" s="3" t="s">
        <v>91</v>
      </c>
      <c r="G4638" s="3" t="s">
        <v>184</v>
      </c>
      <c r="H4638" s="2" t="s">
        <v>21</v>
      </c>
      <c r="I4638" s="2" t="s">
        <v>10962</v>
      </c>
      <c r="J4638" s="3" t="str">
        <f>HYPERLINK("https://www.boe.es/gazeta/dias/1816/04/11/pdfs/GMD-1816-47.pdf#page=3","Abrir facsímil")</f>
        <v>Abrir facsímil</v>
      </c>
      <c r="K4638" s="3" t="s">
        <v>23</v>
      </c>
    </row>
    <row r="4639" spans="1:11" ht="42" customHeight="1">
      <c r="A4639" s="2" t="s">
        <v>10961</v>
      </c>
      <c r="B4639" s="2" t="s">
        <v>10961</v>
      </c>
      <c r="C4639" s="2" t="s">
        <v>34</v>
      </c>
      <c r="D4639" s="2" t="s">
        <v>35</v>
      </c>
      <c r="E4639" s="5">
        <v>-30569</v>
      </c>
      <c r="F4639" s="3" t="s">
        <v>1859</v>
      </c>
      <c r="G4639" s="3" t="s">
        <v>10963</v>
      </c>
      <c r="H4639" s="2" t="s">
        <v>21</v>
      </c>
      <c r="I4639" s="2" t="s">
        <v>10964</v>
      </c>
      <c r="J4639" s="3" t="str">
        <f>HYPERLINK("https://www.boe.es/gazeta/dias/1816/04/20/pdfs/GMD-1816-51.pdf#page=3","Abrir facsímil")</f>
        <v>Abrir facsímil</v>
      </c>
      <c r="K4639" s="3" t="s">
        <v>23</v>
      </c>
    </row>
    <row r="4640" spans="1:11" ht="42" customHeight="1">
      <c r="A4640" s="2" t="s">
        <v>10961</v>
      </c>
      <c r="B4640" s="2" t="s">
        <v>10961</v>
      </c>
      <c r="C4640" s="2" t="s">
        <v>34</v>
      </c>
      <c r="D4640" s="2" t="s">
        <v>35</v>
      </c>
      <c r="E4640" s="5">
        <v>-30559</v>
      </c>
      <c r="F4640" s="3" t="s">
        <v>165</v>
      </c>
      <c r="G4640" s="3" t="s">
        <v>184</v>
      </c>
      <c r="H4640" s="2" t="s">
        <v>21</v>
      </c>
      <c r="I4640" s="2" t="s">
        <v>10965</v>
      </c>
      <c r="J4640" s="3" t="str">
        <f>HYPERLINK("https://www.boe.es/gazeta/dias/1816/04/30/pdfs/GMD-1816-55.pdf#page=3","Abrir facsímil")</f>
        <v>Abrir facsímil</v>
      </c>
      <c r="K4640" s="3" t="s">
        <v>23</v>
      </c>
    </row>
    <row r="4641" spans="1:11" ht="42" customHeight="1">
      <c r="A4641" s="2" t="s">
        <v>10966</v>
      </c>
      <c r="B4641" s="2" t="s">
        <v>10967</v>
      </c>
      <c r="C4641" s="2" t="s">
        <v>34</v>
      </c>
      <c r="D4641" s="2" t="s">
        <v>56</v>
      </c>
      <c r="E4641" s="5">
        <v>-30393</v>
      </c>
      <c r="F4641" s="3" t="s">
        <v>202</v>
      </c>
      <c r="G4641" s="3" t="s">
        <v>203</v>
      </c>
      <c r="H4641" s="2" t="s">
        <v>29</v>
      </c>
      <c r="I4641" s="2" t="s">
        <v>10968</v>
      </c>
      <c r="J4641" s="3" t="str">
        <f>HYPERLINK("https://www.boe.es/gazeta/dias/1816/10/13/pdfs/GMD-1816-128E.pdf#page=7","Abrir facsímil")</f>
        <v>Abrir facsímil</v>
      </c>
      <c r="K4641" s="3" t="s">
        <v>31</v>
      </c>
    </row>
    <row r="4642" spans="1:11" ht="42" customHeight="1">
      <c r="A4642" s="2" t="s">
        <v>10969</v>
      </c>
      <c r="B4642" s="2" t="s">
        <v>10970</v>
      </c>
      <c r="C4642" s="2" t="s">
        <v>26</v>
      </c>
      <c r="D4642" s="2" t="s">
        <v>18</v>
      </c>
      <c r="E4642" s="5">
        <v>-30594</v>
      </c>
      <c r="F4642" s="3" t="s">
        <v>234</v>
      </c>
      <c r="G4642" s="3" t="s">
        <v>175</v>
      </c>
      <c r="H4642" s="2" t="s">
        <v>21</v>
      </c>
      <c r="I4642" s="2" t="s">
        <v>10971</v>
      </c>
      <c r="J4642" s="3" t="str">
        <f>HYPERLINK("https://www.boe.es/gazeta/dias/1816/03/26/pdfs/GMD-1816-40.pdf#page=11","Abrir facsímil")</f>
        <v>Abrir facsímil</v>
      </c>
      <c r="K4642" s="3" t="s">
        <v>23</v>
      </c>
    </row>
    <row r="4643" spans="1:11" ht="42" customHeight="1">
      <c r="A4643" s="2" t="s">
        <v>10972</v>
      </c>
      <c r="B4643" s="2" t="s">
        <v>10973</v>
      </c>
      <c r="C4643" s="2" t="s">
        <v>34</v>
      </c>
      <c r="D4643" s="2" t="s">
        <v>35</v>
      </c>
      <c r="E4643" s="5">
        <v>-30354</v>
      </c>
      <c r="F4643" s="3" t="s">
        <v>68</v>
      </c>
      <c r="G4643" s="3" t="s">
        <v>42</v>
      </c>
      <c r="H4643" s="2" t="s">
        <v>21</v>
      </c>
      <c r="I4643" s="2" t="s">
        <v>10974</v>
      </c>
      <c r="J4643" s="3" t="str">
        <f>HYPERLINK("https://www.boe.es/gazeta/dias/1816/11/21/pdfs/GMD-1816-145.pdf#page=8","Abrir facsímil")</f>
        <v>Abrir facsímil</v>
      </c>
      <c r="K4643" s="3" t="s">
        <v>23</v>
      </c>
    </row>
    <row r="4644" spans="1:11" ht="42" customHeight="1">
      <c r="A4644" s="2" t="s">
        <v>10975</v>
      </c>
      <c r="B4644" s="2" t="s">
        <v>10976</v>
      </c>
      <c r="C4644" s="2" t="s">
        <v>111</v>
      </c>
      <c r="D4644" s="2" t="s">
        <v>112</v>
      </c>
      <c r="E4644" s="5">
        <v>-30375</v>
      </c>
      <c r="F4644" s="3" t="s">
        <v>404</v>
      </c>
      <c r="G4644" s="3" t="s">
        <v>1278</v>
      </c>
      <c r="H4644" s="2" t="s">
        <v>21</v>
      </c>
      <c r="I4644" s="2" t="s">
        <v>10977</v>
      </c>
      <c r="J4644" s="3" t="str">
        <f>HYPERLINK("https://www.boe.es/gazeta/dias/1816/10/31/pdfs/GMD-1816-136.pdf#page=7","Abrir facsímil")</f>
        <v>Abrir facsímil</v>
      </c>
      <c r="K4644" s="3" t="s">
        <v>23</v>
      </c>
    </row>
    <row r="4645" spans="1:11" ht="42" customHeight="1">
      <c r="A4645" s="2" t="s">
        <v>10978</v>
      </c>
      <c r="B4645" s="2" t="s">
        <v>10979</v>
      </c>
      <c r="C4645" s="2" t="s">
        <v>41</v>
      </c>
      <c r="D4645" s="2" t="s">
        <v>18</v>
      </c>
      <c r="E4645" s="5">
        <v>-30494</v>
      </c>
      <c r="F4645" s="3" t="s">
        <v>174</v>
      </c>
      <c r="G4645" s="3" t="s">
        <v>175</v>
      </c>
      <c r="H4645" s="2" t="s">
        <v>21</v>
      </c>
      <c r="I4645" s="2" t="s">
        <v>10980</v>
      </c>
      <c r="J4645" s="3" t="str">
        <f>HYPERLINK("https://www.boe.es/gazeta/dias/1816/07/04/pdfs/GMD-1816-83.pdf#page=11","Abrir facsímil")</f>
        <v>Abrir facsímil</v>
      </c>
      <c r="K4645" s="3" t="s">
        <v>23</v>
      </c>
    </row>
    <row r="4646" spans="1:11" ht="42" customHeight="1">
      <c r="A4646" s="2" t="s">
        <v>10981</v>
      </c>
      <c r="B4646" s="2" t="s">
        <v>10982</v>
      </c>
      <c r="C4646" s="2" t="s">
        <v>81</v>
      </c>
      <c r="D4646" s="2" t="s">
        <v>18</v>
      </c>
      <c r="E4646" s="5">
        <v>-30438</v>
      </c>
      <c r="F4646" s="3" t="s">
        <v>299</v>
      </c>
      <c r="G4646" s="3" t="s">
        <v>300</v>
      </c>
      <c r="H4646" s="2" t="s">
        <v>21</v>
      </c>
      <c r="I4646" s="2" t="s">
        <v>10983</v>
      </c>
      <c r="J4646" s="3" t="str">
        <f>HYPERLINK("https://www.boe.es/gazeta/dias/1816/08/29/pdfs/GMD-1816-107.pdf#page=12","Abrir facsímil")</f>
        <v>Abrir facsímil</v>
      </c>
      <c r="K4646" s="3" t="s">
        <v>23</v>
      </c>
    </row>
    <row r="4647" spans="1:11" ht="42" customHeight="1">
      <c r="A4647" s="2" t="s">
        <v>10984</v>
      </c>
      <c r="B4647" s="2" t="s">
        <v>10985</v>
      </c>
      <c r="C4647" s="2" t="s">
        <v>67</v>
      </c>
      <c r="D4647" s="2" t="s">
        <v>18</v>
      </c>
      <c r="E4647" s="5">
        <v>-30513</v>
      </c>
      <c r="F4647" s="3" t="s">
        <v>582</v>
      </c>
      <c r="G4647" s="3" t="s">
        <v>1129</v>
      </c>
      <c r="H4647" s="2" t="s">
        <v>21</v>
      </c>
      <c r="I4647" s="2" t="s">
        <v>10986</v>
      </c>
      <c r="J4647" s="3" t="str">
        <f>HYPERLINK("https://www.boe.es/gazeta/dias/1816/06/15/pdfs/GMD-1816-75.pdf#page=4","Abrir facsímil")</f>
        <v>Abrir facsímil</v>
      </c>
      <c r="K4647" s="3" t="s">
        <v>23</v>
      </c>
    </row>
    <row r="4648" spans="1:11" ht="42" customHeight="1">
      <c r="A4648" s="2" t="s">
        <v>10987</v>
      </c>
      <c r="B4648" s="2" t="s">
        <v>10988</v>
      </c>
      <c r="C4648" s="2" t="s">
        <v>34</v>
      </c>
      <c r="D4648" s="2" t="s">
        <v>35</v>
      </c>
      <c r="E4648" s="5">
        <v>-30436</v>
      </c>
      <c r="F4648" s="3" t="s">
        <v>102</v>
      </c>
      <c r="G4648" s="3" t="s">
        <v>72</v>
      </c>
      <c r="H4648" s="2" t="s">
        <v>21</v>
      </c>
      <c r="I4648" s="2" t="s">
        <v>10989</v>
      </c>
      <c r="J4648" s="3" t="str">
        <f>HYPERLINK("https://www.boe.es/gazeta/dias/1816/08/31/pdfs/GMD-1816-108.pdf#page=7","Abrir facsímil")</f>
        <v>Abrir facsímil</v>
      </c>
      <c r="K4648" s="3" t="s">
        <v>23</v>
      </c>
    </row>
    <row r="4649" spans="1:11" ht="42" customHeight="1">
      <c r="A4649" s="2" t="s">
        <v>10990</v>
      </c>
      <c r="B4649" s="2" t="s">
        <v>10991</v>
      </c>
      <c r="C4649" s="2" t="s">
        <v>41</v>
      </c>
      <c r="D4649" s="2" t="s">
        <v>18</v>
      </c>
      <c r="E4649" s="5">
        <v>-30578</v>
      </c>
      <c r="F4649" s="3" t="s">
        <v>91</v>
      </c>
      <c r="G4649" s="3" t="s">
        <v>42</v>
      </c>
      <c r="H4649" s="2" t="s">
        <v>21</v>
      </c>
      <c r="I4649" s="2" t="s">
        <v>10992</v>
      </c>
      <c r="J4649" s="3" t="str">
        <f>HYPERLINK("https://www.boe.es/gazeta/dias/1816/04/11/pdfs/GMD-1816-47.pdf#page=8","Abrir facsímil")</f>
        <v>Abrir facsímil</v>
      </c>
      <c r="K4649" s="3" t="s">
        <v>23</v>
      </c>
    </row>
    <row r="4650" spans="1:11" ht="42" customHeight="1">
      <c r="A4650" s="2" t="s">
        <v>10993</v>
      </c>
      <c r="B4650" s="2" t="s">
        <v>10994</v>
      </c>
      <c r="C4650" s="2" t="s">
        <v>34</v>
      </c>
      <c r="D4650" s="2" t="s">
        <v>35</v>
      </c>
      <c r="E4650" s="5">
        <v>-30676</v>
      </c>
      <c r="F4650" s="3" t="s">
        <v>1932</v>
      </c>
      <c r="G4650" s="3" t="s">
        <v>72</v>
      </c>
      <c r="H4650" s="2" t="s">
        <v>29</v>
      </c>
      <c r="I4650" s="2" t="s">
        <v>10995</v>
      </c>
      <c r="J4650" s="3" t="str">
        <f>HYPERLINK("https://www.boe.es/gazeta/dias/1816/01/04/pdfs/GMD-1816-2.pdf#page=7","Abrir facsímil")</f>
        <v>Abrir facsímil</v>
      </c>
      <c r="K4650" s="3" t="s">
        <v>31</v>
      </c>
    </row>
    <row r="4651" spans="1:11" ht="42" customHeight="1">
      <c r="A4651" s="2" t="s">
        <v>10996</v>
      </c>
      <c r="B4651" s="2" t="s">
        <v>10996</v>
      </c>
      <c r="C4651" s="2" t="s">
        <v>17</v>
      </c>
      <c r="D4651" s="2" t="s">
        <v>18</v>
      </c>
      <c r="E4651" s="5">
        <v>-30328</v>
      </c>
      <c r="F4651" s="3" t="s">
        <v>573</v>
      </c>
      <c r="G4651" s="3" t="s">
        <v>184</v>
      </c>
      <c r="H4651" s="2" t="s">
        <v>21</v>
      </c>
      <c r="I4651" s="2" t="s">
        <v>10997</v>
      </c>
      <c r="J4651" s="3" t="str">
        <f>HYPERLINK("https://www.boe.es/gazeta/dias/1816/12/17/pdfs/GMD-1816-156.pdf#page=3","Abrir facsímil")</f>
        <v>Abrir facsímil</v>
      </c>
      <c r="K4651" s="3" t="s">
        <v>23</v>
      </c>
    </row>
    <row r="4652" spans="1:11" ht="42" customHeight="1">
      <c r="A4652" s="2" t="s">
        <v>10998</v>
      </c>
      <c r="B4652" s="2" t="s">
        <v>10999</v>
      </c>
      <c r="C4652" s="2" t="s">
        <v>34</v>
      </c>
      <c r="D4652" s="2" t="s">
        <v>35</v>
      </c>
      <c r="E4652" s="5">
        <v>-30543</v>
      </c>
      <c r="F4652" s="3" t="s">
        <v>94</v>
      </c>
      <c r="G4652" s="3" t="s">
        <v>28</v>
      </c>
      <c r="H4652" s="2" t="s">
        <v>21</v>
      </c>
      <c r="I4652" s="2" t="s">
        <v>11000</v>
      </c>
      <c r="J4652" s="3" t="str">
        <f>HYPERLINK("https://www.boe.es/gazeta/dias/1816/05/16/pdfs/GMD-1816-62.pdf#page=6","Abrir facsímil")</f>
        <v>Abrir facsímil</v>
      </c>
      <c r="K4652" s="3" t="s">
        <v>23</v>
      </c>
    </row>
    <row r="4653" spans="1:11" ht="42" customHeight="1">
      <c r="A4653" s="2" t="s">
        <v>11001</v>
      </c>
      <c r="B4653" s="2" t="s">
        <v>11002</v>
      </c>
      <c r="C4653" s="2" t="s">
        <v>111</v>
      </c>
      <c r="D4653" s="2" t="s">
        <v>112</v>
      </c>
      <c r="E4653" s="5">
        <v>-30594</v>
      </c>
      <c r="F4653" s="3" t="s">
        <v>234</v>
      </c>
      <c r="G4653" s="3" t="s">
        <v>175</v>
      </c>
      <c r="H4653" s="2" t="s">
        <v>21</v>
      </c>
      <c r="I4653" s="2" t="s">
        <v>11003</v>
      </c>
      <c r="J4653" s="3" t="str">
        <f>HYPERLINK("https://www.boe.es/gazeta/dias/1816/03/26/pdfs/GMD-1816-40.pdf#page=11","Abrir facsímil")</f>
        <v>Abrir facsímil</v>
      </c>
      <c r="K4653" s="3" t="s">
        <v>23</v>
      </c>
    </row>
    <row r="4654" spans="1:11" ht="42" customHeight="1">
      <c r="A4654" s="2" t="s">
        <v>11004</v>
      </c>
      <c r="B4654" s="2" t="s">
        <v>11005</v>
      </c>
      <c r="C4654" s="2" t="s">
        <v>26</v>
      </c>
      <c r="D4654" s="2" t="s">
        <v>56</v>
      </c>
      <c r="E4654" s="5">
        <v>-30393</v>
      </c>
      <c r="F4654" s="3" t="s">
        <v>202</v>
      </c>
      <c r="G4654" s="3" t="s">
        <v>203</v>
      </c>
      <c r="H4654" s="2" t="s">
        <v>21</v>
      </c>
      <c r="I4654" s="2" t="s">
        <v>11006</v>
      </c>
      <c r="J4654" s="3" t="str">
        <f>HYPERLINK("https://www.boe.es/gazeta/dias/1816/10/13/pdfs/GMD-1816-128E.pdf#page=7","Abrir facsímil")</f>
        <v>Abrir facsímil</v>
      </c>
      <c r="K4654" s="3" t="s">
        <v>23</v>
      </c>
    </row>
    <row r="4655" spans="1:11" ht="42" customHeight="1">
      <c r="A4655" s="2" t="s">
        <v>11007</v>
      </c>
      <c r="B4655" s="2" t="s">
        <v>11008</v>
      </c>
      <c r="C4655" s="2" t="s">
        <v>34</v>
      </c>
      <c r="D4655" s="2" t="s">
        <v>56</v>
      </c>
      <c r="E4655" s="5">
        <v>-30393</v>
      </c>
      <c r="F4655" s="3" t="s">
        <v>202</v>
      </c>
      <c r="G4655" s="3" t="s">
        <v>184</v>
      </c>
      <c r="H4655" s="2" t="s">
        <v>21</v>
      </c>
      <c r="I4655" s="2" t="s">
        <v>11009</v>
      </c>
      <c r="J4655" s="3" t="str">
        <f>HYPERLINK("https://www.boe.es/gazeta/dias/1816/10/13/pdfs/GMD-1816-128E.pdf#page=3","Abrir facsímil")</f>
        <v>Abrir facsímil</v>
      </c>
      <c r="K4655" s="3" t="s">
        <v>23</v>
      </c>
    </row>
    <row r="4656" spans="1:11" ht="42" customHeight="1">
      <c r="A4656" s="2" t="s">
        <v>11010</v>
      </c>
      <c r="B4656" s="2" t="s">
        <v>11011</v>
      </c>
      <c r="C4656" s="2" t="s">
        <v>26</v>
      </c>
      <c r="D4656" s="2" t="s">
        <v>18</v>
      </c>
      <c r="E4656" s="5">
        <v>-30412</v>
      </c>
      <c r="F4656" s="3" t="s">
        <v>388</v>
      </c>
      <c r="G4656" s="3" t="s">
        <v>72</v>
      </c>
      <c r="H4656" s="2" t="s">
        <v>21</v>
      </c>
      <c r="I4656" s="2" t="s">
        <v>11012</v>
      </c>
      <c r="J4656" s="3" t="str">
        <f>HYPERLINK("https://www.boe.es/gazeta/dias/1816/09/24/pdfs/GMD-1816-118.pdf#page=7","Abrir facsímil")</f>
        <v>Abrir facsímil</v>
      </c>
      <c r="K4656" s="3" t="s">
        <v>23</v>
      </c>
    </row>
    <row r="4657" spans="1:11" ht="42" customHeight="1">
      <c r="A4657" s="2" t="s">
        <v>11013</v>
      </c>
      <c r="B4657" s="2" t="s">
        <v>11014</v>
      </c>
      <c r="C4657" s="2" t="s">
        <v>81</v>
      </c>
      <c r="D4657" s="2" t="s">
        <v>18</v>
      </c>
      <c r="E4657" s="5">
        <v>-30562</v>
      </c>
      <c r="F4657" s="3" t="s">
        <v>1664</v>
      </c>
      <c r="G4657" s="3" t="s">
        <v>47</v>
      </c>
      <c r="H4657" s="2" t="s">
        <v>21</v>
      </c>
      <c r="I4657" s="2" t="s">
        <v>11015</v>
      </c>
      <c r="J4657" s="3" t="str">
        <f>HYPERLINK("https://www.boe.es/gazeta/dias/1816/04/27/pdfs/GMD-1816-54.pdf#page=5","Abrir facsímil")</f>
        <v>Abrir facsímil</v>
      </c>
      <c r="K4657" s="3" t="s">
        <v>23</v>
      </c>
    </row>
    <row r="4658" spans="1:11" ht="42" customHeight="1">
      <c r="A4658" s="2" t="s">
        <v>11016</v>
      </c>
      <c r="B4658" s="2" t="s">
        <v>11017</v>
      </c>
      <c r="C4658" s="2" t="s">
        <v>26</v>
      </c>
      <c r="D4658" s="2" t="s">
        <v>18</v>
      </c>
      <c r="E4658" s="5">
        <v>-30475</v>
      </c>
      <c r="F4658" s="3" t="s">
        <v>319</v>
      </c>
      <c r="G4658" s="3" t="s">
        <v>47</v>
      </c>
      <c r="H4658" s="2" t="s">
        <v>21</v>
      </c>
      <c r="I4658" s="2" t="s">
        <v>11018</v>
      </c>
      <c r="J4658" s="3" t="str">
        <f>HYPERLINK("https://www.boe.es/gazeta/dias/1816/07/23/pdfs/GMD-1816-91.pdf#page=5","Abrir facsímil")</f>
        <v>Abrir facsímil</v>
      </c>
      <c r="K4658" s="3" t="s">
        <v>23</v>
      </c>
    </row>
    <row r="4659" spans="1:11" ht="42" customHeight="1">
      <c r="A4659" s="2" t="s">
        <v>11019</v>
      </c>
      <c r="B4659" s="2" t="s">
        <v>11020</v>
      </c>
      <c r="C4659" s="2" t="s">
        <v>26</v>
      </c>
      <c r="D4659" s="2" t="s">
        <v>18</v>
      </c>
      <c r="E4659" s="5">
        <v>-30478</v>
      </c>
      <c r="F4659" s="3" t="s">
        <v>123</v>
      </c>
      <c r="G4659" s="3" t="s">
        <v>2092</v>
      </c>
      <c r="H4659" s="2" t="s">
        <v>21</v>
      </c>
      <c r="I4659" s="2" t="s">
        <v>11021</v>
      </c>
      <c r="J4659" s="3" t="str">
        <f>HYPERLINK("https://www.boe.es/gazeta/dias/1816/07/20/pdfs/GMD-1816-90.pdf#page=5","Abrir facsímil")</f>
        <v>Abrir facsímil</v>
      </c>
      <c r="K4659" s="3" t="s">
        <v>23</v>
      </c>
    </row>
    <row r="4660" spans="1:11" ht="42" customHeight="1">
      <c r="A4660" s="2" t="s">
        <v>11022</v>
      </c>
      <c r="B4660" s="2" t="s">
        <v>11022</v>
      </c>
      <c r="C4660" s="2" t="s">
        <v>34</v>
      </c>
      <c r="D4660" s="2" t="s">
        <v>35</v>
      </c>
      <c r="E4660" s="5">
        <v>-30648</v>
      </c>
      <c r="F4660" s="3" t="s">
        <v>872</v>
      </c>
      <c r="G4660" s="3" t="s">
        <v>184</v>
      </c>
      <c r="H4660" s="2" t="s">
        <v>21</v>
      </c>
      <c r="I4660" s="2" t="s">
        <v>11023</v>
      </c>
      <c r="J4660" s="3" t="str">
        <f>HYPERLINK("https://www.boe.es/gazeta/dias/1816/02/01/pdfs/GMD-1816-15.pdf#page=3","Abrir facsímil")</f>
        <v>Abrir facsímil</v>
      </c>
      <c r="K4660" s="3" t="s">
        <v>23</v>
      </c>
    </row>
    <row r="4661" spans="1:11" ht="42" customHeight="1">
      <c r="A4661" s="2" t="s">
        <v>11022</v>
      </c>
      <c r="B4661" s="2" t="s">
        <v>11022</v>
      </c>
      <c r="C4661" s="2" t="s">
        <v>34</v>
      </c>
      <c r="D4661" s="2" t="s">
        <v>35</v>
      </c>
      <c r="E4661" s="5">
        <v>-30408</v>
      </c>
      <c r="F4661" s="3" t="s">
        <v>295</v>
      </c>
      <c r="G4661" s="3" t="s">
        <v>270</v>
      </c>
      <c r="H4661" s="2" t="s">
        <v>21</v>
      </c>
      <c r="I4661" s="2" t="s">
        <v>11024</v>
      </c>
      <c r="J4661" s="3" t="str">
        <f>HYPERLINK("https://www.boe.es/gazeta/dias/1816/09/28/pdfs/GMD-1816-120.pdf#page=2","Abrir facsímil")</f>
        <v>Abrir facsímil</v>
      </c>
      <c r="K4661" s="3" t="s">
        <v>23</v>
      </c>
    </row>
    <row r="4662" spans="1:11" ht="42" customHeight="1">
      <c r="A4662" s="2" t="s">
        <v>11025</v>
      </c>
      <c r="B4662" s="2" t="s">
        <v>11026</v>
      </c>
      <c r="C4662" s="2" t="s">
        <v>26</v>
      </c>
      <c r="D4662" s="2" t="s">
        <v>56</v>
      </c>
      <c r="E4662" s="5">
        <v>-30393</v>
      </c>
      <c r="F4662" s="3" t="s">
        <v>202</v>
      </c>
      <c r="G4662" s="3" t="s">
        <v>834</v>
      </c>
      <c r="H4662" s="2" t="s">
        <v>21</v>
      </c>
      <c r="I4662" s="2" t="s">
        <v>11027</v>
      </c>
      <c r="J4662" s="3" t="str">
        <f>HYPERLINK("https://www.boe.es/gazeta/dias/1816/10/13/pdfs/GMD-1816-128E.pdf#page=6","Abrir facsímil")</f>
        <v>Abrir facsímil</v>
      </c>
      <c r="K4662" s="3" t="s">
        <v>23</v>
      </c>
    </row>
    <row r="4663" spans="1:11" ht="42" customHeight="1">
      <c r="A4663" s="2" t="s">
        <v>11028</v>
      </c>
      <c r="B4663" s="2" t="s">
        <v>11029</v>
      </c>
      <c r="C4663" s="2" t="s">
        <v>34</v>
      </c>
      <c r="D4663" s="2" t="s">
        <v>35</v>
      </c>
      <c r="E4663" s="5">
        <v>-30401</v>
      </c>
      <c r="F4663" s="3" t="s">
        <v>652</v>
      </c>
      <c r="G4663" s="3" t="s">
        <v>72</v>
      </c>
      <c r="H4663" s="2" t="s">
        <v>21</v>
      </c>
      <c r="I4663" s="2" t="s">
        <v>11030</v>
      </c>
      <c r="J4663" s="3" t="str">
        <f>HYPERLINK("https://www.boe.es/gazeta/dias/1816/10/05/pdfs/GMD-1816-123.pdf#page=7","Abrir facsímil")</f>
        <v>Abrir facsímil</v>
      </c>
      <c r="K4663" s="3" t="s">
        <v>23</v>
      </c>
    </row>
    <row r="4664" spans="1:11" ht="42" customHeight="1">
      <c r="A4664" s="2" t="s">
        <v>11031</v>
      </c>
      <c r="B4664" s="2" t="s">
        <v>11032</v>
      </c>
      <c r="C4664" s="2" t="s">
        <v>34</v>
      </c>
      <c r="D4664" s="2" t="s">
        <v>35</v>
      </c>
      <c r="E4664" s="5">
        <v>-30480</v>
      </c>
      <c r="F4664" s="3" t="s">
        <v>147</v>
      </c>
      <c r="G4664" s="3" t="s">
        <v>28</v>
      </c>
      <c r="H4664" s="2" t="s">
        <v>21</v>
      </c>
      <c r="I4664" s="2" t="s">
        <v>11033</v>
      </c>
      <c r="J4664" s="3" t="str">
        <f>HYPERLINK("https://www.boe.es/gazeta/dias/1816/07/18/pdfs/GMD-1816-89.pdf#page=6","Abrir facsímil")</f>
        <v>Abrir facsímil</v>
      </c>
      <c r="K4664" s="3" t="s">
        <v>23</v>
      </c>
    </row>
    <row r="4665" spans="1:11" ht="42" customHeight="1">
      <c r="A4665" s="2" t="s">
        <v>11034</v>
      </c>
      <c r="B4665" s="2" t="s">
        <v>11035</v>
      </c>
      <c r="C4665" s="2" t="s">
        <v>111</v>
      </c>
      <c r="D4665" s="2" t="s">
        <v>112</v>
      </c>
      <c r="E4665" s="5">
        <v>-30438</v>
      </c>
      <c r="F4665" s="3" t="s">
        <v>299</v>
      </c>
      <c r="G4665" s="3" t="s">
        <v>92</v>
      </c>
      <c r="H4665" s="2" t="s">
        <v>21</v>
      </c>
      <c r="I4665" s="2" t="s">
        <v>11036</v>
      </c>
      <c r="J4665" s="3" t="str">
        <f>HYPERLINK("https://www.boe.es/gazeta/dias/1816/08/29/pdfs/GMD-1816-107.pdf#page=9","Abrir facsímil")</f>
        <v>Abrir facsímil</v>
      </c>
      <c r="K4665" s="3" t="s">
        <v>23</v>
      </c>
    </row>
    <row r="4666" spans="1:11" ht="42" customHeight="1">
      <c r="A4666" s="2" t="s">
        <v>11037</v>
      </c>
      <c r="B4666" s="2" t="s">
        <v>11038</v>
      </c>
      <c r="C4666" s="2" t="s">
        <v>67</v>
      </c>
      <c r="D4666" s="2" t="s">
        <v>18</v>
      </c>
      <c r="E4666" s="5">
        <v>-30410</v>
      </c>
      <c r="F4666" s="3" t="s">
        <v>1259</v>
      </c>
      <c r="G4666" s="3" t="s">
        <v>47</v>
      </c>
      <c r="H4666" s="2" t="s">
        <v>29</v>
      </c>
      <c r="I4666" s="2" t="s">
        <v>11039</v>
      </c>
      <c r="J4666" s="3" t="str">
        <f>HYPERLINK("https://www.boe.es/gazeta/dias/1816/09/26/pdfs/GMD-1816-119.pdf#page=5","Abrir facsímil")</f>
        <v>Abrir facsímil</v>
      </c>
      <c r="K4666" s="3" t="s">
        <v>31</v>
      </c>
    </row>
    <row r="4667" spans="1:11" ht="42" customHeight="1">
      <c r="A4667" s="2" t="s">
        <v>11040</v>
      </c>
      <c r="B4667" s="2" t="s">
        <v>11041</v>
      </c>
      <c r="C4667" s="2" t="s">
        <v>26</v>
      </c>
      <c r="D4667" s="2" t="s">
        <v>18</v>
      </c>
      <c r="E4667" s="5">
        <v>-30622</v>
      </c>
      <c r="F4667" s="3" t="s">
        <v>27</v>
      </c>
      <c r="G4667" s="3" t="s">
        <v>2083</v>
      </c>
      <c r="H4667" s="2" t="s">
        <v>21</v>
      </c>
      <c r="I4667" s="2" t="s">
        <v>11042</v>
      </c>
      <c r="J4667" s="3" t="str">
        <f>HYPERLINK("https://www.boe.es/gazeta/dias/1816/02/27/pdfs/GMD-1816-26.pdf#page=4","Abrir facsímil")</f>
        <v>Abrir facsímil</v>
      </c>
      <c r="K4667" s="3" t="s">
        <v>23</v>
      </c>
    </row>
    <row r="4668" spans="1:11" ht="42" customHeight="1">
      <c r="A4668" s="2" t="s">
        <v>11043</v>
      </c>
      <c r="B4668" s="2" t="s">
        <v>11044</v>
      </c>
      <c r="C4668" s="2" t="s">
        <v>26</v>
      </c>
      <c r="D4668" s="2" t="s">
        <v>18</v>
      </c>
      <c r="E4668" s="5">
        <v>-30391</v>
      </c>
      <c r="F4668" s="3" t="s">
        <v>482</v>
      </c>
      <c r="G4668" s="3" t="s">
        <v>72</v>
      </c>
      <c r="H4668" s="2" t="s">
        <v>21</v>
      </c>
      <c r="I4668" s="2" t="s">
        <v>11045</v>
      </c>
      <c r="J4668" s="3" t="str">
        <f>HYPERLINK("https://www.boe.es/gazeta/dias/1816/10/15/pdfs/GMD-1816-129.pdf#page=7","Abrir facsímil")</f>
        <v>Abrir facsímil</v>
      </c>
      <c r="K4668" s="3" t="s">
        <v>23</v>
      </c>
    </row>
    <row r="4669" spans="1:11" ht="42" customHeight="1">
      <c r="A4669" s="2" t="s">
        <v>11046</v>
      </c>
      <c r="B4669" s="2" t="s">
        <v>11047</v>
      </c>
      <c r="C4669" s="2" t="s">
        <v>26</v>
      </c>
      <c r="D4669" s="2" t="s">
        <v>18</v>
      </c>
      <c r="E4669" s="5">
        <v>-30401</v>
      </c>
      <c r="F4669" s="3" t="s">
        <v>652</v>
      </c>
      <c r="G4669" s="3" t="s">
        <v>47</v>
      </c>
      <c r="H4669" s="2" t="s">
        <v>21</v>
      </c>
      <c r="I4669" s="2" t="s">
        <v>11048</v>
      </c>
      <c r="J4669" s="3" t="str">
        <f>HYPERLINK("https://www.boe.es/gazeta/dias/1816/10/05/pdfs/GMD-1816-123.pdf#page=5","Abrir facsímil")</f>
        <v>Abrir facsímil</v>
      </c>
      <c r="K4669" s="3" t="s">
        <v>23</v>
      </c>
    </row>
    <row r="4670" spans="1:11" ht="42" customHeight="1">
      <c r="A4670" s="2" t="s">
        <v>11049</v>
      </c>
      <c r="B4670" s="2" t="s">
        <v>11050</v>
      </c>
      <c r="C4670" s="2" t="s">
        <v>26</v>
      </c>
      <c r="D4670" s="2" t="s">
        <v>18</v>
      </c>
      <c r="E4670" s="5">
        <v>-30317</v>
      </c>
      <c r="F4670" s="3" t="s">
        <v>1030</v>
      </c>
      <c r="G4670" s="3" t="s">
        <v>184</v>
      </c>
      <c r="H4670" s="2" t="s">
        <v>21</v>
      </c>
      <c r="I4670" s="2" t="s">
        <v>11051</v>
      </c>
      <c r="J4670" s="3" t="str">
        <f>HYPERLINK("https://www.boe.es/gazeta/dias/1816/12/28/pdfs/GMD-1816-161.pdf#page=3","Abrir facsímil")</f>
        <v>Abrir facsímil</v>
      </c>
      <c r="K4670" s="3" t="s">
        <v>23</v>
      </c>
    </row>
    <row r="4671" spans="1:11" ht="42" customHeight="1">
      <c r="A4671" s="2" t="s">
        <v>11052</v>
      </c>
      <c r="B4671" s="2" t="s">
        <v>11053</v>
      </c>
      <c r="C4671" s="2" t="s">
        <v>41</v>
      </c>
      <c r="D4671" s="2" t="s">
        <v>18</v>
      </c>
      <c r="E4671" s="5">
        <v>-30370</v>
      </c>
      <c r="F4671" s="3" t="s">
        <v>669</v>
      </c>
      <c r="G4671" s="3" t="s">
        <v>47</v>
      </c>
      <c r="H4671" s="2" t="s">
        <v>29</v>
      </c>
      <c r="I4671" s="2" t="s">
        <v>11054</v>
      </c>
      <c r="J4671" s="3" t="str">
        <f>HYPERLINK("https://www.boe.es/gazeta/dias/1816/11/05/pdfs/GMD-1816-138.pdf#page=5","Abrir facsímil")</f>
        <v>Abrir facsímil</v>
      </c>
      <c r="K4671" s="3" t="s">
        <v>31</v>
      </c>
    </row>
    <row r="4672" spans="1:11" ht="42" customHeight="1">
      <c r="A4672" s="2" t="s">
        <v>11055</v>
      </c>
      <c r="B4672" s="2" t="s">
        <v>11056</v>
      </c>
      <c r="C4672" s="2" t="s">
        <v>41</v>
      </c>
      <c r="D4672" s="2" t="s">
        <v>18</v>
      </c>
      <c r="E4672" s="5">
        <v>-30494</v>
      </c>
      <c r="F4672" s="3" t="s">
        <v>174</v>
      </c>
      <c r="G4672" s="3" t="s">
        <v>175</v>
      </c>
      <c r="H4672" s="2" t="s">
        <v>21</v>
      </c>
      <c r="I4672" s="2" t="s">
        <v>11057</v>
      </c>
      <c r="J4672" s="3" t="str">
        <f>HYPERLINK("https://www.boe.es/gazeta/dias/1816/07/04/pdfs/GMD-1816-83.pdf#page=11","Abrir facsímil")</f>
        <v>Abrir facsímil</v>
      </c>
      <c r="K4672" s="3" t="s">
        <v>23</v>
      </c>
    </row>
    <row r="4673" spans="1:11" ht="42" customHeight="1">
      <c r="A4673" s="2" t="s">
        <v>11058</v>
      </c>
      <c r="B4673" s="2" t="s">
        <v>11059</v>
      </c>
      <c r="C4673" s="2" t="s">
        <v>26</v>
      </c>
      <c r="D4673" s="2" t="s">
        <v>18</v>
      </c>
      <c r="E4673" s="5">
        <v>-30508</v>
      </c>
      <c r="F4673" s="3" t="s">
        <v>36</v>
      </c>
      <c r="G4673" s="3" t="s">
        <v>42</v>
      </c>
      <c r="H4673" s="2" t="s">
        <v>21</v>
      </c>
      <c r="I4673" s="2" t="s">
        <v>11060</v>
      </c>
      <c r="J4673" s="3" t="str">
        <f>HYPERLINK("https://www.boe.es/gazeta/dias/1816/06/20/pdfs/GMD-1816-77.pdf#page=8","Abrir facsímil")</f>
        <v>Abrir facsímil</v>
      </c>
      <c r="K4673" s="3" t="s">
        <v>23</v>
      </c>
    </row>
    <row r="4674" spans="1:11" ht="42" customHeight="1">
      <c r="A4674" s="2" t="s">
        <v>11061</v>
      </c>
      <c r="B4674" s="2" t="s">
        <v>11062</v>
      </c>
      <c r="C4674" s="2" t="s">
        <v>26</v>
      </c>
      <c r="D4674" s="2" t="s">
        <v>18</v>
      </c>
      <c r="E4674" s="5">
        <v>-30401</v>
      </c>
      <c r="F4674" s="3" t="s">
        <v>652</v>
      </c>
      <c r="G4674" s="3" t="s">
        <v>28</v>
      </c>
      <c r="H4674" s="2" t="s">
        <v>21</v>
      </c>
      <c r="I4674" s="2" t="s">
        <v>11063</v>
      </c>
      <c r="J4674" s="3" t="str">
        <f>HYPERLINK("https://www.boe.es/gazeta/dias/1816/10/05/pdfs/GMD-1816-123.pdf#page=6","Abrir facsímil")</f>
        <v>Abrir facsímil</v>
      </c>
      <c r="K4674" s="3" t="s">
        <v>23</v>
      </c>
    </row>
    <row r="4675" spans="1:11" ht="42" customHeight="1">
      <c r="A4675" s="2" t="s">
        <v>11064</v>
      </c>
      <c r="B4675" s="2" t="s">
        <v>11065</v>
      </c>
      <c r="C4675" s="2" t="s">
        <v>26</v>
      </c>
      <c r="D4675" s="2" t="s">
        <v>18</v>
      </c>
      <c r="E4675" s="5">
        <v>-30391</v>
      </c>
      <c r="F4675" s="3" t="s">
        <v>482</v>
      </c>
      <c r="G4675" s="3" t="s">
        <v>72</v>
      </c>
      <c r="H4675" s="2" t="s">
        <v>21</v>
      </c>
      <c r="I4675" s="2" t="s">
        <v>11066</v>
      </c>
      <c r="J4675" s="3" t="str">
        <f>HYPERLINK("https://www.boe.es/gazeta/dias/1816/10/15/pdfs/GMD-1816-129.pdf#page=7","Abrir facsímil")</f>
        <v>Abrir facsímil</v>
      </c>
      <c r="K4675" s="3" t="s">
        <v>23</v>
      </c>
    </row>
    <row r="4676" spans="1:11" ht="42" customHeight="1">
      <c r="A4676" s="2" t="s">
        <v>11067</v>
      </c>
      <c r="B4676" s="2" t="s">
        <v>11068</v>
      </c>
      <c r="C4676" s="2" t="s">
        <v>111</v>
      </c>
      <c r="D4676" s="2" t="s">
        <v>112</v>
      </c>
      <c r="E4676" s="5">
        <v>-30424</v>
      </c>
      <c r="F4676" s="3" t="s">
        <v>142</v>
      </c>
      <c r="G4676" s="3" t="s">
        <v>175</v>
      </c>
      <c r="H4676" s="2" t="s">
        <v>21</v>
      </c>
      <c r="I4676" s="2" t="s">
        <v>11069</v>
      </c>
      <c r="J4676" s="3" t="str">
        <f>HYPERLINK("https://www.boe.es/gazeta/dias/1816/09/12/pdfs/GMD-1816-113.pdf#page=11","Abrir facsímil")</f>
        <v>Abrir facsímil</v>
      </c>
      <c r="K4676" s="3" t="s">
        <v>23</v>
      </c>
    </row>
    <row r="4677" spans="1:11" ht="42" customHeight="1">
      <c r="A4677" s="2" t="s">
        <v>11070</v>
      </c>
      <c r="B4677" s="2" t="s">
        <v>11071</v>
      </c>
      <c r="C4677" s="2" t="s">
        <v>34</v>
      </c>
      <c r="D4677" s="2" t="s">
        <v>35</v>
      </c>
      <c r="E4677" s="5">
        <v>-30634</v>
      </c>
      <c r="F4677" s="3" t="s">
        <v>1104</v>
      </c>
      <c r="G4677" s="3" t="s">
        <v>2234</v>
      </c>
      <c r="H4677" s="2" t="s">
        <v>21</v>
      </c>
      <c r="I4677" s="2" t="s">
        <v>11072</v>
      </c>
      <c r="J4677" s="3" t="str">
        <f>HYPERLINK("https://www.boe.es/gazeta/dias/1816/02/15/pdfs/GMD-1816-21.pdf#page=8","Abrir facsímil")</f>
        <v>Abrir facsímil</v>
      </c>
      <c r="K4677" s="3" t="s">
        <v>23</v>
      </c>
    </row>
    <row r="4678" spans="1:11" ht="42" customHeight="1">
      <c r="A4678" s="2" t="s">
        <v>11073</v>
      </c>
      <c r="B4678" s="2" t="s">
        <v>11073</v>
      </c>
      <c r="C4678" s="2" t="s">
        <v>26</v>
      </c>
      <c r="D4678" s="2" t="s">
        <v>18</v>
      </c>
      <c r="E4678" s="5">
        <v>-30557</v>
      </c>
      <c r="F4678" s="3" t="s">
        <v>508</v>
      </c>
      <c r="G4678" s="3" t="s">
        <v>103</v>
      </c>
      <c r="H4678" s="2" t="s">
        <v>21</v>
      </c>
      <c r="I4678" s="2" t="s">
        <v>11074</v>
      </c>
      <c r="J4678" s="3" t="str">
        <f>HYPERLINK("https://www.boe.es/gazeta/dias/1816/05/02/pdfs/GMD-1816-56.pdf#page=4","Abrir facsímil")</f>
        <v>Abrir facsímil</v>
      </c>
      <c r="K4678" s="3" t="s">
        <v>23</v>
      </c>
    </row>
    <row r="4679" spans="1:11" ht="42" customHeight="1">
      <c r="A4679" s="2" t="s">
        <v>11073</v>
      </c>
      <c r="B4679" s="2" t="s">
        <v>11073</v>
      </c>
      <c r="C4679" s="2" t="s">
        <v>81</v>
      </c>
      <c r="D4679" s="2" t="s">
        <v>18</v>
      </c>
      <c r="E4679" s="5">
        <v>-30494</v>
      </c>
      <c r="F4679" s="3" t="s">
        <v>174</v>
      </c>
      <c r="G4679" s="3" t="s">
        <v>72</v>
      </c>
      <c r="H4679" s="2" t="s">
        <v>21</v>
      </c>
      <c r="I4679" s="2" t="s">
        <v>11075</v>
      </c>
      <c r="J4679" s="3" t="str">
        <f>HYPERLINK("https://www.boe.es/gazeta/dias/1816/07/04/pdfs/GMD-1816-83.pdf#page=7","Abrir facsímil")</f>
        <v>Abrir facsímil</v>
      </c>
      <c r="K4679" s="3" t="s">
        <v>23</v>
      </c>
    </row>
    <row r="4680" spans="1:11" ht="42" customHeight="1">
      <c r="A4680" s="2" t="s">
        <v>11076</v>
      </c>
      <c r="B4680" s="2" t="s">
        <v>11077</v>
      </c>
      <c r="C4680" s="2" t="s">
        <v>34</v>
      </c>
      <c r="D4680" s="2" t="s">
        <v>35</v>
      </c>
      <c r="E4680" s="5">
        <v>-30611</v>
      </c>
      <c r="F4680" s="3" t="s">
        <v>211</v>
      </c>
      <c r="G4680" s="3" t="s">
        <v>42</v>
      </c>
      <c r="H4680" s="2" t="s">
        <v>21</v>
      </c>
      <c r="I4680" s="2" t="s">
        <v>11078</v>
      </c>
      <c r="J4680" s="3" t="str">
        <f>HYPERLINK("https://www.boe.es/gazeta/dias/1816/03/09/pdfs/GMD-1816-32.pdf#page=8","Abrir facsímil")</f>
        <v>Abrir facsímil</v>
      </c>
      <c r="K4680" s="3" t="s">
        <v>23</v>
      </c>
    </row>
    <row r="4681" spans="1:11" ht="42" customHeight="1">
      <c r="A4681" s="2" t="s">
        <v>11076</v>
      </c>
      <c r="B4681" s="2" t="s">
        <v>11077</v>
      </c>
      <c r="C4681" s="2" t="s">
        <v>111</v>
      </c>
      <c r="D4681" s="2" t="s">
        <v>112</v>
      </c>
      <c r="E4681" s="5">
        <v>-30587</v>
      </c>
      <c r="F4681" s="3" t="s">
        <v>341</v>
      </c>
      <c r="G4681" s="3" t="s">
        <v>42</v>
      </c>
      <c r="H4681" s="2" t="s">
        <v>21</v>
      </c>
      <c r="I4681" s="2" t="s">
        <v>11079</v>
      </c>
      <c r="J4681" s="3" t="str">
        <f>HYPERLINK("https://www.boe.es/gazeta/dias/1816/04/02/pdfs/GMD-1816-43.pdf#page=8","Abrir facsímil")</f>
        <v>Abrir facsímil</v>
      </c>
      <c r="K4681" s="3" t="s">
        <v>23</v>
      </c>
    </row>
    <row r="4682" spans="1:11" ht="42" customHeight="1">
      <c r="A4682" s="2" t="s">
        <v>11076</v>
      </c>
      <c r="B4682" s="2" t="s">
        <v>11077</v>
      </c>
      <c r="C4682" s="2" t="s">
        <v>111</v>
      </c>
      <c r="D4682" s="2" t="s">
        <v>112</v>
      </c>
      <c r="E4682" s="5">
        <v>-30536</v>
      </c>
      <c r="F4682" s="3" t="s">
        <v>580</v>
      </c>
      <c r="G4682" s="3" t="s">
        <v>42</v>
      </c>
      <c r="H4682" s="2" t="s">
        <v>21</v>
      </c>
      <c r="I4682" s="2" t="s">
        <v>11080</v>
      </c>
      <c r="J4682" s="3" t="str">
        <f>HYPERLINK("https://www.boe.es/gazeta/dias/1816/05/23/pdfs/GMD-1816-65.pdf#page=8","Abrir facsímil")</f>
        <v>Abrir facsímil</v>
      </c>
      <c r="K4682" s="3" t="s">
        <v>23</v>
      </c>
    </row>
    <row r="4683" spans="1:11" ht="42" customHeight="1">
      <c r="A4683" s="2" t="s">
        <v>11081</v>
      </c>
      <c r="B4683" s="2" t="s">
        <v>11082</v>
      </c>
      <c r="C4683" s="2" t="s">
        <v>111</v>
      </c>
      <c r="D4683" s="2" t="s">
        <v>112</v>
      </c>
      <c r="E4683" s="5">
        <v>-30606</v>
      </c>
      <c r="F4683" s="3" t="s">
        <v>761</v>
      </c>
      <c r="G4683" s="3" t="s">
        <v>42</v>
      </c>
      <c r="H4683" s="2" t="s">
        <v>21</v>
      </c>
      <c r="I4683" s="2" t="s">
        <v>11083</v>
      </c>
      <c r="J4683" s="3" t="str">
        <f>HYPERLINK("https://www.boe.es/gazeta/dias/1816/03/14/pdfs/GMD-1816-34.pdf#page=8","Abrir facsímil")</f>
        <v>Abrir facsímil</v>
      </c>
      <c r="K4683" s="3" t="s">
        <v>23</v>
      </c>
    </row>
    <row r="4684" spans="1:11" ht="42" customHeight="1">
      <c r="A4684" s="2" t="s">
        <v>11084</v>
      </c>
      <c r="B4684" s="2" t="s">
        <v>11085</v>
      </c>
      <c r="C4684" s="2" t="s">
        <v>34</v>
      </c>
      <c r="D4684" s="2" t="s">
        <v>35</v>
      </c>
      <c r="E4684" s="5">
        <v>-30513</v>
      </c>
      <c r="F4684" s="3" t="s">
        <v>582</v>
      </c>
      <c r="G4684" s="3" t="s">
        <v>28</v>
      </c>
      <c r="H4684" s="2" t="s">
        <v>21</v>
      </c>
      <c r="I4684" s="2" t="s">
        <v>11086</v>
      </c>
      <c r="J4684" s="3" t="str">
        <f>HYPERLINK("https://www.boe.es/gazeta/dias/1816/06/15/pdfs/GMD-1816-75.pdf#page=6","Abrir facsímil")</f>
        <v>Abrir facsímil</v>
      </c>
      <c r="K4684" s="3" t="s">
        <v>23</v>
      </c>
    </row>
    <row r="4685" spans="1:11" ht="42" customHeight="1">
      <c r="A4685" s="2" t="s">
        <v>11087</v>
      </c>
      <c r="B4685" s="2" t="s">
        <v>11088</v>
      </c>
      <c r="C4685" s="2" t="s">
        <v>26</v>
      </c>
      <c r="D4685" s="2" t="s">
        <v>18</v>
      </c>
      <c r="E4685" s="5">
        <v>-30478</v>
      </c>
      <c r="F4685" s="3" t="s">
        <v>123</v>
      </c>
      <c r="G4685" s="3" t="s">
        <v>2092</v>
      </c>
      <c r="H4685" s="2" t="s">
        <v>21</v>
      </c>
      <c r="I4685" s="2" t="s">
        <v>11089</v>
      </c>
      <c r="J4685" s="3" t="str">
        <f>HYPERLINK("https://www.boe.es/gazeta/dias/1816/07/20/pdfs/GMD-1816-90.pdf#page=5","Abrir facsímil")</f>
        <v>Abrir facsímil</v>
      </c>
      <c r="K4685" s="3" t="s">
        <v>23</v>
      </c>
    </row>
    <row r="4686" spans="1:11" ht="42" customHeight="1">
      <c r="A4686" s="2" t="s">
        <v>11090</v>
      </c>
      <c r="B4686" s="2" t="s">
        <v>11091</v>
      </c>
      <c r="C4686" s="2" t="s">
        <v>81</v>
      </c>
      <c r="D4686" s="2" t="s">
        <v>18</v>
      </c>
      <c r="E4686" s="5">
        <v>-30587</v>
      </c>
      <c r="F4686" s="3" t="s">
        <v>341</v>
      </c>
      <c r="G4686" s="3" t="s">
        <v>42</v>
      </c>
      <c r="H4686" s="2" t="s">
        <v>21</v>
      </c>
      <c r="I4686" s="2" t="s">
        <v>11092</v>
      </c>
      <c r="J4686" s="3" t="str">
        <f>HYPERLINK("https://www.boe.es/gazeta/dias/1816/04/02/pdfs/GMD-1816-43.pdf#page=8","Abrir facsímil")</f>
        <v>Abrir facsímil</v>
      </c>
      <c r="K4686" s="3" t="s">
        <v>23</v>
      </c>
    </row>
    <row r="4687" spans="1:11" ht="42" customHeight="1">
      <c r="A4687" s="2" t="s">
        <v>11093</v>
      </c>
      <c r="B4687" s="2" t="s">
        <v>11094</v>
      </c>
      <c r="C4687" s="2" t="s">
        <v>26</v>
      </c>
      <c r="D4687" s="2" t="s">
        <v>18</v>
      </c>
      <c r="E4687" s="5">
        <v>-30454</v>
      </c>
      <c r="F4687" s="3" t="s">
        <v>188</v>
      </c>
      <c r="G4687" s="3" t="s">
        <v>52</v>
      </c>
      <c r="H4687" s="2" t="s">
        <v>21</v>
      </c>
      <c r="I4687" s="2" t="s">
        <v>11095</v>
      </c>
      <c r="J4687" s="3" t="str">
        <f>HYPERLINK("https://www.boe.es/gazeta/dias/1816/08/13/pdfs/GMD-1816-100.pdf#page=12","Abrir facsímil")</f>
        <v>Abrir facsímil</v>
      </c>
      <c r="K4687" s="3" t="s">
        <v>23</v>
      </c>
    </row>
    <row r="4688" spans="1:11" ht="42" customHeight="1">
      <c r="A4688" s="2" t="s">
        <v>11096</v>
      </c>
      <c r="B4688" s="2" t="s">
        <v>11097</v>
      </c>
      <c r="C4688" s="2" t="s">
        <v>26</v>
      </c>
      <c r="D4688" s="2" t="s">
        <v>18</v>
      </c>
      <c r="E4688" s="5">
        <v>-30508</v>
      </c>
      <c r="F4688" s="3" t="s">
        <v>36</v>
      </c>
      <c r="G4688" s="3" t="s">
        <v>42</v>
      </c>
      <c r="H4688" s="2" t="s">
        <v>21</v>
      </c>
      <c r="I4688" s="2" t="s">
        <v>11098</v>
      </c>
      <c r="J4688" s="3" t="str">
        <f>HYPERLINK("https://www.boe.es/gazeta/dias/1816/06/20/pdfs/GMD-1816-77.pdf#page=8","Abrir facsímil")</f>
        <v>Abrir facsímil</v>
      </c>
      <c r="K4688" s="3" t="s">
        <v>23</v>
      </c>
    </row>
    <row r="4689" spans="1:11" ht="42" customHeight="1">
      <c r="A4689" s="2" t="s">
        <v>11096</v>
      </c>
      <c r="B4689" s="2" t="s">
        <v>11097</v>
      </c>
      <c r="C4689" s="2" t="s">
        <v>26</v>
      </c>
      <c r="D4689" s="2" t="s">
        <v>18</v>
      </c>
      <c r="E4689" s="5">
        <v>-30454</v>
      </c>
      <c r="F4689" s="3" t="s">
        <v>188</v>
      </c>
      <c r="G4689" s="3" t="s">
        <v>52</v>
      </c>
      <c r="H4689" s="2" t="s">
        <v>21</v>
      </c>
      <c r="I4689" s="2" t="s">
        <v>11099</v>
      </c>
      <c r="J4689" s="3" t="str">
        <f>HYPERLINK("https://www.boe.es/gazeta/dias/1816/08/13/pdfs/GMD-1816-100.pdf#page=12","Abrir facsímil")</f>
        <v>Abrir facsímil</v>
      </c>
      <c r="K4689" s="3" t="s">
        <v>23</v>
      </c>
    </row>
    <row r="4690" spans="1:11" ht="42" customHeight="1">
      <c r="A4690" s="2" t="s">
        <v>11100</v>
      </c>
      <c r="B4690" s="2" t="s">
        <v>11101</v>
      </c>
      <c r="C4690" s="2" t="s">
        <v>111</v>
      </c>
      <c r="D4690" s="2" t="s">
        <v>112</v>
      </c>
      <c r="E4690" s="5">
        <v>-30569</v>
      </c>
      <c r="F4690" s="3" t="s">
        <v>1859</v>
      </c>
      <c r="G4690" s="3" t="s">
        <v>47</v>
      </c>
      <c r="H4690" s="2" t="s">
        <v>21</v>
      </c>
      <c r="I4690" s="2" t="s">
        <v>11102</v>
      </c>
      <c r="J4690" s="3" t="str">
        <f>HYPERLINK("https://www.boe.es/gazeta/dias/1816/04/20/pdfs/GMD-1816-51.pdf#page=5","Abrir facsímil")</f>
        <v>Abrir facsímil</v>
      </c>
      <c r="K4690" s="3" t="s">
        <v>23</v>
      </c>
    </row>
    <row r="4691" spans="1:11" ht="42" customHeight="1">
      <c r="A4691" s="2" t="s">
        <v>11103</v>
      </c>
      <c r="B4691" s="2" t="s">
        <v>11104</v>
      </c>
      <c r="C4691" s="2" t="s">
        <v>26</v>
      </c>
      <c r="D4691" s="2" t="s">
        <v>18</v>
      </c>
      <c r="E4691" s="5">
        <v>-30431</v>
      </c>
      <c r="F4691" s="3" t="s">
        <v>756</v>
      </c>
      <c r="G4691" s="3" t="s">
        <v>184</v>
      </c>
      <c r="H4691" s="2" t="s">
        <v>21</v>
      </c>
      <c r="I4691" s="2" t="s">
        <v>11105</v>
      </c>
      <c r="J4691" s="3" t="str">
        <f>HYPERLINK("https://www.boe.es/gazeta/dias/1816/09/05/pdfs/GMD-1816-110.pdf#page=3","Abrir facsímil")</f>
        <v>Abrir facsímil</v>
      </c>
      <c r="K4691" s="3" t="s">
        <v>23</v>
      </c>
    </row>
    <row r="4692" spans="1:11" ht="42" customHeight="1">
      <c r="A4692" s="2" t="s">
        <v>11103</v>
      </c>
      <c r="B4692" s="2" t="s">
        <v>11104</v>
      </c>
      <c r="C4692" s="2" t="s">
        <v>41</v>
      </c>
      <c r="D4692" s="2" t="s">
        <v>18</v>
      </c>
      <c r="E4692" s="5">
        <v>-30389</v>
      </c>
      <c r="F4692" s="3" t="s">
        <v>522</v>
      </c>
      <c r="G4692" s="3" t="s">
        <v>47</v>
      </c>
      <c r="H4692" s="2" t="s">
        <v>21</v>
      </c>
      <c r="I4692" s="2" t="s">
        <v>11106</v>
      </c>
      <c r="J4692" s="3" t="str">
        <f>HYPERLINK("https://www.boe.es/gazeta/dias/1816/10/17/pdfs/GMD-1816-130.pdf#page=5","Abrir facsímil")</f>
        <v>Abrir facsímil</v>
      </c>
      <c r="K4692" s="3" t="s">
        <v>23</v>
      </c>
    </row>
    <row r="4693" spans="1:11" ht="42" customHeight="1">
      <c r="A4693" s="2" t="s">
        <v>11107</v>
      </c>
      <c r="B4693" s="2" t="s">
        <v>11108</v>
      </c>
      <c r="C4693" s="2" t="s">
        <v>26</v>
      </c>
      <c r="D4693" s="2" t="s">
        <v>18</v>
      </c>
      <c r="E4693" s="5">
        <v>-30592</v>
      </c>
      <c r="F4693" s="3" t="s">
        <v>236</v>
      </c>
      <c r="G4693" s="3" t="s">
        <v>42</v>
      </c>
      <c r="H4693" s="2" t="s">
        <v>21</v>
      </c>
      <c r="I4693" s="2" t="s">
        <v>11109</v>
      </c>
      <c r="J4693" s="3" t="str">
        <f>HYPERLINK("https://www.boe.es/gazeta/dias/1816/03/28/pdfs/GMD-1816-41.pdf#page=8","Abrir facsímil")</f>
        <v>Abrir facsímil</v>
      </c>
      <c r="K4693" s="3" t="s">
        <v>23</v>
      </c>
    </row>
    <row r="4694" spans="1:11" ht="42" customHeight="1">
      <c r="A4694" s="2" t="s">
        <v>11107</v>
      </c>
      <c r="B4694" s="2" t="s">
        <v>11108</v>
      </c>
      <c r="C4694" s="2" t="s">
        <v>26</v>
      </c>
      <c r="D4694" s="2" t="s">
        <v>18</v>
      </c>
      <c r="E4694" s="5">
        <v>-30580</v>
      </c>
      <c r="F4694" s="3" t="s">
        <v>107</v>
      </c>
      <c r="G4694" s="3" t="s">
        <v>72</v>
      </c>
      <c r="H4694" s="2" t="s">
        <v>21</v>
      </c>
      <c r="I4694" s="2" t="s">
        <v>11110</v>
      </c>
      <c r="J4694" s="3" t="str">
        <f>HYPERLINK("https://www.boe.es/gazeta/dias/1816/04/09/pdfs/GMD-1816-46.pdf#page=7","Abrir facsímil")</f>
        <v>Abrir facsímil</v>
      </c>
      <c r="K4694" s="3" t="s">
        <v>23</v>
      </c>
    </row>
    <row r="4695" spans="1:11" ht="42" customHeight="1">
      <c r="A4695" s="2" t="s">
        <v>11111</v>
      </c>
      <c r="B4695" s="2" t="s">
        <v>11112</v>
      </c>
      <c r="C4695" s="2" t="s">
        <v>34</v>
      </c>
      <c r="D4695" s="2" t="s">
        <v>56</v>
      </c>
      <c r="E4695" s="5">
        <v>-30393</v>
      </c>
      <c r="F4695" s="3" t="s">
        <v>202</v>
      </c>
      <c r="G4695" s="3" t="s">
        <v>47</v>
      </c>
      <c r="H4695" s="2" t="s">
        <v>21</v>
      </c>
      <c r="I4695" s="2" t="s">
        <v>11113</v>
      </c>
      <c r="J4695" s="3" t="str">
        <f>HYPERLINK("https://www.boe.es/gazeta/dias/1816/10/13/pdfs/GMD-1816-128E.pdf#page=5","Abrir facsímil")</f>
        <v>Abrir facsímil</v>
      </c>
      <c r="K4695" s="3" t="s">
        <v>23</v>
      </c>
    </row>
    <row r="4696" spans="1:11" ht="42" customHeight="1">
      <c r="A4696" s="2" t="s">
        <v>11114</v>
      </c>
      <c r="B4696" s="2" t="s">
        <v>11115</v>
      </c>
      <c r="C4696" s="2" t="s">
        <v>26</v>
      </c>
      <c r="D4696" s="2" t="s">
        <v>18</v>
      </c>
      <c r="E4696" s="5">
        <v>-30450</v>
      </c>
      <c r="F4696" s="3" t="s">
        <v>349</v>
      </c>
      <c r="G4696" s="3" t="s">
        <v>47</v>
      </c>
      <c r="H4696" s="2" t="s">
        <v>21</v>
      </c>
      <c r="I4696" s="2" t="s">
        <v>11116</v>
      </c>
      <c r="J4696" s="3" t="str">
        <f>HYPERLINK("https://www.boe.es/gazeta/dias/1816/08/17/pdfs/GMD-1816-102.pdf#page=5","Abrir facsímil")</f>
        <v>Abrir facsímil</v>
      </c>
      <c r="K4696" s="3" t="s">
        <v>23</v>
      </c>
    </row>
    <row r="4697" spans="1:11" ht="42" customHeight="1">
      <c r="A4697" s="2" t="s">
        <v>11117</v>
      </c>
      <c r="B4697" s="2" t="s">
        <v>11118</v>
      </c>
      <c r="C4697" s="2" t="s">
        <v>26</v>
      </c>
      <c r="D4697" s="2" t="s">
        <v>18</v>
      </c>
      <c r="E4697" s="5">
        <v>-30436</v>
      </c>
      <c r="F4697" s="3" t="s">
        <v>102</v>
      </c>
      <c r="G4697" s="3" t="s">
        <v>103</v>
      </c>
      <c r="H4697" s="2" t="s">
        <v>21</v>
      </c>
      <c r="I4697" s="2" t="s">
        <v>11119</v>
      </c>
      <c r="J4697" s="3" t="str">
        <f>HYPERLINK("https://www.boe.es/gazeta/dias/1816/08/31/pdfs/GMD-1816-108.pdf#page=4","Abrir facsímil")</f>
        <v>Abrir facsímil</v>
      </c>
      <c r="K4697" s="3" t="s">
        <v>23</v>
      </c>
    </row>
    <row r="4698" spans="1:11" ht="42" customHeight="1">
      <c r="A4698" s="2" t="s">
        <v>11120</v>
      </c>
      <c r="B4698" s="2" t="s">
        <v>11121</v>
      </c>
      <c r="C4698" s="2" t="s">
        <v>34</v>
      </c>
      <c r="D4698" s="2" t="s">
        <v>35</v>
      </c>
      <c r="E4698" s="5">
        <v>-30380</v>
      </c>
      <c r="F4698" s="3" t="s">
        <v>819</v>
      </c>
      <c r="G4698" s="3" t="s">
        <v>28</v>
      </c>
      <c r="H4698" s="2" t="s">
        <v>29</v>
      </c>
      <c r="I4698" s="2" t="s">
        <v>11122</v>
      </c>
      <c r="J4698" s="3" t="str">
        <f>HYPERLINK("https://www.boe.es/gazeta/dias/1816/10/26/pdfs/GMD-1816-134.pdf#page=6","Abrir facsímil")</f>
        <v>Abrir facsímil</v>
      </c>
      <c r="K4698" s="3" t="s">
        <v>31</v>
      </c>
    </row>
    <row r="4699" spans="1:11" ht="42" customHeight="1">
      <c r="A4699" s="2" t="s">
        <v>11123</v>
      </c>
      <c r="B4699" s="2" t="s">
        <v>11124</v>
      </c>
      <c r="C4699" s="2" t="s">
        <v>111</v>
      </c>
      <c r="D4699" s="2" t="s">
        <v>112</v>
      </c>
      <c r="E4699" s="5">
        <v>-30473</v>
      </c>
      <c r="F4699" s="3" t="s">
        <v>336</v>
      </c>
      <c r="G4699" s="3" t="s">
        <v>3077</v>
      </c>
      <c r="H4699" s="2" t="s">
        <v>29</v>
      </c>
      <c r="I4699" s="2" t="s">
        <v>11125</v>
      </c>
      <c r="J4699" s="3" t="str">
        <f>HYPERLINK("https://www.boe.es/gazeta/dias/1816/07/25/pdfs/GMD-1816-92.pdf#page=15","Abrir facsímil")</f>
        <v>Abrir facsímil</v>
      </c>
      <c r="K4699" s="3" t="s">
        <v>31</v>
      </c>
    </row>
    <row r="4700" spans="1:11" ht="42" customHeight="1">
      <c r="A4700" s="2" t="s">
        <v>11126</v>
      </c>
      <c r="B4700" s="2" t="s">
        <v>11127</v>
      </c>
      <c r="C4700" s="2" t="s">
        <v>34</v>
      </c>
      <c r="D4700" s="2" t="s">
        <v>56</v>
      </c>
      <c r="E4700" s="5">
        <v>-30393</v>
      </c>
      <c r="F4700" s="3" t="s">
        <v>202</v>
      </c>
      <c r="G4700" s="3" t="s">
        <v>645</v>
      </c>
      <c r="H4700" s="2" t="s">
        <v>21</v>
      </c>
      <c r="I4700" s="2" t="s">
        <v>11128</v>
      </c>
      <c r="J4700" s="3" t="str">
        <f>HYPERLINK("https://www.boe.es/gazeta/dias/1816/10/13/pdfs/GMD-1816-128E.pdf#page=4","Abrir facsímil")</f>
        <v>Abrir facsímil</v>
      </c>
      <c r="K4700" s="3" t="s">
        <v>23</v>
      </c>
    </row>
    <row r="4701" spans="1:11" ht="42" customHeight="1">
      <c r="A4701" s="2" t="s">
        <v>11129</v>
      </c>
      <c r="B4701" s="2" t="s">
        <v>11130</v>
      </c>
      <c r="C4701" s="2" t="s">
        <v>26</v>
      </c>
      <c r="D4701" s="2" t="s">
        <v>18</v>
      </c>
      <c r="E4701" s="5">
        <v>-30391</v>
      </c>
      <c r="F4701" s="3" t="s">
        <v>482</v>
      </c>
      <c r="G4701" s="3" t="s">
        <v>28</v>
      </c>
      <c r="H4701" s="2" t="s">
        <v>21</v>
      </c>
      <c r="I4701" s="2" t="s">
        <v>11131</v>
      </c>
      <c r="J4701" s="3" t="str">
        <f>HYPERLINK("https://www.boe.es/gazeta/dias/1816/10/15/pdfs/GMD-1816-129.pdf#page=6","Abrir facsímil")</f>
        <v>Abrir facsímil</v>
      </c>
      <c r="K4701" s="3" t="s">
        <v>23</v>
      </c>
    </row>
    <row r="4702" spans="1:11" ht="42" customHeight="1">
      <c r="A4702" s="2" t="s">
        <v>11132</v>
      </c>
      <c r="B4702" s="2" t="s">
        <v>11133</v>
      </c>
      <c r="C4702" s="2" t="s">
        <v>34</v>
      </c>
      <c r="D4702" s="2" t="s">
        <v>35</v>
      </c>
      <c r="E4702" s="5">
        <v>-30338</v>
      </c>
      <c r="F4702" s="3" t="s">
        <v>464</v>
      </c>
      <c r="G4702" s="3" t="s">
        <v>42</v>
      </c>
      <c r="H4702" s="2" t="s">
        <v>21</v>
      </c>
      <c r="I4702" s="2" t="s">
        <v>11134</v>
      </c>
      <c r="J4702" s="3" t="str">
        <f>HYPERLINK("https://www.boe.es/gazeta/dias/1816/12/07/pdfs/GMD-1816-152.pdf#page=8","Abrir facsímil")</f>
        <v>Abrir facsímil</v>
      </c>
      <c r="K4702" s="3" t="s">
        <v>23</v>
      </c>
    </row>
    <row r="4703" spans="1:11" ht="42" customHeight="1">
      <c r="A4703" s="2" t="s">
        <v>11135</v>
      </c>
      <c r="B4703" s="2" t="s">
        <v>11136</v>
      </c>
      <c r="C4703" s="2" t="s">
        <v>34</v>
      </c>
      <c r="D4703" s="2" t="s">
        <v>35</v>
      </c>
      <c r="E4703" s="5">
        <v>-30410</v>
      </c>
      <c r="F4703" s="3" t="s">
        <v>1259</v>
      </c>
      <c r="G4703" s="3" t="s">
        <v>1318</v>
      </c>
      <c r="H4703" s="2" t="s">
        <v>21</v>
      </c>
      <c r="I4703" s="2" t="s">
        <v>11137</v>
      </c>
      <c r="J4703" s="3" t="str">
        <f>HYPERLINK("https://www.boe.es/gazeta/dias/1816/09/26/pdfs/GMD-1816-119.pdf#page=4","Abrir facsímil")</f>
        <v>Abrir facsímil</v>
      </c>
      <c r="K4703" s="3" t="s">
        <v>23</v>
      </c>
    </row>
    <row r="4704" spans="1:11" ht="42" customHeight="1">
      <c r="A4704" s="2" t="s">
        <v>11138</v>
      </c>
      <c r="B4704" s="2" t="s">
        <v>11139</v>
      </c>
      <c r="C4704" s="2" t="s">
        <v>111</v>
      </c>
      <c r="D4704" s="2" t="s">
        <v>112</v>
      </c>
      <c r="E4704" s="5">
        <v>-30650</v>
      </c>
      <c r="F4704" s="3" t="s">
        <v>1170</v>
      </c>
      <c r="G4704" s="3" t="s">
        <v>28</v>
      </c>
      <c r="H4704" s="2" t="s">
        <v>21</v>
      </c>
      <c r="I4704" s="2" t="s">
        <v>11140</v>
      </c>
      <c r="J4704" s="3" t="str">
        <f>HYPERLINK("https://www.boe.es/gazeta/dias/1816/01/30/pdfs/GMD-1816-14.pdf#page=6","Abrir facsímil")</f>
        <v>Abrir facsímil</v>
      </c>
      <c r="K4704" s="3" t="s">
        <v>23</v>
      </c>
    </row>
    <row r="4705" spans="1:11" ht="42" customHeight="1">
      <c r="A4705" s="2" t="s">
        <v>11141</v>
      </c>
      <c r="B4705" s="2" t="s">
        <v>11142</v>
      </c>
      <c r="C4705" s="2" t="s">
        <v>26</v>
      </c>
      <c r="D4705" s="2" t="s">
        <v>18</v>
      </c>
      <c r="E4705" s="5">
        <v>-30494</v>
      </c>
      <c r="F4705" s="3" t="s">
        <v>174</v>
      </c>
      <c r="G4705" s="3" t="s">
        <v>175</v>
      </c>
      <c r="H4705" s="2" t="s">
        <v>21</v>
      </c>
      <c r="I4705" s="2" t="s">
        <v>11143</v>
      </c>
      <c r="J4705" s="3" t="str">
        <f>HYPERLINK("https://www.boe.es/gazeta/dias/1816/07/04/pdfs/GMD-1816-83.pdf#page=11","Abrir facsímil")</f>
        <v>Abrir facsímil</v>
      </c>
      <c r="K4705" s="3" t="s">
        <v>23</v>
      </c>
    </row>
    <row r="4706" spans="1:11" ht="42" customHeight="1">
      <c r="A4706" s="2" t="s">
        <v>11144</v>
      </c>
      <c r="B4706" s="2" t="s">
        <v>11145</v>
      </c>
      <c r="C4706" s="2" t="s">
        <v>26</v>
      </c>
      <c r="D4706" s="2" t="s">
        <v>18</v>
      </c>
      <c r="E4706" s="5">
        <v>-30354</v>
      </c>
      <c r="F4706" s="3" t="s">
        <v>68</v>
      </c>
      <c r="G4706" s="3" t="s">
        <v>42</v>
      </c>
      <c r="H4706" s="2" t="s">
        <v>21</v>
      </c>
      <c r="I4706" s="2" t="s">
        <v>11146</v>
      </c>
      <c r="J4706" s="3" t="str">
        <f>HYPERLINK("https://www.boe.es/gazeta/dias/1816/11/21/pdfs/GMD-1816-145.pdf#page=8","Abrir facsímil")</f>
        <v>Abrir facsímil</v>
      </c>
      <c r="K4706" s="3" t="s">
        <v>23</v>
      </c>
    </row>
    <row r="4707" spans="1:11" ht="42" customHeight="1">
      <c r="A4707" s="2" t="s">
        <v>11147</v>
      </c>
      <c r="B4707" s="2" t="s">
        <v>11148</v>
      </c>
      <c r="C4707" s="2" t="s">
        <v>26</v>
      </c>
      <c r="D4707" s="2" t="s">
        <v>18</v>
      </c>
      <c r="E4707" s="5">
        <v>-30403</v>
      </c>
      <c r="F4707" s="3" t="s">
        <v>1264</v>
      </c>
      <c r="G4707" s="3" t="s">
        <v>28</v>
      </c>
      <c r="H4707" s="2" t="s">
        <v>21</v>
      </c>
      <c r="I4707" s="2" t="s">
        <v>11149</v>
      </c>
      <c r="J4707" s="3" t="str">
        <f>HYPERLINK("https://www.boe.es/gazeta/dias/1816/10/03/pdfs/GMD-1816-122.pdf#page=6","Abrir facsímil")</f>
        <v>Abrir facsímil</v>
      </c>
      <c r="K4707" s="3" t="s">
        <v>23</v>
      </c>
    </row>
    <row r="4708" spans="1:11" ht="42" customHeight="1">
      <c r="A4708" s="2" t="s">
        <v>11150</v>
      </c>
      <c r="B4708" s="2" t="s">
        <v>11151</v>
      </c>
      <c r="C4708" s="2" t="s">
        <v>34</v>
      </c>
      <c r="D4708" s="2" t="s">
        <v>35</v>
      </c>
      <c r="E4708" s="5">
        <v>-30557</v>
      </c>
      <c r="F4708" s="3" t="s">
        <v>508</v>
      </c>
      <c r="G4708" s="3" t="s">
        <v>72</v>
      </c>
      <c r="H4708" s="2" t="s">
        <v>21</v>
      </c>
      <c r="I4708" s="2" t="s">
        <v>11152</v>
      </c>
      <c r="J4708" s="3" t="str">
        <f>HYPERLINK("https://www.boe.es/gazeta/dias/1816/05/02/pdfs/GMD-1816-56.pdf#page=7","Abrir facsímil")</f>
        <v>Abrir facsímil</v>
      </c>
      <c r="K4708" s="3" t="s">
        <v>23</v>
      </c>
    </row>
    <row r="4709" spans="1:11" ht="42" customHeight="1">
      <c r="A4709" s="2" t="s">
        <v>11153</v>
      </c>
      <c r="B4709" s="2" t="s">
        <v>11154</v>
      </c>
      <c r="C4709" s="2" t="s">
        <v>26</v>
      </c>
      <c r="D4709" s="2" t="s">
        <v>18</v>
      </c>
      <c r="E4709" s="5">
        <v>-30606</v>
      </c>
      <c r="F4709" s="3" t="s">
        <v>761</v>
      </c>
      <c r="G4709" s="3" t="s">
        <v>47</v>
      </c>
      <c r="H4709" s="2" t="s">
        <v>21</v>
      </c>
      <c r="I4709" s="2" t="s">
        <v>11155</v>
      </c>
      <c r="J4709" s="3" t="str">
        <f>HYPERLINK("https://www.boe.es/gazeta/dias/1816/03/14/pdfs/GMD-1816-34.pdf#page=5","Abrir facsímil")</f>
        <v>Abrir facsímil</v>
      </c>
      <c r="K4709" s="3" t="s">
        <v>23</v>
      </c>
    </row>
    <row r="4710" spans="1:11" ht="42" customHeight="1">
      <c r="A4710" s="2" t="s">
        <v>11156</v>
      </c>
      <c r="B4710" s="2" t="s">
        <v>11157</v>
      </c>
      <c r="C4710" s="2" t="s">
        <v>34</v>
      </c>
      <c r="D4710" s="2" t="s">
        <v>35</v>
      </c>
      <c r="E4710" s="5">
        <v>-30405</v>
      </c>
      <c r="F4710" s="3" t="s">
        <v>587</v>
      </c>
      <c r="G4710" s="3" t="s">
        <v>47</v>
      </c>
      <c r="H4710" s="2" t="s">
        <v>21</v>
      </c>
      <c r="I4710" s="2" t="s">
        <v>11158</v>
      </c>
      <c r="J4710" s="3" t="str">
        <f>HYPERLINK("https://www.boe.es/gazeta/dias/1816/10/01/pdfs/GMD-1816-121.pdf#page=5","Abrir facsímil")</f>
        <v>Abrir facsímil</v>
      </c>
      <c r="K4710" s="3" t="s">
        <v>23</v>
      </c>
    </row>
    <row r="4711" spans="1:11" ht="42" customHeight="1">
      <c r="A4711" s="2" t="s">
        <v>11159</v>
      </c>
      <c r="B4711" s="2" t="s">
        <v>11160</v>
      </c>
      <c r="C4711" s="2" t="s">
        <v>26</v>
      </c>
      <c r="D4711" s="2" t="s">
        <v>18</v>
      </c>
      <c r="E4711" s="5">
        <v>-30410</v>
      </c>
      <c r="F4711" s="3" t="s">
        <v>1259</v>
      </c>
      <c r="G4711" s="3" t="s">
        <v>1318</v>
      </c>
      <c r="H4711" s="2" t="s">
        <v>29</v>
      </c>
      <c r="I4711" s="2" t="s">
        <v>11161</v>
      </c>
      <c r="J4711" s="3" t="str">
        <f>HYPERLINK("https://www.boe.es/gazeta/dias/1816/09/26/pdfs/GMD-1816-119.pdf#page=4","Abrir facsímil")</f>
        <v>Abrir facsímil</v>
      </c>
      <c r="K4711" s="3" t="s">
        <v>31</v>
      </c>
    </row>
    <row r="4712" spans="1:11" ht="42" customHeight="1">
      <c r="A4712" s="2" t="s">
        <v>11162</v>
      </c>
      <c r="B4712" s="2" t="s">
        <v>11163</v>
      </c>
      <c r="C4712" s="2" t="s">
        <v>34</v>
      </c>
      <c r="D4712" s="2" t="s">
        <v>56</v>
      </c>
      <c r="E4712" s="5">
        <v>-30622</v>
      </c>
      <c r="F4712" s="3" t="s">
        <v>907</v>
      </c>
      <c r="G4712" s="3" t="s">
        <v>184</v>
      </c>
      <c r="H4712" s="2" t="s">
        <v>21</v>
      </c>
      <c r="I4712" s="2" t="s">
        <v>11164</v>
      </c>
      <c r="J4712" s="3" t="str">
        <f>HYPERLINK("https://www.boe.es/gazeta/dias/1816/02/27/pdfs/GMD-1816-27E.pdf#page=3","Abrir facsímil")</f>
        <v>Abrir facsímil</v>
      </c>
      <c r="K4712" s="3" t="s">
        <v>23</v>
      </c>
    </row>
    <row r="4713" spans="1:11" ht="42" customHeight="1">
      <c r="A4713" s="2" t="s">
        <v>11165</v>
      </c>
      <c r="B4713" s="2" t="s">
        <v>11166</v>
      </c>
      <c r="C4713" s="2" t="s">
        <v>26</v>
      </c>
      <c r="D4713" s="2" t="s">
        <v>18</v>
      </c>
      <c r="E4713" s="5">
        <v>-30564</v>
      </c>
      <c r="F4713" s="3" t="s">
        <v>963</v>
      </c>
      <c r="G4713" s="3" t="s">
        <v>964</v>
      </c>
      <c r="H4713" s="2" t="s">
        <v>21</v>
      </c>
      <c r="I4713" s="2" t="s">
        <v>11167</v>
      </c>
      <c r="J4713" s="3" t="str">
        <f>HYPERLINK("https://www.boe.es/gazeta/dias/1816/04/25/pdfs/GMD-1816-53.pdf#page=6","Abrir facsímil")</f>
        <v>Abrir facsímil</v>
      </c>
      <c r="K4713" s="3" t="s">
        <v>23</v>
      </c>
    </row>
    <row r="4714" spans="1:11" ht="42" customHeight="1">
      <c r="A4714" s="2" t="s">
        <v>11168</v>
      </c>
      <c r="B4714" s="2" t="s">
        <v>11169</v>
      </c>
      <c r="C4714" s="2" t="s">
        <v>111</v>
      </c>
      <c r="D4714" s="2" t="s">
        <v>112</v>
      </c>
      <c r="E4714" s="5">
        <v>-30461</v>
      </c>
      <c r="F4714" s="3" t="s">
        <v>912</v>
      </c>
      <c r="G4714" s="3" t="s">
        <v>47</v>
      </c>
      <c r="H4714" s="2" t="s">
        <v>21</v>
      </c>
      <c r="I4714" s="2" t="s">
        <v>11170</v>
      </c>
      <c r="J4714" s="3" t="str">
        <f>HYPERLINK("https://www.boe.es/gazeta/dias/1816/08/06/pdfs/GMD-1816-97.pdf#page=5","Abrir facsímil")</f>
        <v>Abrir facsímil</v>
      </c>
      <c r="K4714" s="3" t="s">
        <v>23</v>
      </c>
    </row>
    <row r="4715" spans="1:11" ht="42" customHeight="1">
      <c r="A4715" s="2" t="s">
        <v>11168</v>
      </c>
      <c r="B4715" s="2" t="s">
        <v>11169</v>
      </c>
      <c r="C4715" s="2" t="s">
        <v>34</v>
      </c>
      <c r="D4715" s="2" t="s">
        <v>35</v>
      </c>
      <c r="E4715" s="5">
        <v>-30321</v>
      </c>
      <c r="F4715" s="3" t="s">
        <v>1086</v>
      </c>
      <c r="G4715" s="3" t="s">
        <v>184</v>
      </c>
      <c r="H4715" s="2" t="s">
        <v>21</v>
      </c>
      <c r="I4715" s="2" t="s">
        <v>11171</v>
      </c>
      <c r="J4715" s="3" t="str">
        <f>HYPERLINK("https://www.boe.es/gazeta/dias/1816/12/24/pdfs/GMD-1816-159.pdf#page=3","Abrir facsímil")</f>
        <v>Abrir facsímil</v>
      </c>
      <c r="K4715" s="3" t="s">
        <v>23</v>
      </c>
    </row>
    <row r="4716" spans="1:11" ht="42" customHeight="1">
      <c r="A4716" s="2" t="s">
        <v>11172</v>
      </c>
      <c r="B4716" s="2" t="s">
        <v>11172</v>
      </c>
      <c r="C4716" s="2" t="s">
        <v>26</v>
      </c>
      <c r="D4716" s="2" t="s">
        <v>18</v>
      </c>
      <c r="E4716" s="5">
        <v>-30401</v>
      </c>
      <c r="F4716" s="3" t="s">
        <v>652</v>
      </c>
      <c r="G4716" s="3" t="s">
        <v>103</v>
      </c>
      <c r="H4716" s="2" t="s">
        <v>21</v>
      </c>
      <c r="I4716" s="2" t="s">
        <v>11173</v>
      </c>
      <c r="J4716" s="3" t="str">
        <f>HYPERLINK("https://www.boe.es/gazeta/dias/1816/10/05/pdfs/GMD-1816-123.pdf#page=4","Abrir facsímil")</f>
        <v>Abrir facsímil</v>
      </c>
      <c r="K4716" s="3" t="s">
        <v>23</v>
      </c>
    </row>
    <row r="4717" spans="1:11" ht="42" customHeight="1">
      <c r="A4717" s="2" t="s">
        <v>11174</v>
      </c>
      <c r="B4717" s="2" t="s">
        <v>11174</v>
      </c>
      <c r="C4717" s="2" t="s">
        <v>26</v>
      </c>
      <c r="D4717" s="2" t="s">
        <v>18</v>
      </c>
      <c r="E4717" s="5">
        <v>-30391</v>
      </c>
      <c r="F4717" s="3" t="s">
        <v>482</v>
      </c>
      <c r="G4717" s="3" t="s">
        <v>72</v>
      </c>
      <c r="H4717" s="2" t="s">
        <v>21</v>
      </c>
      <c r="I4717" s="2" t="s">
        <v>11175</v>
      </c>
      <c r="J4717" s="3" t="str">
        <f>HYPERLINK("https://www.boe.es/gazeta/dias/1816/10/15/pdfs/GMD-1816-129.pdf#page=7","Abrir facsímil")</f>
        <v>Abrir facsímil</v>
      </c>
      <c r="K4717" s="3" t="s">
        <v>23</v>
      </c>
    </row>
    <row r="4718" spans="1:11" ht="42" customHeight="1">
      <c r="A4718" s="2" t="s">
        <v>11176</v>
      </c>
      <c r="B4718" s="2" t="s">
        <v>11177</v>
      </c>
      <c r="C4718" s="2" t="s">
        <v>111</v>
      </c>
      <c r="D4718" s="2" t="s">
        <v>112</v>
      </c>
      <c r="E4718" s="5">
        <v>-30601</v>
      </c>
      <c r="F4718" s="3" t="s">
        <v>308</v>
      </c>
      <c r="G4718" s="3" t="s">
        <v>72</v>
      </c>
      <c r="H4718" s="2" t="s">
        <v>21</v>
      </c>
      <c r="I4718" s="2" t="s">
        <v>11178</v>
      </c>
      <c r="J4718" s="3" t="str">
        <f>HYPERLINK("https://www.boe.es/gazeta/dias/1816/03/19/pdfs/GMD-1816-37.pdf#page=7","Abrir facsímil")</f>
        <v>Abrir facsímil</v>
      </c>
      <c r="K4718" s="3" t="s">
        <v>23</v>
      </c>
    </row>
    <row r="4719" spans="1:11" ht="42" customHeight="1">
      <c r="A4719" s="2" t="s">
        <v>11176</v>
      </c>
      <c r="B4719" s="2" t="s">
        <v>11177</v>
      </c>
      <c r="C4719" s="2" t="s">
        <v>34</v>
      </c>
      <c r="D4719" s="2" t="s">
        <v>35</v>
      </c>
      <c r="E4719" s="5">
        <v>-30578</v>
      </c>
      <c r="F4719" s="3" t="s">
        <v>91</v>
      </c>
      <c r="G4719" s="3" t="s">
        <v>286</v>
      </c>
      <c r="H4719" s="2" t="s">
        <v>21</v>
      </c>
      <c r="I4719" s="2" t="s">
        <v>11179</v>
      </c>
      <c r="J4719" s="3" t="str">
        <f>HYPERLINK("https://www.boe.es/gazeta/dias/1816/04/11/pdfs/GMD-1816-47.pdf#page=11","Abrir facsímil")</f>
        <v>Abrir facsímil</v>
      </c>
      <c r="K4719" s="3" t="s">
        <v>23</v>
      </c>
    </row>
    <row r="4720" spans="1:11" ht="42" customHeight="1">
      <c r="A4720" s="2" t="s">
        <v>11180</v>
      </c>
      <c r="B4720" s="2" t="s">
        <v>11181</v>
      </c>
      <c r="C4720" s="2" t="s">
        <v>26</v>
      </c>
      <c r="D4720" s="2" t="s">
        <v>18</v>
      </c>
      <c r="E4720" s="5">
        <v>-30576</v>
      </c>
      <c r="F4720" s="3" t="s">
        <v>353</v>
      </c>
      <c r="G4720" s="3" t="s">
        <v>72</v>
      </c>
      <c r="H4720" s="2" t="s">
        <v>21</v>
      </c>
      <c r="I4720" s="2" t="s">
        <v>11182</v>
      </c>
      <c r="J4720" s="3" t="str">
        <f>HYPERLINK("https://www.boe.es/gazeta/dias/1816/04/13/pdfs/GMD-1816-48.pdf#page=7","Abrir facsímil")</f>
        <v>Abrir facsímil</v>
      </c>
      <c r="K4720" s="3" t="s">
        <v>23</v>
      </c>
    </row>
    <row r="4721" spans="1:11" ht="42" customHeight="1">
      <c r="A4721" s="2" t="s">
        <v>11183</v>
      </c>
      <c r="B4721" s="2" t="s">
        <v>11184</v>
      </c>
      <c r="C4721" s="2" t="s">
        <v>26</v>
      </c>
      <c r="D4721" s="2" t="s">
        <v>18</v>
      </c>
      <c r="E4721" s="5">
        <v>-30401</v>
      </c>
      <c r="F4721" s="3" t="s">
        <v>652</v>
      </c>
      <c r="G4721" s="3" t="s">
        <v>28</v>
      </c>
      <c r="H4721" s="2" t="s">
        <v>29</v>
      </c>
      <c r="I4721" s="2" t="s">
        <v>11185</v>
      </c>
      <c r="J4721" s="3" t="str">
        <f>HYPERLINK("https://www.boe.es/gazeta/dias/1816/10/05/pdfs/GMD-1816-123.pdf#page=6","Abrir facsímil")</f>
        <v>Abrir facsímil</v>
      </c>
      <c r="K4721" s="3" t="s">
        <v>31</v>
      </c>
    </row>
    <row r="4722" spans="1:11" ht="42" customHeight="1">
      <c r="A4722" s="2" t="s">
        <v>11186</v>
      </c>
      <c r="B4722" s="2" t="s">
        <v>11187</v>
      </c>
      <c r="C4722" s="2" t="s">
        <v>34</v>
      </c>
      <c r="D4722" s="2" t="s">
        <v>35</v>
      </c>
      <c r="E4722" s="5">
        <v>-30613</v>
      </c>
      <c r="F4722" s="3" t="s">
        <v>392</v>
      </c>
      <c r="G4722" s="3" t="s">
        <v>2396</v>
      </c>
      <c r="H4722" s="2" t="s">
        <v>21</v>
      </c>
      <c r="I4722" s="2" t="s">
        <v>11188</v>
      </c>
      <c r="J4722" s="3" t="str">
        <f>HYPERLINK("https://www.boe.es/gazeta/dias/1816/03/07/pdfs/GMD-1816-31.pdf#page=5","Abrir facsímil")</f>
        <v>Abrir facsímil</v>
      </c>
      <c r="K4722" s="3" t="s">
        <v>23</v>
      </c>
    </row>
    <row r="4723" spans="1:11" ht="42" customHeight="1">
      <c r="A4723" s="2" t="s">
        <v>11189</v>
      </c>
      <c r="B4723" s="2" t="s">
        <v>11190</v>
      </c>
      <c r="C4723" s="2" t="s">
        <v>34</v>
      </c>
      <c r="D4723" s="2" t="s">
        <v>35</v>
      </c>
      <c r="E4723" s="5">
        <v>-30580</v>
      </c>
      <c r="F4723" s="3" t="s">
        <v>107</v>
      </c>
      <c r="G4723" s="3" t="s">
        <v>28</v>
      </c>
      <c r="H4723" s="2" t="s">
        <v>21</v>
      </c>
      <c r="I4723" s="2" t="s">
        <v>11191</v>
      </c>
      <c r="J4723" s="3" t="str">
        <f>HYPERLINK("https://www.boe.es/gazeta/dias/1816/04/09/pdfs/GMD-1816-46.pdf#page=6","Abrir facsímil")</f>
        <v>Abrir facsímil</v>
      </c>
      <c r="K4723" s="3" t="s">
        <v>23</v>
      </c>
    </row>
    <row r="4724" spans="1:11" ht="42" customHeight="1">
      <c r="A4724" s="2" t="s">
        <v>11192</v>
      </c>
      <c r="B4724" s="2" t="s">
        <v>11193</v>
      </c>
      <c r="C4724" s="2" t="s">
        <v>26</v>
      </c>
      <c r="D4724" s="2" t="s">
        <v>18</v>
      </c>
      <c r="E4724" s="5">
        <v>-30576</v>
      </c>
      <c r="F4724" s="3" t="s">
        <v>353</v>
      </c>
      <c r="G4724" s="3" t="s">
        <v>72</v>
      </c>
      <c r="H4724" s="2" t="s">
        <v>21</v>
      </c>
      <c r="I4724" s="2" t="s">
        <v>11194</v>
      </c>
      <c r="J4724" s="3" t="str">
        <f>HYPERLINK("https://www.boe.es/gazeta/dias/1816/04/13/pdfs/GMD-1816-48.pdf#page=7","Abrir facsímil")</f>
        <v>Abrir facsímil</v>
      </c>
      <c r="K4724" s="3" t="s">
        <v>23</v>
      </c>
    </row>
    <row r="4725" spans="1:11" ht="42" customHeight="1">
      <c r="A4725" s="2" t="s">
        <v>11195</v>
      </c>
      <c r="B4725" s="2" t="s">
        <v>11196</v>
      </c>
      <c r="C4725" s="2" t="s">
        <v>34</v>
      </c>
      <c r="D4725" s="2" t="s">
        <v>35</v>
      </c>
      <c r="E4725" s="5">
        <v>-30431</v>
      </c>
      <c r="F4725" s="3" t="s">
        <v>756</v>
      </c>
      <c r="G4725" s="3" t="s">
        <v>72</v>
      </c>
      <c r="H4725" s="2" t="s">
        <v>21</v>
      </c>
      <c r="I4725" s="2" t="s">
        <v>11197</v>
      </c>
      <c r="J4725" s="3" t="str">
        <f>HYPERLINK("https://www.boe.es/gazeta/dias/1816/09/05/pdfs/GMD-1816-110.pdf#page=7","Abrir facsímil")</f>
        <v>Abrir facsímil</v>
      </c>
      <c r="K4725" s="3" t="s">
        <v>23</v>
      </c>
    </row>
    <row r="4726" spans="1:11" ht="42" customHeight="1">
      <c r="A4726" s="2" t="s">
        <v>11198</v>
      </c>
      <c r="B4726" s="2" t="s">
        <v>11198</v>
      </c>
      <c r="C4726" s="2" t="s">
        <v>34</v>
      </c>
      <c r="D4726" s="2" t="s">
        <v>35</v>
      </c>
      <c r="E4726" s="5">
        <v>-30433</v>
      </c>
      <c r="F4726" s="3" t="s">
        <v>954</v>
      </c>
      <c r="G4726" s="3" t="s">
        <v>47</v>
      </c>
      <c r="H4726" s="2" t="s">
        <v>21</v>
      </c>
      <c r="I4726" s="2" t="s">
        <v>11199</v>
      </c>
      <c r="J4726" s="3" t="str">
        <f>HYPERLINK("https://www.boe.es/gazeta/dias/1816/09/03/pdfs/GMD-1816-109.pdf#page=5","Abrir facsímil")</f>
        <v>Abrir facsímil</v>
      </c>
      <c r="K4726" s="3" t="s">
        <v>23</v>
      </c>
    </row>
    <row r="4727" spans="1:11" ht="42" customHeight="1">
      <c r="A4727" s="2" t="s">
        <v>11200</v>
      </c>
      <c r="B4727" s="2" t="s">
        <v>11201</v>
      </c>
      <c r="C4727" s="2" t="s">
        <v>34</v>
      </c>
      <c r="D4727" s="2" t="s">
        <v>35</v>
      </c>
      <c r="E4727" s="5">
        <v>-30387</v>
      </c>
      <c r="F4727" s="3" t="s">
        <v>224</v>
      </c>
      <c r="G4727" s="3" t="s">
        <v>28</v>
      </c>
      <c r="H4727" s="2" t="s">
        <v>21</v>
      </c>
      <c r="I4727" s="2" t="s">
        <v>11202</v>
      </c>
      <c r="J4727" s="3" t="str">
        <f>HYPERLINK("https://www.boe.es/gazeta/dias/1816/10/19/pdfs/GMD-1816-131.pdf#page=6","Abrir facsímil")</f>
        <v>Abrir facsímil</v>
      </c>
      <c r="K4727" s="3" t="s">
        <v>23</v>
      </c>
    </row>
    <row r="4728" spans="1:11" ht="42" customHeight="1">
      <c r="A4728" s="2" t="s">
        <v>11203</v>
      </c>
      <c r="B4728" s="2" t="s">
        <v>11204</v>
      </c>
      <c r="C4728" s="2" t="s">
        <v>17</v>
      </c>
      <c r="D4728" s="2" t="s">
        <v>18</v>
      </c>
      <c r="E4728" s="5">
        <v>-30412</v>
      </c>
      <c r="F4728" s="3" t="s">
        <v>388</v>
      </c>
      <c r="G4728" s="3" t="s">
        <v>42</v>
      </c>
      <c r="H4728" s="2" t="s">
        <v>21</v>
      </c>
      <c r="I4728" s="2" t="s">
        <v>11205</v>
      </c>
      <c r="J4728" s="3" t="str">
        <f>HYPERLINK("https://www.boe.es/gazeta/dias/1816/09/24/pdfs/GMD-1816-118.pdf#page=8","Abrir facsímil")</f>
        <v>Abrir facsímil</v>
      </c>
      <c r="K4728" s="3" t="s">
        <v>23</v>
      </c>
    </row>
    <row r="4729" spans="1:11" ht="42" customHeight="1">
      <c r="A4729" s="2" t="s">
        <v>11206</v>
      </c>
      <c r="B4729" s="2" t="s">
        <v>11207</v>
      </c>
      <c r="C4729" s="2" t="s">
        <v>26</v>
      </c>
      <c r="D4729" s="2" t="s">
        <v>18</v>
      </c>
      <c r="E4729" s="5">
        <v>-30347</v>
      </c>
      <c r="F4729" s="3" t="s">
        <v>2994</v>
      </c>
      <c r="G4729" s="3" t="s">
        <v>72</v>
      </c>
      <c r="H4729" s="2" t="s">
        <v>21</v>
      </c>
      <c r="I4729" s="2" t="s">
        <v>11208</v>
      </c>
      <c r="J4729" s="3" t="str">
        <f>HYPERLINK("https://www.boe.es/gazeta/dias/1816/11/28/pdfs/GMD-1816-148.pdf#page=7","Abrir facsímil")</f>
        <v>Abrir facsímil</v>
      </c>
      <c r="K4729" s="3" t="s">
        <v>23</v>
      </c>
    </row>
    <row r="4730" spans="1:11" ht="42" customHeight="1">
      <c r="A4730" s="2" t="s">
        <v>11209</v>
      </c>
      <c r="B4730" s="2" t="s">
        <v>11210</v>
      </c>
      <c r="C4730" s="2" t="s">
        <v>34</v>
      </c>
      <c r="D4730" s="2" t="s">
        <v>35</v>
      </c>
      <c r="E4730" s="5">
        <v>-30564</v>
      </c>
      <c r="F4730" s="3" t="s">
        <v>963</v>
      </c>
      <c r="G4730" s="3" t="s">
        <v>47</v>
      </c>
      <c r="H4730" s="2" t="s">
        <v>21</v>
      </c>
      <c r="I4730" s="2" t="s">
        <v>11211</v>
      </c>
      <c r="J4730" s="3" t="str">
        <f>HYPERLINK("https://www.boe.es/gazeta/dias/1816/04/25/pdfs/GMD-1816-53.pdf#page=5","Abrir facsímil")</f>
        <v>Abrir facsímil</v>
      </c>
      <c r="K4730" s="3" t="s">
        <v>23</v>
      </c>
    </row>
    <row r="4731" spans="1:11" ht="42" customHeight="1">
      <c r="A4731" s="2" t="s">
        <v>11212</v>
      </c>
      <c r="B4731" s="2" t="s">
        <v>11213</v>
      </c>
      <c r="C4731" s="2" t="s">
        <v>81</v>
      </c>
      <c r="D4731" s="2" t="s">
        <v>18</v>
      </c>
      <c r="E4731" s="5">
        <v>-30604</v>
      </c>
      <c r="F4731" s="3" t="s">
        <v>488</v>
      </c>
      <c r="G4731" s="3" t="s">
        <v>42</v>
      </c>
      <c r="H4731" s="2" t="s">
        <v>21</v>
      </c>
      <c r="I4731" s="2" t="s">
        <v>11214</v>
      </c>
      <c r="J4731" s="3" t="str">
        <f>HYPERLINK("https://www.boe.es/gazeta/dias/1816/03/16/pdfs/GMD-1816-35.pdf#page=8","Abrir facsímil")</f>
        <v>Abrir facsímil</v>
      </c>
      <c r="K4731" s="3" t="s">
        <v>23</v>
      </c>
    </row>
    <row r="4732" spans="1:11" ht="42" customHeight="1">
      <c r="A4732" s="2" t="s">
        <v>11215</v>
      </c>
      <c r="B4732" s="2" t="s">
        <v>11216</v>
      </c>
      <c r="C4732" s="2" t="s">
        <v>26</v>
      </c>
      <c r="D4732" s="2" t="s">
        <v>18</v>
      </c>
      <c r="E4732" s="5">
        <v>-30387</v>
      </c>
      <c r="F4732" s="3" t="s">
        <v>224</v>
      </c>
      <c r="G4732" s="3" t="s">
        <v>28</v>
      </c>
      <c r="H4732" s="2" t="s">
        <v>21</v>
      </c>
      <c r="I4732" s="2" t="s">
        <v>11217</v>
      </c>
      <c r="J4732" s="3" t="str">
        <f>HYPERLINK("https://www.boe.es/gazeta/dias/1816/10/19/pdfs/GMD-1816-131.pdf#page=6","Abrir facsímil")</f>
        <v>Abrir facsímil</v>
      </c>
      <c r="K4732" s="3" t="s">
        <v>23</v>
      </c>
    </row>
    <row r="4733" spans="1:11" ht="42" customHeight="1">
      <c r="A4733" s="2" t="s">
        <v>11218</v>
      </c>
      <c r="B4733" s="2" t="s">
        <v>11219</v>
      </c>
      <c r="C4733" s="2" t="s">
        <v>34</v>
      </c>
      <c r="D4733" s="2" t="s">
        <v>56</v>
      </c>
      <c r="E4733" s="5">
        <v>-30393</v>
      </c>
      <c r="F4733" s="3" t="s">
        <v>202</v>
      </c>
      <c r="G4733" s="3" t="s">
        <v>184</v>
      </c>
      <c r="H4733" s="2" t="s">
        <v>21</v>
      </c>
      <c r="I4733" s="2" t="s">
        <v>11220</v>
      </c>
      <c r="J4733" s="3" t="str">
        <f>HYPERLINK("https://www.boe.es/gazeta/dias/1816/10/13/pdfs/GMD-1816-128E.pdf#page=3","Abrir facsímil")</f>
        <v>Abrir facsímil</v>
      </c>
      <c r="K4733" s="3" t="s">
        <v>23</v>
      </c>
    </row>
    <row r="4734" spans="1:11" ht="42" customHeight="1">
      <c r="A4734" s="2" t="s">
        <v>11221</v>
      </c>
      <c r="B4734" s="2" t="s">
        <v>11222</v>
      </c>
      <c r="C4734" s="2" t="s">
        <v>34</v>
      </c>
      <c r="D4734" s="2" t="s">
        <v>35</v>
      </c>
      <c r="E4734" s="5">
        <v>-30352</v>
      </c>
      <c r="F4734" s="3" t="s">
        <v>407</v>
      </c>
      <c r="G4734" s="3" t="s">
        <v>6741</v>
      </c>
      <c r="H4734" s="2" t="s">
        <v>21</v>
      </c>
      <c r="I4734" s="2" t="s">
        <v>11223</v>
      </c>
      <c r="J4734" s="3" t="str">
        <f>HYPERLINK("https://www.boe.es/gazeta/dias/1816/11/23/pdfs/GMD-1816-146.pdf#page=6","Abrir facsímil")</f>
        <v>Abrir facsímil</v>
      </c>
      <c r="K4734" s="3" t="s">
        <v>23</v>
      </c>
    </row>
    <row r="4735" spans="1:11" ht="42" customHeight="1">
      <c r="A4735" s="2" t="s">
        <v>11221</v>
      </c>
      <c r="B4735" s="2" t="s">
        <v>11222</v>
      </c>
      <c r="C4735" s="2" t="s">
        <v>111</v>
      </c>
      <c r="D4735" s="2" t="s">
        <v>112</v>
      </c>
      <c r="E4735" s="5">
        <v>-30352</v>
      </c>
      <c r="F4735" s="3" t="s">
        <v>407</v>
      </c>
      <c r="G4735" s="3" t="s">
        <v>47</v>
      </c>
      <c r="H4735" s="2" t="s">
        <v>21</v>
      </c>
      <c r="I4735" s="2" t="s">
        <v>11224</v>
      </c>
      <c r="J4735" s="3" t="str">
        <f>HYPERLINK("https://www.boe.es/gazeta/dias/1816/11/23/pdfs/GMD-1816-146.pdf#page=5","Abrir facsímil")</f>
        <v>Abrir facsímil</v>
      </c>
      <c r="K4735" s="3" t="s">
        <v>23</v>
      </c>
    </row>
    <row r="4736" spans="1:11" ht="42" customHeight="1">
      <c r="A4736" s="2" t="s">
        <v>11225</v>
      </c>
      <c r="B4736" s="2" t="s">
        <v>11226</v>
      </c>
      <c r="C4736" s="2" t="s">
        <v>41</v>
      </c>
      <c r="D4736" s="2" t="s">
        <v>18</v>
      </c>
      <c r="E4736" s="5">
        <v>-30580</v>
      </c>
      <c r="F4736" s="3" t="s">
        <v>107</v>
      </c>
      <c r="G4736" s="3" t="s">
        <v>72</v>
      </c>
      <c r="H4736" s="2" t="s">
        <v>21</v>
      </c>
      <c r="I4736" s="2" t="s">
        <v>11227</v>
      </c>
      <c r="J4736" s="3" t="str">
        <f>HYPERLINK("https://www.boe.es/gazeta/dias/1816/04/09/pdfs/GMD-1816-46.pdf#page=7","Abrir facsímil")</f>
        <v>Abrir facsímil</v>
      </c>
      <c r="K4736" s="3" t="s">
        <v>23</v>
      </c>
    </row>
    <row r="4737" spans="1:11" ht="42" customHeight="1">
      <c r="A4737" s="2" t="s">
        <v>11228</v>
      </c>
      <c r="B4737" s="2" t="s">
        <v>11229</v>
      </c>
      <c r="C4737" s="2" t="s">
        <v>26</v>
      </c>
      <c r="D4737" s="2" t="s">
        <v>18</v>
      </c>
      <c r="E4737" s="5">
        <v>-30664</v>
      </c>
      <c r="F4737" s="3" t="s">
        <v>1999</v>
      </c>
      <c r="G4737" s="3" t="s">
        <v>42</v>
      </c>
      <c r="H4737" s="2" t="s">
        <v>21</v>
      </c>
      <c r="I4737" s="2" t="s">
        <v>11230</v>
      </c>
      <c r="J4737" s="3" t="str">
        <f>HYPERLINK("https://www.boe.es/gazeta/dias/1816/01/16/pdfs/GMD-1816-7.pdf#page=8","Abrir facsímil")</f>
        <v>Abrir facsímil</v>
      </c>
      <c r="K4737" s="3" t="s">
        <v>23</v>
      </c>
    </row>
    <row r="4738" spans="1:11" ht="42" customHeight="1">
      <c r="A4738" s="2" t="s">
        <v>11231</v>
      </c>
      <c r="B4738" s="2" t="s">
        <v>11232</v>
      </c>
      <c r="C4738" s="2" t="s">
        <v>81</v>
      </c>
      <c r="D4738" s="2" t="s">
        <v>18</v>
      </c>
      <c r="E4738" s="5">
        <v>-30445</v>
      </c>
      <c r="F4738" s="3" t="s">
        <v>51</v>
      </c>
      <c r="G4738" s="3" t="s">
        <v>72</v>
      </c>
      <c r="H4738" s="2" t="s">
        <v>21</v>
      </c>
      <c r="I4738" s="2" t="s">
        <v>11233</v>
      </c>
      <c r="J4738" s="3" t="str">
        <f>HYPERLINK("https://www.boe.es/gazeta/dias/1816/08/22/pdfs/GMD-1816-104.pdf#page=7","Abrir facsímil")</f>
        <v>Abrir facsímil</v>
      </c>
      <c r="K4738" s="3" t="s">
        <v>23</v>
      </c>
    </row>
    <row r="4739" spans="1:11" ht="42" customHeight="1">
      <c r="A4739" s="2" t="s">
        <v>11231</v>
      </c>
      <c r="B4739" s="2" t="s">
        <v>11232</v>
      </c>
      <c r="C4739" s="2" t="s">
        <v>111</v>
      </c>
      <c r="D4739" s="2" t="s">
        <v>56</v>
      </c>
      <c r="E4739" s="5">
        <v>-30393</v>
      </c>
      <c r="F4739" s="3" t="s">
        <v>202</v>
      </c>
      <c r="G4739" s="3" t="s">
        <v>645</v>
      </c>
      <c r="H4739" s="2" t="s">
        <v>21</v>
      </c>
      <c r="I4739" s="2" t="s">
        <v>11234</v>
      </c>
      <c r="J4739" s="3" t="str">
        <f>HYPERLINK("https://www.boe.es/gazeta/dias/1816/10/13/pdfs/GMD-1816-128E.pdf#page=4","Abrir facsímil")</f>
        <v>Abrir facsímil</v>
      </c>
      <c r="K4739" s="3" t="s">
        <v>23</v>
      </c>
    </row>
    <row r="4740" spans="1:11" ht="42" customHeight="1">
      <c r="A4740" s="2" t="s">
        <v>11235</v>
      </c>
      <c r="B4740" s="2" t="s">
        <v>11236</v>
      </c>
      <c r="C4740" s="2" t="s">
        <v>111</v>
      </c>
      <c r="D4740" s="2" t="s">
        <v>112</v>
      </c>
      <c r="E4740" s="5">
        <v>-30438</v>
      </c>
      <c r="F4740" s="3" t="s">
        <v>299</v>
      </c>
      <c r="G4740" s="3" t="s">
        <v>300</v>
      </c>
      <c r="H4740" s="2" t="s">
        <v>21</v>
      </c>
      <c r="I4740" s="2" t="s">
        <v>11237</v>
      </c>
      <c r="J4740" s="3" t="str">
        <f>HYPERLINK("https://www.boe.es/gazeta/dias/1816/08/29/pdfs/GMD-1816-107.pdf#page=12","Abrir facsímil")</f>
        <v>Abrir facsímil</v>
      </c>
      <c r="K4740" s="3" t="s">
        <v>23</v>
      </c>
    </row>
    <row r="4741" spans="1:11" ht="42" customHeight="1">
      <c r="A4741" s="2" t="s">
        <v>11238</v>
      </c>
      <c r="B4741" s="2" t="s">
        <v>11239</v>
      </c>
      <c r="C4741" s="2" t="s">
        <v>26</v>
      </c>
      <c r="D4741" s="2" t="s">
        <v>18</v>
      </c>
      <c r="E4741" s="5">
        <v>-30366</v>
      </c>
      <c r="F4741" s="3" t="s">
        <v>179</v>
      </c>
      <c r="G4741" s="3" t="s">
        <v>28</v>
      </c>
      <c r="H4741" s="2" t="s">
        <v>21</v>
      </c>
      <c r="I4741" s="2" t="s">
        <v>11240</v>
      </c>
      <c r="J4741" s="3" t="str">
        <f>HYPERLINK("https://www.boe.es/gazeta/dias/1816/11/09/pdfs/GMD-1816-140.pdf#page=6","Abrir facsímil")</f>
        <v>Abrir facsímil</v>
      </c>
      <c r="K4741" s="3" t="s">
        <v>23</v>
      </c>
    </row>
    <row r="4742" spans="1:11" ht="42" customHeight="1">
      <c r="A4742" s="2" t="s">
        <v>11241</v>
      </c>
      <c r="B4742" s="2" t="s">
        <v>11242</v>
      </c>
      <c r="C4742" s="2" t="s">
        <v>111</v>
      </c>
      <c r="D4742" s="2" t="s">
        <v>112</v>
      </c>
      <c r="E4742" s="5">
        <v>-30487</v>
      </c>
      <c r="F4742" s="3" t="s">
        <v>397</v>
      </c>
      <c r="G4742" s="3" t="s">
        <v>92</v>
      </c>
      <c r="H4742" s="2" t="s">
        <v>21</v>
      </c>
      <c r="I4742" s="2" t="s">
        <v>11243</v>
      </c>
      <c r="J4742" s="3" t="str">
        <f>HYPERLINK("https://www.boe.es/gazeta/dias/1816/07/11/pdfs/GMD-1816-86.pdf#page=9","Abrir facsímil")</f>
        <v>Abrir facsímil</v>
      </c>
      <c r="K4742" s="3" t="s">
        <v>23</v>
      </c>
    </row>
    <row r="4743" spans="1:11" ht="42" customHeight="1">
      <c r="A4743" s="2" t="s">
        <v>11244</v>
      </c>
      <c r="B4743" s="2" t="s">
        <v>11245</v>
      </c>
      <c r="C4743" s="2" t="s">
        <v>34</v>
      </c>
      <c r="D4743" s="2" t="s">
        <v>35</v>
      </c>
      <c r="E4743" s="5">
        <v>-30391</v>
      </c>
      <c r="F4743" s="3" t="s">
        <v>482</v>
      </c>
      <c r="G4743" s="3" t="s">
        <v>28</v>
      </c>
      <c r="H4743" s="2" t="s">
        <v>21</v>
      </c>
      <c r="I4743" s="2" t="s">
        <v>11246</v>
      </c>
      <c r="J4743" s="3" t="str">
        <f>HYPERLINK("https://www.boe.es/gazeta/dias/1816/10/15/pdfs/GMD-1816-129.pdf#page=6","Abrir facsímil")</f>
        <v>Abrir facsímil</v>
      </c>
      <c r="K4743" s="3" t="s">
        <v>23</v>
      </c>
    </row>
    <row r="4744" spans="1:11" ht="42" customHeight="1">
      <c r="A4744" s="2" t="s">
        <v>11247</v>
      </c>
      <c r="B4744" s="2" t="s">
        <v>11248</v>
      </c>
      <c r="C4744" s="2" t="s">
        <v>34</v>
      </c>
      <c r="D4744" s="2" t="s">
        <v>35</v>
      </c>
      <c r="E4744" s="5">
        <v>-30580</v>
      </c>
      <c r="F4744" s="3" t="s">
        <v>107</v>
      </c>
      <c r="G4744" s="3" t="s">
        <v>28</v>
      </c>
      <c r="H4744" s="2" t="s">
        <v>21</v>
      </c>
      <c r="I4744" s="2" t="s">
        <v>11249</v>
      </c>
      <c r="J4744" s="3" t="str">
        <f>HYPERLINK("https://www.boe.es/gazeta/dias/1816/04/09/pdfs/GMD-1816-46.pdf#page=6","Abrir facsímil")</f>
        <v>Abrir facsímil</v>
      </c>
      <c r="K4744" s="3" t="s">
        <v>23</v>
      </c>
    </row>
    <row r="4745" spans="1:11" ht="42" customHeight="1">
      <c r="A4745" s="2" t="s">
        <v>11250</v>
      </c>
      <c r="B4745" s="2" t="s">
        <v>11251</v>
      </c>
      <c r="C4745" s="2" t="s">
        <v>41</v>
      </c>
      <c r="D4745" s="2" t="s">
        <v>18</v>
      </c>
      <c r="E4745" s="5">
        <v>-30580</v>
      </c>
      <c r="F4745" s="3" t="s">
        <v>107</v>
      </c>
      <c r="G4745" s="3" t="s">
        <v>72</v>
      </c>
      <c r="H4745" s="2" t="s">
        <v>21</v>
      </c>
      <c r="I4745" s="2" t="s">
        <v>11252</v>
      </c>
      <c r="J4745" s="3" t="str">
        <f>HYPERLINK("https://www.boe.es/gazeta/dias/1816/04/09/pdfs/GMD-1816-46.pdf#page=7","Abrir facsímil")</f>
        <v>Abrir facsímil</v>
      </c>
      <c r="K4745" s="3" t="s">
        <v>23</v>
      </c>
    </row>
    <row r="4746" spans="1:11" ht="42" customHeight="1">
      <c r="A4746" s="2" t="s">
        <v>11253</v>
      </c>
      <c r="B4746" s="2" t="s">
        <v>11253</v>
      </c>
      <c r="C4746" s="2" t="s">
        <v>34</v>
      </c>
      <c r="D4746" s="2" t="s">
        <v>35</v>
      </c>
      <c r="E4746" s="5">
        <v>-30527</v>
      </c>
      <c r="F4746" s="3" t="s">
        <v>304</v>
      </c>
      <c r="G4746" s="3" t="s">
        <v>270</v>
      </c>
      <c r="H4746" s="2" t="s">
        <v>21</v>
      </c>
      <c r="I4746" s="2" t="s">
        <v>11254</v>
      </c>
      <c r="J4746" s="3" t="str">
        <f>HYPERLINK("https://www.boe.es/gazeta/dias/1816/06/01/pdfs/GMD-1816-69.pdf#page=2","Abrir facsímil")</f>
        <v>Abrir facsímil</v>
      </c>
      <c r="K4746" s="3" t="s">
        <v>23</v>
      </c>
    </row>
    <row r="4747" spans="1:11" ht="42" customHeight="1">
      <c r="A4747" s="2" t="s">
        <v>11255</v>
      </c>
      <c r="B4747" s="2" t="s">
        <v>11255</v>
      </c>
      <c r="C4747" s="2" t="s">
        <v>34</v>
      </c>
      <c r="D4747" s="2" t="s">
        <v>35</v>
      </c>
      <c r="E4747" s="5">
        <v>-30622</v>
      </c>
      <c r="F4747" s="3" t="s">
        <v>27</v>
      </c>
      <c r="G4747" s="3" t="s">
        <v>1829</v>
      </c>
      <c r="H4747" s="2" t="s">
        <v>21</v>
      </c>
      <c r="I4747" s="2" t="s">
        <v>11256</v>
      </c>
      <c r="J4747" s="3" t="str">
        <f>HYPERLINK("https://www.boe.es/gazeta/dias/1816/02/27/pdfs/GMD-1816-26.pdf#page=2","Abrir facsímil")</f>
        <v>Abrir facsímil</v>
      </c>
      <c r="K4747" s="3" t="s">
        <v>23</v>
      </c>
    </row>
    <row r="4748" spans="1:11" ht="42" customHeight="1">
      <c r="A4748" s="2" t="s">
        <v>11255</v>
      </c>
      <c r="B4748" s="2" t="s">
        <v>11255</v>
      </c>
      <c r="C4748" s="2" t="s">
        <v>34</v>
      </c>
      <c r="D4748" s="2" t="s">
        <v>35</v>
      </c>
      <c r="E4748" s="5">
        <v>-30426</v>
      </c>
      <c r="F4748" s="3" t="s">
        <v>779</v>
      </c>
      <c r="G4748" s="3" t="s">
        <v>184</v>
      </c>
      <c r="H4748" s="2" t="s">
        <v>21</v>
      </c>
      <c r="I4748" s="2" t="s">
        <v>11257</v>
      </c>
      <c r="J4748" s="3" t="str">
        <f>HYPERLINK("https://www.boe.es/gazeta/dias/1816/09/10/pdfs/GMD-1816-112.pdf#page=3","Abrir facsímil")</f>
        <v>Abrir facsímil</v>
      </c>
      <c r="K4748" s="3" t="s">
        <v>23</v>
      </c>
    </row>
    <row r="4749" spans="1:11" ht="42" customHeight="1">
      <c r="A4749" s="2" t="s">
        <v>11258</v>
      </c>
      <c r="B4749" s="2" t="s">
        <v>11258</v>
      </c>
      <c r="C4749" s="2" t="s">
        <v>34</v>
      </c>
      <c r="D4749" s="2" t="s">
        <v>35</v>
      </c>
      <c r="E4749" s="5">
        <v>-30396</v>
      </c>
      <c r="F4749" s="3" t="s">
        <v>1623</v>
      </c>
      <c r="G4749" s="3" t="s">
        <v>270</v>
      </c>
      <c r="H4749" s="2" t="s">
        <v>21</v>
      </c>
      <c r="I4749" s="2" t="s">
        <v>11259</v>
      </c>
      <c r="J4749" s="3" t="str">
        <f>HYPERLINK("https://www.boe.es/gazeta/dias/1816/10/10/pdfs/GMD-1816-126.pdf#page=2","Abrir facsímil")</f>
        <v>Abrir facsímil</v>
      </c>
      <c r="K4749" s="3" t="s">
        <v>23</v>
      </c>
    </row>
    <row r="4750" spans="1:11" ht="42" customHeight="1">
      <c r="A4750" s="2" t="s">
        <v>11260</v>
      </c>
      <c r="B4750" s="2" t="s">
        <v>11260</v>
      </c>
      <c r="C4750" s="2" t="s">
        <v>34</v>
      </c>
      <c r="D4750" s="2" t="s">
        <v>35</v>
      </c>
      <c r="E4750" s="5">
        <v>-30543</v>
      </c>
      <c r="F4750" s="3" t="s">
        <v>94</v>
      </c>
      <c r="G4750" s="3" t="s">
        <v>270</v>
      </c>
      <c r="H4750" s="2" t="s">
        <v>21</v>
      </c>
      <c r="I4750" s="2" t="s">
        <v>11261</v>
      </c>
      <c r="J4750" s="3" t="str">
        <f>HYPERLINK("https://www.boe.es/gazeta/dias/1816/05/16/pdfs/GMD-1816-62.pdf#page=2","Abrir facsímil")</f>
        <v>Abrir facsímil</v>
      </c>
      <c r="K4750" s="3" t="s">
        <v>23</v>
      </c>
    </row>
    <row r="4751" spans="1:11" ht="42" customHeight="1">
      <c r="A4751" s="2" t="s">
        <v>11262</v>
      </c>
      <c r="B4751" s="2" t="s">
        <v>11263</v>
      </c>
      <c r="C4751" s="2" t="s">
        <v>111</v>
      </c>
      <c r="D4751" s="2" t="s">
        <v>112</v>
      </c>
      <c r="E4751" s="5">
        <v>-30534</v>
      </c>
      <c r="F4751" s="3" t="s">
        <v>274</v>
      </c>
      <c r="G4751" s="3" t="s">
        <v>42</v>
      </c>
      <c r="H4751" s="2" t="s">
        <v>21</v>
      </c>
      <c r="I4751" s="2" t="s">
        <v>11264</v>
      </c>
      <c r="J4751" s="3" t="str">
        <f>HYPERLINK("https://www.boe.es/gazeta/dias/1816/05/25/pdfs/GMD-1816-66.pdf#page=8","Abrir facsímil")</f>
        <v>Abrir facsímil</v>
      </c>
      <c r="K4751" s="3" t="s">
        <v>23</v>
      </c>
    </row>
    <row r="4752" spans="1:11" ht="42" customHeight="1">
      <c r="A4752" s="2" t="s">
        <v>11265</v>
      </c>
      <c r="B4752" s="2" t="s">
        <v>11266</v>
      </c>
      <c r="C4752" s="2" t="s">
        <v>111</v>
      </c>
      <c r="D4752" s="2" t="s">
        <v>112</v>
      </c>
      <c r="E4752" s="5">
        <v>-30501</v>
      </c>
      <c r="F4752" s="3" t="s">
        <v>475</v>
      </c>
      <c r="G4752" s="3" t="s">
        <v>1026</v>
      </c>
      <c r="H4752" s="2" t="s">
        <v>21</v>
      </c>
      <c r="I4752" s="2" t="s">
        <v>11267</v>
      </c>
      <c r="J4752" s="3" t="str">
        <f>HYPERLINK("https://www.boe.es/gazeta/dias/1816/06/27/pdfs/GMD-1816-80.pdf#page=4","Abrir facsímil")</f>
        <v>Abrir facsímil</v>
      </c>
      <c r="K4752" s="3" t="s">
        <v>23</v>
      </c>
    </row>
    <row r="4753" spans="1:11" ht="42" customHeight="1">
      <c r="A4753" s="2" t="s">
        <v>11268</v>
      </c>
      <c r="B4753" s="2" t="s">
        <v>11269</v>
      </c>
      <c r="C4753" s="2" t="s">
        <v>34</v>
      </c>
      <c r="D4753" s="2" t="s">
        <v>35</v>
      </c>
      <c r="E4753" s="5">
        <v>-30657</v>
      </c>
      <c r="F4753" s="3" t="s">
        <v>899</v>
      </c>
      <c r="G4753" s="3" t="s">
        <v>4004</v>
      </c>
      <c r="H4753" s="2" t="s">
        <v>21</v>
      </c>
      <c r="I4753" s="2" t="s">
        <v>11270</v>
      </c>
      <c r="J4753" s="3" t="str">
        <f>HYPERLINK("https://www.boe.es/gazeta/dias/1816/01/23/pdfs/GMD-1816-10.pdf#page=5","Abrir facsímil")</f>
        <v>Abrir facsímil</v>
      </c>
      <c r="K4753" s="3" t="s">
        <v>23</v>
      </c>
    </row>
    <row r="4754" spans="1:11" ht="42" customHeight="1">
      <c r="A4754" s="2" t="s">
        <v>11271</v>
      </c>
      <c r="B4754" s="2" t="s">
        <v>11272</v>
      </c>
      <c r="C4754" s="2" t="s">
        <v>111</v>
      </c>
      <c r="D4754" s="2" t="s">
        <v>112</v>
      </c>
      <c r="E4754" s="5">
        <v>-30583</v>
      </c>
      <c r="F4754" s="3" t="s">
        <v>241</v>
      </c>
      <c r="G4754" s="3" t="s">
        <v>1236</v>
      </c>
      <c r="H4754" s="2" t="s">
        <v>21</v>
      </c>
      <c r="I4754" s="2" t="s">
        <v>11273</v>
      </c>
      <c r="J4754" s="3" t="str">
        <f>HYPERLINK("https://www.boe.es/gazeta/dias/1816/04/06/pdfs/GMD-1816-45.pdf#page=6","Abrir facsímil")</f>
        <v>Abrir facsímil</v>
      </c>
      <c r="K4754" s="3" t="s">
        <v>23</v>
      </c>
    </row>
    <row r="4755" spans="1:11" ht="42" customHeight="1">
      <c r="A4755" s="2" t="s">
        <v>11274</v>
      </c>
      <c r="B4755" s="2" t="s">
        <v>11275</v>
      </c>
      <c r="C4755" s="2" t="s">
        <v>34</v>
      </c>
      <c r="D4755" s="2" t="s">
        <v>35</v>
      </c>
      <c r="E4755" s="5">
        <v>-30587</v>
      </c>
      <c r="F4755" s="3" t="s">
        <v>341</v>
      </c>
      <c r="G4755" s="3" t="s">
        <v>42</v>
      </c>
      <c r="H4755" s="2" t="s">
        <v>29</v>
      </c>
      <c r="I4755" s="2" t="s">
        <v>11276</v>
      </c>
      <c r="J4755" s="3" t="str">
        <f>HYPERLINK("https://www.boe.es/gazeta/dias/1816/04/02/pdfs/GMD-1816-43.pdf#page=8","Abrir facsímil")</f>
        <v>Abrir facsímil</v>
      </c>
      <c r="K4755" s="3" t="s">
        <v>31</v>
      </c>
    </row>
    <row r="4756" spans="1:11" ht="42" customHeight="1">
      <c r="A4756" s="2" t="s">
        <v>11277</v>
      </c>
      <c r="B4756" s="2" t="s">
        <v>11278</v>
      </c>
      <c r="C4756" s="2" t="s">
        <v>34</v>
      </c>
      <c r="D4756" s="2" t="s">
        <v>35</v>
      </c>
      <c r="E4756" s="5">
        <v>-30678</v>
      </c>
      <c r="F4756" s="3" t="s">
        <v>76</v>
      </c>
      <c r="G4756" s="3" t="s">
        <v>2221</v>
      </c>
      <c r="H4756" s="2" t="s">
        <v>21</v>
      </c>
      <c r="I4756" s="2" t="s">
        <v>11279</v>
      </c>
      <c r="J4756" s="3" t="str">
        <f>HYPERLINK("https://www.boe.es/gazeta/dias/1816/01/02/pdfs/GMD-1816-1.pdf#page=7","Abrir facsímil")</f>
        <v>Abrir facsímil</v>
      </c>
      <c r="K4756" s="3" t="s">
        <v>23</v>
      </c>
    </row>
    <row r="4757" spans="1:11" ht="42" customHeight="1">
      <c r="A4757" s="2" t="s">
        <v>11280</v>
      </c>
      <c r="B4757" s="2" t="s">
        <v>11281</v>
      </c>
      <c r="C4757" s="2" t="s">
        <v>34</v>
      </c>
      <c r="D4757" s="2" t="s">
        <v>35</v>
      </c>
      <c r="E4757" s="5">
        <v>-30578</v>
      </c>
      <c r="F4757" s="3" t="s">
        <v>91</v>
      </c>
      <c r="G4757" s="3" t="s">
        <v>286</v>
      </c>
      <c r="H4757" s="2" t="s">
        <v>21</v>
      </c>
      <c r="I4757" s="2" t="s">
        <v>11282</v>
      </c>
      <c r="J4757" s="3" t="str">
        <f>HYPERLINK("https://www.boe.es/gazeta/dias/1816/04/11/pdfs/GMD-1816-47.pdf#page=11","Abrir facsímil")</f>
        <v>Abrir facsímil</v>
      </c>
      <c r="K4757" s="3" t="s">
        <v>23</v>
      </c>
    </row>
    <row r="4758" spans="1:11" ht="42" customHeight="1">
      <c r="A4758" s="2" t="s">
        <v>11283</v>
      </c>
      <c r="B4758" s="2" t="s">
        <v>11284</v>
      </c>
      <c r="C4758" s="2" t="s">
        <v>26</v>
      </c>
      <c r="D4758" s="2" t="s">
        <v>18</v>
      </c>
      <c r="E4758" s="5">
        <v>-30482</v>
      </c>
      <c r="F4758" s="3" t="s">
        <v>370</v>
      </c>
      <c r="G4758" s="3" t="s">
        <v>92</v>
      </c>
      <c r="H4758" s="2" t="s">
        <v>21</v>
      </c>
      <c r="I4758" s="2" t="s">
        <v>11285</v>
      </c>
      <c r="J4758" s="3" t="str">
        <f>HYPERLINK("https://www.boe.es/gazeta/dias/1816/07/16/pdfs/GMD-1816-88.pdf#page=9","Abrir facsímil")</f>
        <v>Abrir facsímil</v>
      </c>
      <c r="K4758" s="3" t="s">
        <v>23</v>
      </c>
    </row>
    <row r="4759" spans="1:11" ht="42" customHeight="1">
      <c r="A4759" s="2" t="s">
        <v>11286</v>
      </c>
      <c r="B4759" s="2" t="s">
        <v>11287</v>
      </c>
      <c r="C4759" s="2" t="s">
        <v>26</v>
      </c>
      <c r="D4759" s="2" t="s">
        <v>18</v>
      </c>
      <c r="E4759" s="5">
        <v>-30366</v>
      </c>
      <c r="F4759" s="3" t="s">
        <v>179</v>
      </c>
      <c r="G4759" s="3" t="s">
        <v>103</v>
      </c>
      <c r="H4759" s="2" t="s">
        <v>21</v>
      </c>
      <c r="I4759" s="2" t="s">
        <v>11288</v>
      </c>
      <c r="J4759" s="3" t="str">
        <f>HYPERLINK("https://www.boe.es/gazeta/dias/1816/11/09/pdfs/GMD-1816-140.pdf#page=4","Abrir facsímil")</f>
        <v>Abrir facsímil</v>
      </c>
      <c r="K4759" s="3" t="s">
        <v>23</v>
      </c>
    </row>
    <row r="4760" spans="1:11" ht="42" customHeight="1">
      <c r="A4760" s="2" t="s">
        <v>11289</v>
      </c>
      <c r="B4760" s="2" t="s">
        <v>11290</v>
      </c>
      <c r="C4760" s="2" t="s">
        <v>34</v>
      </c>
      <c r="D4760" s="2" t="s">
        <v>35</v>
      </c>
      <c r="E4760" s="5">
        <v>-30531</v>
      </c>
      <c r="F4760" s="3" t="s">
        <v>535</v>
      </c>
      <c r="G4760" s="3" t="s">
        <v>47</v>
      </c>
      <c r="H4760" s="2" t="s">
        <v>21</v>
      </c>
      <c r="I4760" s="2" t="s">
        <v>11291</v>
      </c>
      <c r="J4760" s="3" t="str">
        <f>HYPERLINK("https://www.boe.es/gazeta/dias/1816/05/28/pdfs/GMD-1816-67.pdf#page=5","Abrir facsímil")</f>
        <v>Abrir facsímil</v>
      </c>
      <c r="K4760" s="3" t="s">
        <v>23</v>
      </c>
    </row>
    <row r="4761" spans="1:11" ht="42" customHeight="1">
      <c r="A4761" s="2" t="s">
        <v>11292</v>
      </c>
      <c r="B4761" s="2" t="s">
        <v>11293</v>
      </c>
      <c r="C4761" s="2" t="s">
        <v>34</v>
      </c>
      <c r="D4761" s="2" t="s">
        <v>35</v>
      </c>
      <c r="E4761" s="5">
        <v>-30573</v>
      </c>
      <c r="F4761" s="3" t="s">
        <v>840</v>
      </c>
      <c r="G4761" s="3" t="s">
        <v>4262</v>
      </c>
      <c r="H4761" s="2" t="s">
        <v>21</v>
      </c>
      <c r="I4761" s="2" t="s">
        <v>11294</v>
      </c>
      <c r="J4761" s="3" t="str">
        <f>HYPERLINK("https://www.boe.es/gazeta/dias/1816/04/16/pdfs/GMD-1816-49.pdf#page=6","Abrir facsímil")</f>
        <v>Abrir facsímil</v>
      </c>
      <c r="K4761" s="3" t="s">
        <v>23</v>
      </c>
    </row>
    <row r="4762" spans="1:11" ht="42" customHeight="1">
      <c r="A4762" s="2" t="s">
        <v>11292</v>
      </c>
      <c r="B4762" s="2" t="s">
        <v>11293</v>
      </c>
      <c r="C4762" s="2" t="s">
        <v>34</v>
      </c>
      <c r="D4762" s="2" t="s">
        <v>35</v>
      </c>
      <c r="E4762" s="5">
        <v>-30464</v>
      </c>
      <c r="F4762" s="3" t="s">
        <v>215</v>
      </c>
      <c r="G4762" s="3" t="s">
        <v>47</v>
      </c>
      <c r="H4762" s="2" t="s">
        <v>21</v>
      </c>
      <c r="I4762" s="2" t="s">
        <v>11295</v>
      </c>
      <c r="J4762" s="3" t="str">
        <f>HYPERLINK("https://www.boe.es/gazeta/dias/1816/08/03/pdfs/GMD-1816-96.pdf#page=5","Abrir facsímil")</f>
        <v>Abrir facsímil</v>
      </c>
      <c r="K4762" s="3" t="s">
        <v>23</v>
      </c>
    </row>
    <row r="4763" spans="1:11" ht="42" customHeight="1">
      <c r="A4763" s="2" t="s">
        <v>11296</v>
      </c>
      <c r="B4763" s="2" t="s">
        <v>11296</v>
      </c>
      <c r="C4763" s="2" t="s">
        <v>34</v>
      </c>
      <c r="D4763" s="2" t="s">
        <v>35</v>
      </c>
      <c r="E4763" s="5">
        <v>-30625</v>
      </c>
      <c r="F4763" s="3" t="s">
        <v>631</v>
      </c>
      <c r="G4763" s="3" t="s">
        <v>8023</v>
      </c>
      <c r="H4763" s="2" t="s">
        <v>21</v>
      </c>
      <c r="I4763" s="2" t="s">
        <v>11297</v>
      </c>
      <c r="J4763" s="3" t="str">
        <f>HYPERLINK("https://www.boe.es/gazeta/dias/1816/02/24/pdfs/GMD-1816-25.pdf#page=4","Abrir facsímil")</f>
        <v>Abrir facsímil</v>
      </c>
      <c r="K4763" s="3" t="s">
        <v>23</v>
      </c>
    </row>
    <row r="4764" spans="1:11" ht="42" customHeight="1">
      <c r="A4764" s="2" t="s">
        <v>11298</v>
      </c>
      <c r="B4764" s="2" t="s">
        <v>11299</v>
      </c>
      <c r="C4764" s="2" t="s">
        <v>111</v>
      </c>
      <c r="D4764" s="2" t="s">
        <v>112</v>
      </c>
      <c r="E4764" s="5">
        <v>-30548</v>
      </c>
      <c r="F4764" s="3" t="s">
        <v>472</v>
      </c>
      <c r="G4764" s="3" t="s">
        <v>47</v>
      </c>
      <c r="H4764" s="2" t="s">
        <v>21</v>
      </c>
      <c r="I4764" s="2" t="s">
        <v>11300</v>
      </c>
      <c r="J4764" s="3" t="str">
        <f>HYPERLINK("https://www.boe.es/gazeta/dias/1816/05/11/pdfs/GMD-1816-60.pdf#page=5","Abrir facsímil")</f>
        <v>Abrir facsímil</v>
      </c>
      <c r="K4764" s="3" t="s">
        <v>23</v>
      </c>
    </row>
    <row r="4765" spans="1:11" ht="42" customHeight="1">
      <c r="A4765" s="2" t="s">
        <v>11301</v>
      </c>
      <c r="B4765" s="2" t="s">
        <v>11302</v>
      </c>
      <c r="C4765" s="2" t="s">
        <v>111</v>
      </c>
      <c r="D4765" s="2" t="s">
        <v>112</v>
      </c>
      <c r="E4765" s="5">
        <v>-30419</v>
      </c>
      <c r="F4765" s="3" t="s">
        <v>1256</v>
      </c>
      <c r="G4765" s="3" t="s">
        <v>72</v>
      </c>
      <c r="H4765" s="2" t="s">
        <v>21</v>
      </c>
      <c r="I4765" s="2" t="s">
        <v>11303</v>
      </c>
      <c r="J4765" s="3" t="str">
        <f>HYPERLINK("https://www.boe.es/gazeta/dias/1816/09/17/pdfs/GMD-1816-115.pdf#page=7","Abrir facsímil")</f>
        <v>Abrir facsímil</v>
      </c>
      <c r="K4765" s="3" t="s">
        <v>23</v>
      </c>
    </row>
    <row r="4766" spans="1:11" ht="42" customHeight="1">
      <c r="A4766" s="2" t="s">
        <v>11304</v>
      </c>
      <c r="B4766" s="2" t="s">
        <v>11305</v>
      </c>
      <c r="C4766" s="2" t="s">
        <v>67</v>
      </c>
      <c r="D4766" s="2" t="s">
        <v>18</v>
      </c>
      <c r="E4766" s="5">
        <v>-30599</v>
      </c>
      <c r="F4766" s="3" t="s">
        <v>552</v>
      </c>
      <c r="G4766" s="3" t="s">
        <v>184</v>
      </c>
      <c r="H4766" s="2" t="s">
        <v>21</v>
      </c>
      <c r="I4766" s="2" t="s">
        <v>11306</v>
      </c>
      <c r="J4766" s="3" t="str">
        <f>HYPERLINK("https://www.boe.es/gazeta/dias/1816/03/21/pdfs/GMD-1816-38.pdf#page=3","Abrir facsímil")</f>
        <v>Abrir facsímil</v>
      </c>
      <c r="K4766" s="3" t="s">
        <v>23</v>
      </c>
    </row>
    <row r="4767" spans="1:11" ht="42" customHeight="1">
      <c r="A4767" s="2" t="s">
        <v>11307</v>
      </c>
      <c r="B4767" s="2" t="s">
        <v>11308</v>
      </c>
      <c r="C4767" s="2" t="s">
        <v>111</v>
      </c>
      <c r="D4767" s="2" t="s">
        <v>56</v>
      </c>
      <c r="E4767" s="5">
        <v>-30622</v>
      </c>
      <c r="F4767" s="3" t="s">
        <v>907</v>
      </c>
      <c r="G4767" s="3" t="s">
        <v>184</v>
      </c>
      <c r="H4767" s="2" t="s">
        <v>21</v>
      </c>
      <c r="I4767" s="2" t="s">
        <v>11309</v>
      </c>
      <c r="J4767" s="3" t="str">
        <f>HYPERLINK("https://www.boe.es/gazeta/dias/1816/02/27/pdfs/GMD-1816-27E.pdf#page=3","Abrir facsímil")</f>
        <v>Abrir facsímil</v>
      </c>
      <c r="K4767" s="3" t="s">
        <v>23</v>
      </c>
    </row>
    <row r="4768" spans="1:11" ht="42" customHeight="1">
      <c r="A4768" s="2" t="s">
        <v>11307</v>
      </c>
      <c r="B4768" s="2" t="s">
        <v>11308</v>
      </c>
      <c r="C4768" s="2" t="s">
        <v>111</v>
      </c>
      <c r="D4768" s="2" t="s">
        <v>112</v>
      </c>
      <c r="E4768" s="5">
        <v>-30587</v>
      </c>
      <c r="F4768" s="3" t="s">
        <v>341</v>
      </c>
      <c r="G4768" s="3" t="s">
        <v>72</v>
      </c>
      <c r="H4768" s="2" t="s">
        <v>21</v>
      </c>
      <c r="I4768" s="2" t="s">
        <v>11310</v>
      </c>
      <c r="J4768" s="3" t="str">
        <f>HYPERLINK("https://www.boe.es/gazeta/dias/1816/04/02/pdfs/GMD-1816-43.pdf#page=7","Abrir facsímil")</f>
        <v>Abrir facsímil</v>
      </c>
      <c r="K4768" s="3" t="s">
        <v>23</v>
      </c>
    </row>
    <row r="4769" spans="1:11" ht="42" customHeight="1">
      <c r="A4769" s="2" t="s">
        <v>11311</v>
      </c>
      <c r="B4769" s="2" t="s">
        <v>11312</v>
      </c>
      <c r="C4769" s="2" t="s">
        <v>34</v>
      </c>
      <c r="D4769" s="2" t="s">
        <v>35</v>
      </c>
      <c r="E4769" s="5">
        <v>-30590</v>
      </c>
      <c r="F4769" s="3" t="s">
        <v>195</v>
      </c>
      <c r="G4769" s="3" t="s">
        <v>42</v>
      </c>
      <c r="H4769" s="2" t="s">
        <v>21</v>
      </c>
      <c r="I4769" s="2" t="s">
        <v>11313</v>
      </c>
      <c r="J4769" s="3" t="str">
        <f>HYPERLINK("https://www.boe.es/gazeta/dias/1816/03/30/pdfs/GMD-1816-42.pdf#page=8","Abrir facsímil")</f>
        <v>Abrir facsímil</v>
      </c>
      <c r="K4769" s="3" t="s">
        <v>23</v>
      </c>
    </row>
    <row r="4770" spans="1:11" ht="42" customHeight="1">
      <c r="A4770" s="2" t="s">
        <v>11314</v>
      </c>
      <c r="B4770" s="2" t="s">
        <v>11315</v>
      </c>
      <c r="C4770" s="2" t="s">
        <v>26</v>
      </c>
      <c r="D4770" s="2" t="s">
        <v>18</v>
      </c>
      <c r="E4770" s="5">
        <v>-30445</v>
      </c>
      <c r="F4770" s="3" t="s">
        <v>51</v>
      </c>
      <c r="G4770" s="3" t="s">
        <v>175</v>
      </c>
      <c r="H4770" s="2" t="s">
        <v>21</v>
      </c>
      <c r="I4770" s="2" t="s">
        <v>11316</v>
      </c>
      <c r="J4770" s="3" t="str">
        <f>HYPERLINK("https://www.boe.es/gazeta/dias/1816/08/22/pdfs/GMD-1816-104.pdf#page=11","Abrir facsímil")</f>
        <v>Abrir facsímil</v>
      </c>
      <c r="K4770" s="3" t="s">
        <v>23</v>
      </c>
    </row>
    <row r="4771" spans="1:11" ht="42" customHeight="1">
      <c r="A4771" s="2" t="s">
        <v>11317</v>
      </c>
      <c r="B4771" s="2" t="s">
        <v>11318</v>
      </c>
      <c r="C4771" s="2" t="s">
        <v>34</v>
      </c>
      <c r="D4771" s="2" t="s">
        <v>35</v>
      </c>
      <c r="E4771" s="5">
        <v>-30410</v>
      </c>
      <c r="F4771" s="3" t="s">
        <v>1259</v>
      </c>
      <c r="G4771" s="3" t="s">
        <v>1260</v>
      </c>
      <c r="H4771" s="2" t="s">
        <v>21</v>
      </c>
      <c r="I4771" s="2" t="s">
        <v>11319</v>
      </c>
      <c r="J4771" s="3" t="str">
        <f>HYPERLINK("https://www.boe.es/gazeta/dias/1816/09/26/pdfs/GMD-1816-119.pdf#page=7","Abrir facsímil")</f>
        <v>Abrir facsímil</v>
      </c>
      <c r="K4771" s="3" t="s">
        <v>23</v>
      </c>
    </row>
    <row r="4772" spans="1:11" ht="42" customHeight="1">
      <c r="A4772" s="2" t="s">
        <v>11320</v>
      </c>
      <c r="B4772" s="2" t="s">
        <v>11321</v>
      </c>
      <c r="C4772" s="2" t="s">
        <v>34</v>
      </c>
      <c r="D4772" s="2" t="s">
        <v>35</v>
      </c>
      <c r="E4772" s="5">
        <v>-30326</v>
      </c>
      <c r="F4772" s="3" t="s">
        <v>377</v>
      </c>
      <c r="G4772" s="3" t="s">
        <v>28</v>
      </c>
      <c r="H4772" s="2" t="s">
        <v>21</v>
      </c>
      <c r="I4772" s="2" t="s">
        <v>11322</v>
      </c>
      <c r="J4772" s="3" t="str">
        <f>HYPERLINK("https://www.boe.es/gazeta/dias/1816/12/19/pdfs/GMD-1816-157.pdf#page=6","Abrir facsímil")</f>
        <v>Abrir facsímil</v>
      </c>
      <c r="K4772" s="3" t="s">
        <v>23</v>
      </c>
    </row>
    <row r="4773" spans="1:11" ht="42" customHeight="1">
      <c r="A4773" s="2" t="s">
        <v>11323</v>
      </c>
      <c r="B4773" s="2" t="s">
        <v>11324</v>
      </c>
      <c r="C4773" s="2" t="s">
        <v>111</v>
      </c>
      <c r="D4773" s="2" t="s">
        <v>112</v>
      </c>
      <c r="E4773" s="5">
        <v>-30590</v>
      </c>
      <c r="F4773" s="3" t="s">
        <v>195</v>
      </c>
      <c r="G4773" s="3" t="s">
        <v>42</v>
      </c>
      <c r="H4773" s="2" t="s">
        <v>21</v>
      </c>
      <c r="I4773" s="2" t="s">
        <v>11325</v>
      </c>
      <c r="J4773" s="3" t="str">
        <f>HYPERLINK("https://www.boe.es/gazeta/dias/1816/03/30/pdfs/GMD-1816-42.pdf#page=8","Abrir facsímil")</f>
        <v>Abrir facsímil</v>
      </c>
      <c r="K4773" s="3" t="s">
        <v>23</v>
      </c>
    </row>
    <row r="4774" spans="1:11" ht="42" customHeight="1">
      <c r="A4774" s="2" t="s">
        <v>11323</v>
      </c>
      <c r="B4774" s="2" t="s">
        <v>11324</v>
      </c>
      <c r="C4774" s="2" t="s">
        <v>111</v>
      </c>
      <c r="D4774" s="2" t="s">
        <v>112</v>
      </c>
      <c r="E4774" s="5">
        <v>-30368</v>
      </c>
      <c r="F4774" s="3" t="s">
        <v>531</v>
      </c>
      <c r="G4774" s="3" t="s">
        <v>42</v>
      </c>
      <c r="H4774" s="2" t="s">
        <v>21</v>
      </c>
      <c r="I4774" s="2" t="s">
        <v>11326</v>
      </c>
      <c r="J4774" s="3" t="str">
        <f>HYPERLINK("https://www.boe.es/gazeta/dias/1816/11/07/pdfs/GMD-1816-139.pdf#page=8","Abrir facsímil")</f>
        <v>Abrir facsímil</v>
      </c>
      <c r="K4774" s="3" t="s">
        <v>23</v>
      </c>
    </row>
    <row r="4775" spans="1:11" ht="42" customHeight="1">
      <c r="A4775" s="2" t="s">
        <v>11327</v>
      </c>
      <c r="B4775" s="2" t="s">
        <v>11328</v>
      </c>
      <c r="C4775" s="2" t="s">
        <v>111</v>
      </c>
      <c r="D4775" s="2" t="s">
        <v>112</v>
      </c>
      <c r="E4775" s="5">
        <v>-30391</v>
      </c>
      <c r="F4775" s="3" t="s">
        <v>482</v>
      </c>
      <c r="G4775" s="3" t="s">
        <v>3258</v>
      </c>
      <c r="H4775" s="2" t="s">
        <v>29</v>
      </c>
      <c r="I4775" s="2" t="s">
        <v>11329</v>
      </c>
      <c r="J4775" s="3" t="str">
        <f>HYPERLINK("https://www.boe.es/gazeta/dias/1816/10/15/pdfs/GMD-1816-129.pdf#page=8","Abrir facsímil")</f>
        <v>Abrir facsímil</v>
      </c>
      <c r="K4775" s="3" t="s">
        <v>31</v>
      </c>
    </row>
    <row r="4776" spans="1:11" ht="42" customHeight="1">
      <c r="A4776" s="2" t="s">
        <v>11330</v>
      </c>
      <c r="B4776" s="2" t="s">
        <v>11331</v>
      </c>
      <c r="C4776" s="2" t="s">
        <v>26</v>
      </c>
      <c r="D4776" s="2" t="s">
        <v>18</v>
      </c>
      <c r="E4776" s="5">
        <v>-30655</v>
      </c>
      <c r="F4776" s="3" t="s">
        <v>170</v>
      </c>
      <c r="G4776" s="3" t="s">
        <v>72</v>
      </c>
      <c r="H4776" s="2" t="s">
        <v>21</v>
      </c>
      <c r="I4776" s="2" t="s">
        <v>11332</v>
      </c>
      <c r="J4776" s="3" t="str">
        <f>HYPERLINK("https://www.boe.es/gazeta/dias/1816/01/25/pdfs/GMD-1816-11.pdf#page=7","Abrir facsímil")</f>
        <v>Abrir facsímil</v>
      </c>
      <c r="K4776" s="3" t="s">
        <v>23</v>
      </c>
    </row>
    <row r="4777" spans="1:11" ht="42" customHeight="1">
      <c r="A4777" s="2" t="s">
        <v>11333</v>
      </c>
      <c r="B4777" s="2" t="s">
        <v>11334</v>
      </c>
      <c r="C4777" s="2" t="s">
        <v>111</v>
      </c>
      <c r="D4777" s="2" t="s">
        <v>112</v>
      </c>
      <c r="E4777" s="5">
        <v>-30382</v>
      </c>
      <c r="F4777" s="3" t="s">
        <v>326</v>
      </c>
      <c r="G4777" s="3" t="s">
        <v>47</v>
      </c>
      <c r="H4777" s="2" t="s">
        <v>21</v>
      </c>
      <c r="I4777" s="2" t="s">
        <v>11335</v>
      </c>
      <c r="J4777" s="3" t="str">
        <f>HYPERLINK("https://www.boe.es/gazeta/dias/1816/10/24/pdfs/GMD-1816-133.pdf#page=5","Abrir facsímil")</f>
        <v>Abrir facsímil</v>
      </c>
      <c r="K4777" s="3" t="s">
        <v>23</v>
      </c>
    </row>
    <row r="4778" spans="1:11" ht="42" customHeight="1">
      <c r="A4778" s="2" t="s">
        <v>11336</v>
      </c>
      <c r="B4778" s="2" t="s">
        <v>11337</v>
      </c>
      <c r="C4778" s="2" t="s">
        <v>26</v>
      </c>
      <c r="D4778" s="2" t="s">
        <v>18</v>
      </c>
      <c r="E4778" s="5">
        <v>-30445</v>
      </c>
      <c r="F4778" s="3" t="s">
        <v>51</v>
      </c>
      <c r="G4778" s="3" t="s">
        <v>47</v>
      </c>
      <c r="H4778" s="2" t="s">
        <v>21</v>
      </c>
      <c r="I4778" s="2" t="s">
        <v>11338</v>
      </c>
      <c r="J4778" s="3" t="str">
        <f>HYPERLINK("https://www.boe.es/gazeta/dias/1816/08/22/pdfs/GMD-1816-104.pdf#page=5","Abrir facsímil")</f>
        <v>Abrir facsímil</v>
      </c>
      <c r="K4778" s="3" t="s">
        <v>23</v>
      </c>
    </row>
    <row r="4779" spans="1:11" ht="42" customHeight="1">
      <c r="A4779" s="2" t="s">
        <v>11336</v>
      </c>
      <c r="B4779" s="2" t="s">
        <v>11337</v>
      </c>
      <c r="C4779" s="2" t="s">
        <v>26</v>
      </c>
      <c r="D4779" s="2" t="s">
        <v>18</v>
      </c>
      <c r="E4779" s="5">
        <v>-30354</v>
      </c>
      <c r="F4779" s="3" t="s">
        <v>68</v>
      </c>
      <c r="G4779" s="3" t="s">
        <v>42</v>
      </c>
      <c r="H4779" s="2" t="s">
        <v>21</v>
      </c>
      <c r="I4779" s="2" t="s">
        <v>11339</v>
      </c>
      <c r="J4779" s="3" t="str">
        <f>HYPERLINK("https://www.boe.es/gazeta/dias/1816/11/21/pdfs/GMD-1816-145.pdf#page=8","Abrir facsímil")</f>
        <v>Abrir facsímil</v>
      </c>
      <c r="K4779" s="3" t="s">
        <v>23</v>
      </c>
    </row>
    <row r="4780" spans="1:11" ht="42" customHeight="1">
      <c r="A4780" s="2" t="s">
        <v>11340</v>
      </c>
      <c r="B4780" s="2" t="s">
        <v>11341</v>
      </c>
      <c r="C4780" s="2" t="s">
        <v>26</v>
      </c>
      <c r="D4780" s="2" t="s">
        <v>18</v>
      </c>
      <c r="E4780" s="5">
        <v>-30401</v>
      </c>
      <c r="F4780" s="3" t="s">
        <v>652</v>
      </c>
      <c r="G4780" s="3" t="s">
        <v>103</v>
      </c>
      <c r="H4780" s="2" t="s">
        <v>21</v>
      </c>
      <c r="I4780" s="2" t="s">
        <v>11342</v>
      </c>
      <c r="J4780" s="3" t="str">
        <f>HYPERLINK("https://www.boe.es/gazeta/dias/1816/10/05/pdfs/GMD-1816-123.pdf#page=4","Abrir facsímil")</f>
        <v>Abrir facsímil</v>
      </c>
      <c r="K4780" s="3" t="s">
        <v>23</v>
      </c>
    </row>
    <row r="4781" spans="1:11" ht="42" customHeight="1">
      <c r="A4781" s="2" t="s">
        <v>11343</v>
      </c>
      <c r="B4781" s="2" t="s">
        <v>11344</v>
      </c>
      <c r="C4781" s="2" t="s">
        <v>34</v>
      </c>
      <c r="D4781" s="2" t="s">
        <v>35</v>
      </c>
      <c r="E4781" s="5">
        <v>-30562</v>
      </c>
      <c r="F4781" s="3" t="s">
        <v>1664</v>
      </c>
      <c r="G4781" s="3" t="s">
        <v>47</v>
      </c>
      <c r="H4781" s="2" t="s">
        <v>21</v>
      </c>
      <c r="I4781" s="2" t="s">
        <v>11345</v>
      </c>
      <c r="J4781" s="3" t="str">
        <f>HYPERLINK("https://www.boe.es/gazeta/dias/1816/04/27/pdfs/GMD-1816-54.pdf#page=5","Abrir facsímil")</f>
        <v>Abrir facsímil</v>
      </c>
      <c r="K4781" s="3" t="s">
        <v>23</v>
      </c>
    </row>
    <row r="4782" spans="1:11" ht="42" customHeight="1">
      <c r="A4782" s="2" t="s">
        <v>11346</v>
      </c>
      <c r="B4782" s="2" t="s">
        <v>11347</v>
      </c>
      <c r="C4782" s="2" t="s">
        <v>26</v>
      </c>
      <c r="D4782" s="2" t="s">
        <v>18</v>
      </c>
      <c r="E4782" s="5">
        <v>-30354</v>
      </c>
      <c r="F4782" s="3" t="s">
        <v>68</v>
      </c>
      <c r="G4782" s="3" t="s">
        <v>72</v>
      </c>
      <c r="H4782" s="2" t="s">
        <v>21</v>
      </c>
      <c r="I4782" s="2" t="s">
        <v>11348</v>
      </c>
      <c r="J4782" s="3" t="str">
        <f>HYPERLINK("https://www.boe.es/gazeta/dias/1816/11/21/pdfs/GMD-1816-145.pdf#page=7","Abrir facsímil")</f>
        <v>Abrir facsímil</v>
      </c>
      <c r="K4782" s="3" t="s">
        <v>23</v>
      </c>
    </row>
    <row r="4783" spans="1:11" ht="42" customHeight="1">
      <c r="A4783" s="2" t="s">
        <v>11349</v>
      </c>
      <c r="B4783" s="2" t="s">
        <v>11350</v>
      </c>
      <c r="C4783" s="2" t="s">
        <v>26</v>
      </c>
      <c r="D4783" s="2" t="s">
        <v>18</v>
      </c>
      <c r="E4783" s="5">
        <v>-30445</v>
      </c>
      <c r="F4783" s="3" t="s">
        <v>51</v>
      </c>
      <c r="G4783" s="3" t="s">
        <v>47</v>
      </c>
      <c r="H4783" s="2" t="s">
        <v>21</v>
      </c>
      <c r="I4783" s="2" t="s">
        <v>11351</v>
      </c>
      <c r="J4783" s="3" t="str">
        <f>HYPERLINK("https://www.boe.es/gazeta/dias/1816/08/22/pdfs/GMD-1816-104.pdf#page=5","Abrir facsímil")</f>
        <v>Abrir facsímil</v>
      </c>
      <c r="K4783" s="3" t="s">
        <v>23</v>
      </c>
    </row>
    <row r="4784" spans="1:11" ht="42" customHeight="1">
      <c r="A4784" s="2" t="s">
        <v>11352</v>
      </c>
      <c r="B4784" s="2" t="s">
        <v>11353</v>
      </c>
      <c r="C4784" s="2" t="s">
        <v>26</v>
      </c>
      <c r="D4784" s="2" t="s">
        <v>18</v>
      </c>
      <c r="E4784" s="5">
        <v>-30431</v>
      </c>
      <c r="F4784" s="3" t="s">
        <v>756</v>
      </c>
      <c r="G4784" s="3" t="s">
        <v>28</v>
      </c>
      <c r="H4784" s="2" t="s">
        <v>21</v>
      </c>
      <c r="I4784" s="2" t="s">
        <v>11354</v>
      </c>
      <c r="J4784" s="3" t="str">
        <f>HYPERLINK("https://www.boe.es/gazeta/dias/1816/09/05/pdfs/GMD-1816-110.pdf#page=6","Abrir facsímil")</f>
        <v>Abrir facsímil</v>
      </c>
      <c r="K4784" s="3" t="s">
        <v>23</v>
      </c>
    </row>
    <row r="4785" spans="1:11" ht="42" customHeight="1">
      <c r="A4785" s="2" t="s">
        <v>11352</v>
      </c>
      <c r="B4785" s="2" t="s">
        <v>11353</v>
      </c>
      <c r="C4785" s="2" t="s">
        <v>34</v>
      </c>
      <c r="D4785" s="2" t="s">
        <v>35</v>
      </c>
      <c r="E4785" s="5">
        <v>-30389</v>
      </c>
      <c r="F4785" s="3" t="s">
        <v>522</v>
      </c>
      <c r="G4785" s="3" t="s">
        <v>28</v>
      </c>
      <c r="H4785" s="2" t="s">
        <v>21</v>
      </c>
      <c r="I4785" s="2" t="s">
        <v>11355</v>
      </c>
      <c r="J4785" s="3" t="str">
        <f>HYPERLINK("https://www.boe.es/gazeta/dias/1816/10/17/pdfs/GMD-1816-130.pdf#page=6","Abrir facsímil")</f>
        <v>Abrir facsímil</v>
      </c>
      <c r="K4785" s="3" t="s">
        <v>23</v>
      </c>
    </row>
    <row r="4786" spans="1:11" ht="42" customHeight="1">
      <c r="A4786" s="2" t="s">
        <v>11356</v>
      </c>
      <c r="B4786" s="2" t="s">
        <v>11357</v>
      </c>
      <c r="C4786" s="2" t="s">
        <v>111</v>
      </c>
      <c r="D4786" s="2" t="s">
        <v>112</v>
      </c>
      <c r="E4786" s="5">
        <v>-30314</v>
      </c>
      <c r="F4786" s="3" t="s">
        <v>1899</v>
      </c>
      <c r="G4786" s="3" t="s">
        <v>47</v>
      </c>
      <c r="H4786" s="2" t="s">
        <v>29</v>
      </c>
      <c r="I4786" s="2" t="s">
        <v>11358</v>
      </c>
      <c r="J4786" s="3" t="str">
        <f>HYPERLINK("https://www.boe.es/gazeta/dias/1816/12/31/pdfs/GMD-1816-162.pdf#page=5","Abrir facsímil")</f>
        <v>Abrir facsímil</v>
      </c>
      <c r="K4786" s="3" t="s">
        <v>31</v>
      </c>
    </row>
    <row r="4787" spans="1:11" ht="42" customHeight="1">
      <c r="A4787" s="2" t="s">
        <v>11359</v>
      </c>
      <c r="B4787" s="2" t="s">
        <v>11360</v>
      </c>
      <c r="C4787" s="2" t="s">
        <v>34</v>
      </c>
      <c r="D4787" s="2" t="s">
        <v>35</v>
      </c>
      <c r="E4787" s="5">
        <v>-30354</v>
      </c>
      <c r="F4787" s="3" t="s">
        <v>68</v>
      </c>
      <c r="G4787" s="3" t="s">
        <v>72</v>
      </c>
      <c r="H4787" s="2" t="s">
        <v>21</v>
      </c>
      <c r="I4787" s="2" t="s">
        <v>11361</v>
      </c>
      <c r="J4787" s="3" t="str">
        <f>HYPERLINK("https://www.boe.es/gazeta/dias/1816/11/21/pdfs/GMD-1816-145.pdf#page=7","Abrir facsímil")</f>
        <v>Abrir facsímil</v>
      </c>
      <c r="K4787" s="3" t="s">
        <v>23</v>
      </c>
    </row>
    <row r="4788" spans="1:11" ht="42" customHeight="1">
      <c r="A4788" s="2" t="s">
        <v>11362</v>
      </c>
      <c r="B4788" s="2" t="s">
        <v>11363</v>
      </c>
      <c r="C4788" s="2" t="s">
        <v>34</v>
      </c>
      <c r="D4788" s="2" t="s">
        <v>35</v>
      </c>
      <c r="E4788" s="5">
        <v>-30662</v>
      </c>
      <c r="F4788" s="3" t="s">
        <v>485</v>
      </c>
      <c r="G4788" s="3" t="s">
        <v>42</v>
      </c>
      <c r="H4788" s="2" t="s">
        <v>21</v>
      </c>
      <c r="I4788" s="2" t="s">
        <v>11364</v>
      </c>
      <c r="J4788" s="3" t="str">
        <f>HYPERLINK("https://www.boe.es/gazeta/dias/1816/01/18/pdfs/GMD-1816-8.pdf#page=8","Abrir facsímil")</f>
        <v>Abrir facsímil</v>
      </c>
      <c r="K4788" s="3" t="s">
        <v>23</v>
      </c>
    </row>
    <row r="4789" spans="1:11" ht="42" customHeight="1">
      <c r="A4789" s="2" t="s">
        <v>11365</v>
      </c>
      <c r="B4789" s="2" t="s">
        <v>11366</v>
      </c>
      <c r="C4789" s="2" t="s">
        <v>34</v>
      </c>
      <c r="D4789" s="2" t="s">
        <v>35</v>
      </c>
      <c r="E4789" s="5">
        <v>-30564</v>
      </c>
      <c r="F4789" s="3" t="s">
        <v>963</v>
      </c>
      <c r="G4789" s="3" t="s">
        <v>47</v>
      </c>
      <c r="H4789" s="2" t="s">
        <v>21</v>
      </c>
      <c r="I4789" s="2" t="s">
        <v>11367</v>
      </c>
      <c r="J4789" s="3" t="str">
        <f>HYPERLINK("https://www.boe.es/gazeta/dias/1816/04/25/pdfs/GMD-1816-53.pdf#page=5","Abrir facsímil")</f>
        <v>Abrir facsímil</v>
      </c>
      <c r="K4789" s="3" t="s">
        <v>23</v>
      </c>
    </row>
    <row r="4790" spans="1:11" ht="42" customHeight="1">
      <c r="A4790" s="2" t="s">
        <v>11368</v>
      </c>
      <c r="B4790" s="2" t="s">
        <v>11369</v>
      </c>
      <c r="C4790" s="2" t="s">
        <v>111</v>
      </c>
      <c r="D4790" s="2" t="s">
        <v>112</v>
      </c>
      <c r="E4790" s="5">
        <v>-30328</v>
      </c>
      <c r="F4790" s="3" t="s">
        <v>573</v>
      </c>
      <c r="G4790" s="3" t="s">
        <v>47</v>
      </c>
      <c r="H4790" s="2" t="s">
        <v>29</v>
      </c>
      <c r="I4790" s="2" t="s">
        <v>11370</v>
      </c>
      <c r="J4790" s="3" t="str">
        <f>HYPERLINK("https://www.boe.es/gazeta/dias/1816/12/17/pdfs/GMD-1816-156.pdf#page=5","Abrir facsímil")</f>
        <v>Abrir facsímil</v>
      </c>
      <c r="K4790" s="3" t="s">
        <v>31</v>
      </c>
    </row>
    <row r="4791" spans="1:11" ht="42" customHeight="1">
      <c r="A4791" s="2" t="s">
        <v>11371</v>
      </c>
      <c r="B4791" s="2" t="s">
        <v>11372</v>
      </c>
      <c r="C4791" s="2" t="s">
        <v>41</v>
      </c>
      <c r="D4791" s="2" t="s">
        <v>18</v>
      </c>
      <c r="E4791" s="5">
        <v>-30387</v>
      </c>
      <c r="F4791" s="3" t="s">
        <v>224</v>
      </c>
      <c r="G4791" s="3" t="s">
        <v>28</v>
      </c>
      <c r="H4791" s="2" t="s">
        <v>21</v>
      </c>
      <c r="I4791" s="2" t="s">
        <v>11373</v>
      </c>
      <c r="J4791" s="3" t="str">
        <f>HYPERLINK("https://www.boe.es/gazeta/dias/1816/10/19/pdfs/GMD-1816-131.pdf#page=6","Abrir facsímil")</f>
        <v>Abrir facsímil</v>
      </c>
      <c r="K4791" s="3" t="s">
        <v>23</v>
      </c>
    </row>
    <row r="4792" spans="1:11" ht="42" customHeight="1">
      <c r="A4792" s="2" t="s">
        <v>11374</v>
      </c>
      <c r="B4792" s="2" t="s">
        <v>11375</v>
      </c>
      <c r="C4792" s="2" t="s">
        <v>111</v>
      </c>
      <c r="D4792" s="2" t="s">
        <v>112</v>
      </c>
      <c r="E4792" s="5">
        <v>-30408</v>
      </c>
      <c r="F4792" s="3" t="s">
        <v>295</v>
      </c>
      <c r="G4792" s="3" t="s">
        <v>184</v>
      </c>
      <c r="H4792" s="2" t="s">
        <v>21</v>
      </c>
      <c r="I4792" s="2" t="s">
        <v>11376</v>
      </c>
      <c r="J4792" s="3" t="str">
        <f>HYPERLINK("https://www.boe.es/gazeta/dias/1816/09/28/pdfs/GMD-1816-120.pdf#page=3","Abrir facsímil")</f>
        <v>Abrir facsímil</v>
      </c>
      <c r="K4792" s="3" t="s">
        <v>23</v>
      </c>
    </row>
    <row r="4793" spans="1:11" ht="42" customHeight="1">
      <c r="A4793" s="2" t="s">
        <v>11377</v>
      </c>
      <c r="B4793" s="2" t="s">
        <v>11378</v>
      </c>
      <c r="C4793" s="2" t="s">
        <v>111</v>
      </c>
      <c r="D4793" s="2" t="s">
        <v>112</v>
      </c>
      <c r="E4793" s="5">
        <v>-30578</v>
      </c>
      <c r="F4793" s="3" t="s">
        <v>91</v>
      </c>
      <c r="G4793" s="3" t="s">
        <v>286</v>
      </c>
      <c r="H4793" s="2" t="s">
        <v>21</v>
      </c>
      <c r="I4793" s="2" t="s">
        <v>11379</v>
      </c>
      <c r="J4793" s="3" t="str">
        <f>HYPERLINK("https://www.boe.es/gazeta/dias/1816/04/11/pdfs/GMD-1816-47.pdf#page=11","Abrir facsímil")</f>
        <v>Abrir facsímil</v>
      </c>
      <c r="K4793" s="3" t="s">
        <v>23</v>
      </c>
    </row>
    <row r="4794" spans="1:11" ht="42" customHeight="1">
      <c r="A4794" s="2" t="s">
        <v>11380</v>
      </c>
      <c r="B4794" s="2" t="s">
        <v>11381</v>
      </c>
      <c r="C4794" s="2" t="s">
        <v>34</v>
      </c>
      <c r="D4794" s="2" t="s">
        <v>35</v>
      </c>
      <c r="E4794" s="5">
        <v>-30384</v>
      </c>
      <c r="F4794" s="3" t="s">
        <v>460</v>
      </c>
      <c r="G4794" s="3" t="s">
        <v>103</v>
      </c>
      <c r="H4794" s="2" t="s">
        <v>21</v>
      </c>
      <c r="I4794" s="2" t="s">
        <v>11382</v>
      </c>
      <c r="J4794" s="3" t="str">
        <f>HYPERLINK("https://www.boe.es/gazeta/dias/1816/10/22/pdfs/GMD-1816-132.pdf#page=4","Abrir facsímil")</f>
        <v>Abrir facsímil</v>
      </c>
      <c r="K4794" s="3" t="s">
        <v>23</v>
      </c>
    </row>
    <row r="4795" spans="1:11" ht="42" customHeight="1">
      <c r="A4795" s="2" t="s">
        <v>11383</v>
      </c>
      <c r="B4795" s="2" t="s">
        <v>11384</v>
      </c>
      <c r="C4795" s="2" t="s">
        <v>34</v>
      </c>
      <c r="D4795" s="2" t="s">
        <v>35</v>
      </c>
      <c r="E4795" s="5">
        <v>-30447</v>
      </c>
      <c r="F4795" s="3" t="s">
        <v>151</v>
      </c>
      <c r="G4795" s="3" t="s">
        <v>28</v>
      </c>
      <c r="H4795" s="2" t="s">
        <v>29</v>
      </c>
      <c r="I4795" s="2" t="s">
        <v>11385</v>
      </c>
      <c r="J4795" s="3" t="str">
        <f>HYPERLINK("https://www.boe.es/gazeta/dias/1816/08/20/pdfs/GMD-1816-103.pdf#page=6","Abrir facsímil")</f>
        <v>Abrir facsímil</v>
      </c>
      <c r="K4795" s="3" t="s">
        <v>31</v>
      </c>
    </row>
    <row r="4796" spans="1:11" ht="42" customHeight="1">
      <c r="A4796" s="2" t="s">
        <v>11386</v>
      </c>
      <c r="B4796" s="2" t="s">
        <v>11387</v>
      </c>
      <c r="C4796" s="2" t="s">
        <v>111</v>
      </c>
      <c r="D4796" s="2" t="s">
        <v>56</v>
      </c>
      <c r="E4796" s="5">
        <v>-30393</v>
      </c>
      <c r="F4796" s="3" t="s">
        <v>202</v>
      </c>
      <c r="G4796" s="3" t="s">
        <v>203</v>
      </c>
      <c r="H4796" s="2" t="s">
        <v>21</v>
      </c>
      <c r="I4796" s="2" t="s">
        <v>11388</v>
      </c>
      <c r="J4796" s="3" t="str">
        <f>HYPERLINK("https://www.boe.es/gazeta/dias/1816/10/13/pdfs/GMD-1816-128E.pdf#page=7","Abrir facsímil")</f>
        <v>Abrir facsímil</v>
      </c>
      <c r="K4796" s="3" t="s">
        <v>23</v>
      </c>
    </row>
    <row r="4797" spans="1:11" ht="42" customHeight="1">
      <c r="A4797" s="2" t="s">
        <v>11389</v>
      </c>
      <c r="B4797" s="2" t="s">
        <v>11390</v>
      </c>
      <c r="C4797" s="2" t="s">
        <v>387</v>
      </c>
      <c r="D4797" s="2" t="s">
        <v>18</v>
      </c>
      <c r="E4797" s="5">
        <v>-30433</v>
      </c>
      <c r="F4797" s="3" t="s">
        <v>954</v>
      </c>
      <c r="G4797" s="3" t="s">
        <v>1124</v>
      </c>
      <c r="H4797" s="2" t="s">
        <v>21</v>
      </c>
      <c r="I4797" s="2" t="s">
        <v>11391</v>
      </c>
      <c r="J4797" s="3" t="str">
        <f>HYPERLINK("https://www.boe.es/gazeta/dias/1816/09/03/pdfs/GMD-1816-109.pdf#page=8","Abrir facsímil")</f>
        <v>Abrir facsímil</v>
      </c>
      <c r="K4797" s="3" t="s">
        <v>23</v>
      </c>
    </row>
    <row r="4798" spans="1:11" ht="42" customHeight="1">
      <c r="A4798" s="2" t="s">
        <v>11392</v>
      </c>
      <c r="B4798" s="2" t="s">
        <v>11393</v>
      </c>
      <c r="C4798" s="2" t="s">
        <v>41</v>
      </c>
      <c r="D4798" s="2" t="s">
        <v>18</v>
      </c>
      <c r="E4798" s="5">
        <v>-30559</v>
      </c>
      <c r="F4798" s="3" t="s">
        <v>165</v>
      </c>
      <c r="G4798" s="3" t="s">
        <v>166</v>
      </c>
      <c r="H4798" s="2" t="s">
        <v>21</v>
      </c>
      <c r="I4798" s="2" t="s">
        <v>11394</v>
      </c>
      <c r="J4798" s="3" t="str">
        <f>HYPERLINK("https://www.boe.es/gazeta/dias/1816/04/30/pdfs/GMD-1816-55.pdf#page=7","Abrir facsímil")</f>
        <v>Abrir facsímil</v>
      </c>
      <c r="K4798" s="3" t="s">
        <v>23</v>
      </c>
    </row>
    <row r="4799" spans="1:11" ht="42" customHeight="1">
      <c r="A4799" s="2" t="s">
        <v>11395</v>
      </c>
      <c r="B4799" s="2" t="s">
        <v>11396</v>
      </c>
      <c r="C4799" s="2" t="s">
        <v>34</v>
      </c>
      <c r="D4799" s="2" t="s">
        <v>35</v>
      </c>
      <c r="E4799" s="5">
        <v>-30650</v>
      </c>
      <c r="F4799" s="3" t="s">
        <v>1170</v>
      </c>
      <c r="G4799" s="3" t="s">
        <v>42</v>
      </c>
      <c r="H4799" s="2" t="s">
        <v>21</v>
      </c>
      <c r="I4799" s="2" t="s">
        <v>11397</v>
      </c>
      <c r="J4799" s="3" t="str">
        <f>HYPERLINK("https://www.boe.es/gazeta/dias/1816/01/30/pdfs/GMD-1816-14.pdf#page=8","Abrir facsímil")</f>
        <v>Abrir facsímil</v>
      </c>
      <c r="K4799" s="3" t="s">
        <v>23</v>
      </c>
    </row>
    <row r="4800" spans="1:11" ht="42" customHeight="1">
      <c r="A4800" s="2" t="s">
        <v>11398</v>
      </c>
      <c r="B4800" s="2" t="s">
        <v>11399</v>
      </c>
      <c r="C4800" s="2" t="s">
        <v>111</v>
      </c>
      <c r="D4800" s="2" t="s">
        <v>112</v>
      </c>
      <c r="E4800" s="5">
        <v>-30359</v>
      </c>
      <c r="F4800" s="3" t="s">
        <v>812</v>
      </c>
      <c r="G4800" s="3" t="s">
        <v>28</v>
      </c>
      <c r="H4800" s="2" t="s">
        <v>21</v>
      </c>
      <c r="I4800" s="2" t="s">
        <v>11400</v>
      </c>
      <c r="J4800" s="3" t="str">
        <f>HYPERLINK("https://www.boe.es/gazeta/dias/1816/11/16/pdfs/GMD-1816-143.pdf#page=6","Abrir facsímil")</f>
        <v>Abrir facsímil</v>
      </c>
      <c r="K4800" s="3" t="s">
        <v>23</v>
      </c>
    </row>
    <row r="4801" spans="1:11" ht="42" customHeight="1">
      <c r="A4801" s="2" t="s">
        <v>11401</v>
      </c>
      <c r="B4801" s="2" t="s">
        <v>11402</v>
      </c>
      <c r="C4801" s="2" t="s">
        <v>111</v>
      </c>
      <c r="D4801" s="2" t="s">
        <v>112</v>
      </c>
      <c r="E4801" s="5">
        <v>-30377</v>
      </c>
      <c r="F4801" s="3" t="s">
        <v>138</v>
      </c>
      <c r="G4801" s="3" t="s">
        <v>103</v>
      </c>
      <c r="H4801" s="2" t="s">
        <v>21</v>
      </c>
      <c r="I4801" s="2" t="s">
        <v>11403</v>
      </c>
      <c r="J4801" s="3" t="str">
        <f>HYPERLINK("https://www.boe.es/gazeta/dias/1816/10/29/pdfs/GMD-1816-135.pdf#page=4","Abrir facsímil")</f>
        <v>Abrir facsímil</v>
      </c>
      <c r="K4801" s="3" t="s">
        <v>23</v>
      </c>
    </row>
    <row r="4802" spans="1:11" ht="42" customHeight="1">
      <c r="A4802" s="2" t="s">
        <v>11404</v>
      </c>
      <c r="B4802" s="2" t="s">
        <v>11405</v>
      </c>
      <c r="C4802" s="2" t="s">
        <v>34</v>
      </c>
      <c r="D4802" s="2" t="s">
        <v>35</v>
      </c>
      <c r="E4802" s="5">
        <v>-30443</v>
      </c>
      <c r="F4802" s="3" t="s">
        <v>259</v>
      </c>
      <c r="G4802" s="3" t="s">
        <v>260</v>
      </c>
      <c r="H4802" s="2" t="s">
        <v>21</v>
      </c>
      <c r="I4802" s="2" t="s">
        <v>11406</v>
      </c>
      <c r="J4802" s="3" t="str">
        <f>HYPERLINK("https://www.boe.es/gazeta/dias/1816/08/24/pdfs/GMD-1816-105.pdf#page=8","Abrir facsímil")</f>
        <v>Abrir facsímil</v>
      </c>
      <c r="K4802" s="3" t="s">
        <v>23</v>
      </c>
    </row>
    <row r="4803" spans="1:11" ht="42" customHeight="1">
      <c r="A4803" s="2" t="s">
        <v>11407</v>
      </c>
      <c r="B4803" s="2" t="s">
        <v>11408</v>
      </c>
      <c r="C4803" s="2" t="s">
        <v>34</v>
      </c>
      <c r="D4803" s="2" t="s">
        <v>35</v>
      </c>
      <c r="E4803" s="5">
        <v>-30517</v>
      </c>
      <c r="F4803" s="3" t="s">
        <v>557</v>
      </c>
      <c r="G4803" s="3" t="s">
        <v>72</v>
      </c>
      <c r="H4803" s="2" t="s">
        <v>29</v>
      </c>
      <c r="I4803" s="2" t="s">
        <v>11409</v>
      </c>
      <c r="J4803" s="3" t="str">
        <f>HYPERLINK("https://www.boe.es/gazeta/dias/1816/06/11/pdfs/GMD-1816-73.pdf#page=7","Abrir facsímil")</f>
        <v>Abrir facsímil</v>
      </c>
      <c r="K4803" s="3" t="s">
        <v>31</v>
      </c>
    </row>
    <row r="4804" spans="1:11" ht="42" customHeight="1">
      <c r="A4804" s="2" t="s">
        <v>11410</v>
      </c>
      <c r="B4804" s="2" t="s">
        <v>11411</v>
      </c>
      <c r="C4804" s="2" t="s">
        <v>34</v>
      </c>
      <c r="D4804" s="2" t="s">
        <v>35</v>
      </c>
      <c r="E4804" s="5">
        <v>-30627</v>
      </c>
      <c r="F4804" s="3" t="s">
        <v>136</v>
      </c>
      <c r="G4804" s="3" t="s">
        <v>47</v>
      </c>
      <c r="H4804" s="2" t="s">
        <v>21</v>
      </c>
      <c r="I4804" s="2" t="s">
        <v>11412</v>
      </c>
      <c r="J4804" s="3" t="str">
        <f>HYPERLINK("https://www.boe.es/gazeta/dias/1816/02/22/pdfs/GMD-1816-24.pdf#page=5","Abrir facsímil")</f>
        <v>Abrir facsímil</v>
      </c>
      <c r="K4804" s="3" t="s">
        <v>23</v>
      </c>
    </row>
    <row r="4805" spans="1:11" ht="42" customHeight="1">
      <c r="A4805" s="2" t="s">
        <v>11413</v>
      </c>
      <c r="B4805" s="2" t="s">
        <v>11414</v>
      </c>
      <c r="C4805" s="2" t="s">
        <v>111</v>
      </c>
      <c r="D4805" s="2" t="s">
        <v>112</v>
      </c>
      <c r="E4805" s="5">
        <v>-30583</v>
      </c>
      <c r="F4805" s="3" t="s">
        <v>241</v>
      </c>
      <c r="G4805" s="3" t="s">
        <v>42</v>
      </c>
      <c r="H4805" s="2" t="s">
        <v>21</v>
      </c>
      <c r="I4805" s="2" t="s">
        <v>11415</v>
      </c>
      <c r="J4805" s="3" t="str">
        <f>HYPERLINK("https://www.boe.es/gazeta/dias/1816/04/06/pdfs/GMD-1816-45.pdf#page=8","Abrir facsímil")</f>
        <v>Abrir facsímil</v>
      </c>
      <c r="K4805" s="3" t="s">
        <v>23</v>
      </c>
    </row>
    <row r="4806" spans="1:11" ht="42" customHeight="1">
      <c r="A4806" s="2" t="s">
        <v>11416</v>
      </c>
      <c r="B4806" s="2" t="s">
        <v>11417</v>
      </c>
      <c r="C4806" s="2" t="s">
        <v>387</v>
      </c>
      <c r="D4806" s="2" t="s">
        <v>18</v>
      </c>
      <c r="E4806" s="5">
        <v>-30578</v>
      </c>
      <c r="F4806" s="3" t="s">
        <v>91</v>
      </c>
      <c r="G4806" s="3" t="s">
        <v>7253</v>
      </c>
      <c r="H4806" s="2" t="s">
        <v>29</v>
      </c>
      <c r="I4806" s="2" t="s">
        <v>11418</v>
      </c>
      <c r="J4806" s="3" t="str">
        <f>HYPERLINK("https://www.boe.es/gazeta/dias/1816/04/11/pdfs/GMD-1816-47.pdf#page=4","Abrir facsímil")</f>
        <v>Abrir facsímil</v>
      </c>
      <c r="K4806" s="3" t="s">
        <v>31</v>
      </c>
    </row>
    <row r="4807" spans="1:11" ht="42" customHeight="1">
      <c r="A4807" s="2" t="s">
        <v>11419</v>
      </c>
      <c r="B4807" s="2" t="s">
        <v>11420</v>
      </c>
      <c r="C4807" s="2" t="s">
        <v>41</v>
      </c>
      <c r="D4807" s="2" t="s">
        <v>18</v>
      </c>
      <c r="E4807" s="5">
        <v>-30496</v>
      </c>
      <c r="F4807" s="3" t="s">
        <v>290</v>
      </c>
      <c r="G4807" s="3" t="s">
        <v>291</v>
      </c>
      <c r="H4807" s="2" t="s">
        <v>29</v>
      </c>
      <c r="I4807" s="2" t="s">
        <v>11421</v>
      </c>
      <c r="J4807" s="3" t="str">
        <f>HYPERLINK("https://www.boe.es/gazeta/dias/1816/07/02/pdfs/GMD-1816-82.pdf#page=7","Abrir facsímil")</f>
        <v>Abrir facsímil</v>
      </c>
      <c r="K4807" s="3" t="s">
        <v>31</v>
      </c>
    </row>
    <row r="4808" spans="1:11" ht="42" customHeight="1">
      <c r="A4808" s="2" t="s">
        <v>11422</v>
      </c>
      <c r="B4808" s="2" t="s">
        <v>11423</v>
      </c>
      <c r="C4808" s="2" t="s">
        <v>34</v>
      </c>
      <c r="D4808" s="2" t="s">
        <v>35</v>
      </c>
      <c r="E4808" s="5">
        <v>-30660</v>
      </c>
      <c r="F4808" s="3" t="s">
        <v>809</v>
      </c>
      <c r="G4808" s="3" t="s">
        <v>47</v>
      </c>
      <c r="H4808" s="2" t="s">
        <v>21</v>
      </c>
      <c r="I4808" s="2" t="s">
        <v>11424</v>
      </c>
      <c r="J4808" s="3" t="str">
        <f>HYPERLINK("https://www.boe.es/gazeta/dias/1816/01/20/pdfs/GMD-1816-9.pdf#page=5","Abrir facsímil")</f>
        <v>Abrir facsímil</v>
      </c>
      <c r="K4808" s="3" t="s">
        <v>23</v>
      </c>
    </row>
    <row r="4809" spans="1:11" ht="42" customHeight="1">
      <c r="A4809" s="2" t="s">
        <v>11422</v>
      </c>
      <c r="B4809" s="2" t="s">
        <v>11423</v>
      </c>
      <c r="C4809" s="2" t="s">
        <v>34</v>
      </c>
      <c r="D4809" s="2" t="s">
        <v>35</v>
      </c>
      <c r="E4809" s="5">
        <v>-30657</v>
      </c>
      <c r="F4809" s="3" t="s">
        <v>899</v>
      </c>
      <c r="G4809" s="3" t="s">
        <v>5210</v>
      </c>
      <c r="H4809" s="2" t="s">
        <v>21</v>
      </c>
      <c r="I4809" s="2" t="s">
        <v>11425</v>
      </c>
      <c r="J4809" s="3" t="str">
        <f>HYPERLINK("https://www.boe.es/gazeta/dias/1816/01/23/pdfs/GMD-1816-10.pdf#page=6","Abrir facsímil")</f>
        <v>Abrir facsímil</v>
      </c>
      <c r="K4809" s="3" t="s">
        <v>23</v>
      </c>
    </row>
    <row r="4810" spans="1:11" ht="42" customHeight="1">
      <c r="A4810" s="2" t="s">
        <v>11422</v>
      </c>
      <c r="B4810" s="2" t="s">
        <v>11423</v>
      </c>
      <c r="C4810" s="2" t="s">
        <v>34</v>
      </c>
      <c r="D4810" s="2" t="s">
        <v>35</v>
      </c>
      <c r="E4810" s="5">
        <v>-30555</v>
      </c>
      <c r="F4810" s="3" t="s">
        <v>345</v>
      </c>
      <c r="G4810" s="3" t="s">
        <v>28</v>
      </c>
      <c r="H4810" s="2" t="s">
        <v>21</v>
      </c>
      <c r="I4810" s="2" t="s">
        <v>11426</v>
      </c>
      <c r="J4810" s="3" t="str">
        <f>HYPERLINK("https://www.boe.es/gazeta/dias/1816/05/04/pdfs/GMD-1816-57.pdf#page=6","Abrir facsímil")</f>
        <v>Abrir facsímil</v>
      </c>
      <c r="K4810" s="3" t="s">
        <v>23</v>
      </c>
    </row>
    <row r="4811" spans="1:11" ht="42" customHeight="1">
      <c r="A4811" s="2" t="s">
        <v>11427</v>
      </c>
      <c r="B4811" s="2" t="s">
        <v>11428</v>
      </c>
      <c r="C4811" s="2" t="s">
        <v>34</v>
      </c>
      <c r="D4811" s="2" t="s">
        <v>35</v>
      </c>
      <c r="E4811" s="5">
        <v>-30503</v>
      </c>
      <c r="F4811" s="3" t="s">
        <v>1600</v>
      </c>
      <c r="G4811" s="3" t="s">
        <v>28</v>
      </c>
      <c r="H4811" s="2" t="s">
        <v>21</v>
      </c>
      <c r="I4811" s="2" t="s">
        <v>11429</v>
      </c>
      <c r="J4811" s="3" t="str">
        <f>HYPERLINK("https://www.boe.es/gazeta/dias/1816/06/25/pdfs/GMD-1816-79.pdf#page=6","Abrir facsímil")</f>
        <v>Abrir facsímil</v>
      </c>
      <c r="K4811" s="3" t="s">
        <v>23</v>
      </c>
    </row>
    <row r="4812" spans="1:11" ht="42" customHeight="1">
      <c r="A4812" s="2" t="s">
        <v>11422</v>
      </c>
      <c r="B4812" s="2" t="s">
        <v>11423</v>
      </c>
      <c r="C4812" s="2" t="s">
        <v>34</v>
      </c>
      <c r="D4812" s="2" t="s">
        <v>35</v>
      </c>
      <c r="E4812" s="5">
        <v>-30492</v>
      </c>
      <c r="F4812" s="3" t="s">
        <v>248</v>
      </c>
      <c r="G4812" s="3" t="s">
        <v>175</v>
      </c>
      <c r="H4812" s="2" t="s">
        <v>21</v>
      </c>
      <c r="I4812" s="2" t="s">
        <v>11430</v>
      </c>
      <c r="J4812" s="3" t="str">
        <f>HYPERLINK("https://www.boe.es/gazeta/dias/1816/07/06/pdfs/GMD-1816-84.pdf#page=11","Abrir facsímil")</f>
        <v>Abrir facsímil</v>
      </c>
      <c r="K4812" s="3" t="s">
        <v>23</v>
      </c>
    </row>
    <row r="4813" spans="1:11" ht="42" customHeight="1">
      <c r="A4813" s="2" t="s">
        <v>11422</v>
      </c>
      <c r="B4813" s="2" t="s">
        <v>11423</v>
      </c>
      <c r="C4813" s="2" t="s">
        <v>34</v>
      </c>
      <c r="D4813" s="2" t="s">
        <v>56</v>
      </c>
      <c r="E4813" s="5">
        <v>-30393</v>
      </c>
      <c r="F4813" s="3" t="s">
        <v>202</v>
      </c>
      <c r="G4813" s="3" t="s">
        <v>184</v>
      </c>
      <c r="H4813" s="2" t="s">
        <v>21</v>
      </c>
      <c r="I4813" s="2" t="s">
        <v>11431</v>
      </c>
      <c r="J4813" s="3" t="str">
        <f>HYPERLINK("https://www.boe.es/gazeta/dias/1816/10/13/pdfs/GMD-1816-128E.pdf#page=3","Abrir facsímil")</f>
        <v>Abrir facsímil</v>
      </c>
      <c r="K4813" s="3" t="s">
        <v>23</v>
      </c>
    </row>
    <row r="4814" spans="1:11" ht="42" customHeight="1">
      <c r="A4814" s="2" t="s">
        <v>11422</v>
      </c>
      <c r="B4814" s="2" t="s">
        <v>11423</v>
      </c>
      <c r="C4814" s="2" t="s">
        <v>34</v>
      </c>
      <c r="D4814" s="2" t="s">
        <v>35</v>
      </c>
      <c r="E4814" s="5">
        <v>-30324</v>
      </c>
      <c r="F4814" s="3" t="s">
        <v>46</v>
      </c>
      <c r="G4814" s="3" t="s">
        <v>47</v>
      </c>
      <c r="H4814" s="2" t="s">
        <v>21</v>
      </c>
      <c r="I4814" s="2" t="s">
        <v>11432</v>
      </c>
      <c r="J4814" s="3" t="str">
        <f>HYPERLINK("https://www.boe.es/gazeta/dias/1816/12/21/pdfs/GMD-1816-158.pdf#page=5","Abrir facsímil")</f>
        <v>Abrir facsímil</v>
      </c>
      <c r="K4814" s="3" t="s">
        <v>23</v>
      </c>
    </row>
    <row r="4815" spans="1:11" ht="42" customHeight="1">
      <c r="A4815" s="2" t="s">
        <v>11433</v>
      </c>
      <c r="B4815" s="2" t="s">
        <v>11434</v>
      </c>
      <c r="C4815" s="2" t="s">
        <v>34</v>
      </c>
      <c r="D4815" s="2" t="s">
        <v>35</v>
      </c>
      <c r="E4815" s="5">
        <v>-30503</v>
      </c>
      <c r="F4815" s="3" t="s">
        <v>1600</v>
      </c>
      <c r="G4815" s="3" t="s">
        <v>72</v>
      </c>
      <c r="H4815" s="2" t="s">
        <v>21</v>
      </c>
      <c r="I4815" s="2" t="s">
        <v>11435</v>
      </c>
      <c r="J4815" s="3" t="str">
        <f>HYPERLINK("https://www.boe.es/gazeta/dias/1816/06/25/pdfs/GMD-1816-79.pdf#page=7","Abrir facsímil")</f>
        <v>Abrir facsímil</v>
      </c>
      <c r="K4815" s="3" t="s">
        <v>23</v>
      </c>
    </row>
    <row r="4816" spans="1:11" ht="42" customHeight="1">
      <c r="A4816" s="2" t="s">
        <v>11436</v>
      </c>
      <c r="B4816" s="2" t="s">
        <v>11437</v>
      </c>
      <c r="C4816" s="2" t="s">
        <v>81</v>
      </c>
      <c r="D4816" s="2" t="s">
        <v>18</v>
      </c>
      <c r="E4816" s="5">
        <v>-30573</v>
      </c>
      <c r="F4816" s="3" t="s">
        <v>840</v>
      </c>
      <c r="G4816" s="3" t="s">
        <v>47</v>
      </c>
      <c r="H4816" s="2" t="s">
        <v>21</v>
      </c>
      <c r="I4816" s="2" t="s">
        <v>11438</v>
      </c>
      <c r="J4816" s="3" t="str">
        <f>HYPERLINK("https://www.boe.es/gazeta/dias/1816/04/16/pdfs/GMD-1816-49.pdf#page=5","Abrir facsímil")</f>
        <v>Abrir facsímil</v>
      </c>
      <c r="K4816" s="3" t="s">
        <v>23</v>
      </c>
    </row>
    <row r="4817" spans="1:11" ht="42" customHeight="1">
      <c r="A4817" s="2" t="s">
        <v>11439</v>
      </c>
      <c r="B4817" s="2" t="s">
        <v>11440</v>
      </c>
      <c r="C4817" s="2" t="s">
        <v>26</v>
      </c>
      <c r="D4817" s="2" t="s">
        <v>18</v>
      </c>
      <c r="E4817" s="5">
        <v>-30443</v>
      </c>
      <c r="F4817" s="3" t="s">
        <v>259</v>
      </c>
      <c r="G4817" s="3" t="s">
        <v>47</v>
      </c>
      <c r="H4817" s="2" t="s">
        <v>21</v>
      </c>
      <c r="I4817" s="2" t="s">
        <v>11441</v>
      </c>
      <c r="J4817" s="3" t="str">
        <f>HYPERLINK("https://www.boe.es/gazeta/dias/1816/08/24/pdfs/GMD-1816-105.pdf#page=5","Abrir facsímil")</f>
        <v>Abrir facsímil</v>
      </c>
      <c r="K4817" s="3" t="s">
        <v>23</v>
      </c>
    </row>
    <row r="4818" spans="1:11" ht="42" customHeight="1">
      <c r="A4818" s="2" t="s">
        <v>11442</v>
      </c>
      <c r="B4818" s="2" t="s">
        <v>11443</v>
      </c>
      <c r="C4818" s="2" t="s">
        <v>34</v>
      </c>
      <c r="D4818" s="2" t="s">
        <v>35</v>
      </c>
      <c r="E4818" s="5">
        <v>-30345</v>
      </c>
      <c r="F4818" s="3" t="s">
        <v>1382</v>
      </c>
      <c r="G4818" s="3" t="s">
        <v>103</v>
      </c>
      <c r="H4818" s="2" t="s">
        <v>21</v>
      </c>
      <c r="I4818" s="2" t="s">
        <v>11444</v>
      </c>
      <c r="J4818" s="3" t="str">
        <f>HYPERLINK("https://www.boe.es/gazeta/dias/1816/11/30/pdfs/GMD-1816-149.pdf#page=4","Abrir facsímil")</f>
        <v>Abrir facsímil</v>
      </c>
      <c r="K4818" s="3" t="s">
        <v>23</v>
      </c>
    </row>
    <row r="4819" spans="1:11" ht="42" customHeight="1">
      <c r="A4819" s="2" t="s">
        <v>11445</v>
      </c>
      <c r="B4819" s="2" t="s">
        <v>11446</v>
      </c>
      <c r="C4819" s="2" t="s">
        <v>67</v>
      </c>
      <c r="D4819" s="2" t="s">
        <v>18</v>
      </c>
      <c r="E4819" s="5">
        <v>-30496</v>
      </c>
      <c r="F4819" s="3" t="s">
        <v>290</v>
      </c>
      <c r="G4819" s="3" t="s">
        <v>42</v>
      </c>
      <c r="H4819" s="2" t="s">
        <v>21</v>
      </c>
      <c r="I4819" s="2" t="s">
        <v>11447</v>
      </c>
      <c r="J4819" s="3" t="str">
        <f>HYPERLINK("https://www.boe.es/gazeta/dias/1816/07/02/pdfs/GMD-1816-82.pdf#page=8","Abrir facsímil")</f>
        <v>Abrir facsímil</v>
      </c>
      <c r="K4819" s="3" t="s">
        <v>23</v>
      </c>
    </row>
    <row r="4820" spans="1:11" ht="42" customHeight="1">
      <c r="A4820" s="2" t="s">
        <v>11448</v>
      </c>
      <c r="B4820" s="2" t="s">
        <v>11448</v>
      </c>
      <c r="C4820" s="2" t="s">
        <v>41</v>
      </c>
      <c r="D4820" s="2" t="s">
        <v>18</v>
      </c>
      <c r="E4820" s="5">
        <v>-30417</v>
      </c>
      <c r="F4820" s="3" t="s">
        <v>62</v>
      </c>
      <c r="G4820" s="3" t="s">
        <v>63</v>
      </c>
      <c r="H4820" s="2" t="s">
        <v>21</v>
      </c>
      <c r="I4820" s="2" t="s">
        <v>11449</v>
      </c>
      <c r="J4820" s="3" t="str">
        <f>HYPERLINK("https://www.boe.es/gazeta/dias/1816/09/19/pdfs/GMD-1816-116.pdf#page=8","Abrir facsímil")</f>
        <v>Abrir facsímil</v>
      </c>
      <c r="K4820" s="3" t="s">
        <v>23</v>
      </c>
    </row>
    <row r="4821" spans="1:11" ht="42" customHeight="1">
      <c r="A4821" s="2" t="s">
        <v>11450</v>
      </c>
      <c r="B4821" s="2" t="s">
        <v>11451</v>
      </c>
      <c r="C4821" s="2" t="s">
        <v>387</v>
      </c>
      <c r="D4821" s="2" t="s">
        <v>18</v>
      </c>
      <c r="E4821" s="5">
        <v>-30380</v>
      </c>
      <c r="F4821" s="3" t="s">
        <v>819</v>
      </c>
      <c r="G4821" s="3" t="s">
        <v>42</v>
      </c>
      <c r="H4821" s="2" t="s">
        <v>21</v>
      </c>
      <c r="I4821" s="2" t="s">
        <v>11452</v>
      </c>
      <c r="J4821" s="3" t="str">
        <f>HYPERLINK("https://www.boe.es/gazeta/dias/1816/10/26/pdfs/GMD-1816-134.pdf#page=8","Abrir facsímil")</f>
        <v>Abrir facsímil</v>
      </c>
      <c r="K4821" s="3" t="s">
        <v>23</v>
      </c>
    </row>
    <row r="4822" spans="1:11" ht="42" customHeight="1">
      <c r="A4822" s="2" t="s">
        <v>11453</v>
      </c>
      <c r="B4822" s="2" t="s">
        <v>11454</v>
      </c>
      <c r="C4822" s="2" t="s">
        <v>111</v>
      </c>
      <c r="D4822" s="2" t="s">
        <v>112</v>
      </c>
      <c r="E4822" s="5">
        <v>-30590</v>
      </c>
      <c r="F4822" s="3" t="s">
        <v>195</v>
      </c>
      <c r="G4822" s="3" t="s">
        <v>42</v>
      </c>
      <c r="H4822" s="2" t="s">
        <v>29</v>
      </c>
      <c r="I4822" s="2" t="s">
        <v>11455</v>
      </c>
      <c r="J4822" s="3" t="str">
        <f>HYPERLINK("https://www.boe.es/gazeta/dias/1816/03/30/pdfs/GMD-1816-42.pdf#page=8","Abrir facsímil")</f>
        <v>Abrir facsímil</v>
      </c>
      <c r="K4822" s="3" t="s">
        <v>31</v>
      </c>
    </row>
    <row r="4823" spans="1:11" ht="42" customHeight="1">
      <c r="A4823" s="2" t="s">
        <v>11456</v>
      </c>
      <c r="B4823" s="2" t="s">
        <v>11457</v>
      </c>
      <c r="C4823" s="2" t="s">
        <v>41</v>
      </c>
      <c r="D4823" s="2" t="s">
        <v>18</v>
      </c>
      <c r="E4823" s="5">
        <v>-30636</v>
      </c>
      <c r="F4823" s="3" t="s">
        <v>82</v>
      </c>
      <c r="G4823" s="3" t="s">
        <v>83</v>
      </c>
      <c r="H4823" s="2" t="s">
        <v>29</v>
      </c>
      <c r="I4823" s="2" t="s">
        <v>11458</v>
      </c>
      <c r="J4823" s="3" t="str">
        <f>HYPERLINK("https://www.boe.es/gazeta/dias/1816/02/13/pdfs/GMD-1816-20.pdf#page=8","Abrir facsímil")</f>
        <v>Abrir facsímil</v>
      </c>
      <c r="K4823" s="3" t="s">
        <v>31</v>
      </c>
    </row>
    <row r="4824" spans="1:11" ht="42" customHeight="1">
      <c r="A4824" s="2" t="s">
        <v>11459</v>
      </c>
      <c r="B4824" s="2" t="s">
        <v>11460</v>
      </c>
      <c r="C4824" s="2" t="s">
        <v>17</v>
      </c>
      <c r="D4824" s="2" t="s">
        <v>18</v>
      </c>
      <c r="E4824" s="5">
        <v>-30676</v>
      </c>
      <c r="F4824" s="3" t="s">
        <v>1932</v>
      </c>
      <c r="G4824" s="3" t="s">
        <v>2724</v>
      </c>
      <c r="H4824" s="2" t="s">
        <v>21</v>
      </c>
      <c r="I4824" s="2" t="s">
        <v>11461</v>
      </c>
      <c r="J4824" s="3" t="str">
        <f>HYPERLINK("https://www.boe.es/gazeta/dias/1816/01/04/pdfs/GMD-1816-2.pdf#page=8","Abrir facsímil")</f>
        <v>Abrir facsímil</v>
      </c>
      <c r="K4824" s="3" t="s">
        <v>23</v>
      </c>
    </row>
    <row r="4825" spans="1:11" ht="42" customHeight="1">
      <c r="A4825" s="2" t="s">
        <v>11459</v>
      </c>
      <c r="B4825" s="2" t="s">
        <v>11460</v>
      </c>
      <c r="C4825" s="2" t="s">
        <v>81</v>
      </c>
      <c r="D4825" s="2" t="s">
        <v>18</v>
      </c>
      <c r="E4825" s="5">
        <v>-30573</v>
      </c>
      <c r="F4825" s="3" t="s">
        <v>840</v>
      </c>
      <c r="G4825" s="3" t="s">
        <v>42</v>
      </c>
      <c r="H4825" s="2" t="s">
        <v>21</v>
      </c>
      <c r="I4825" s="2" t="s">
        <v>11462</v>
      </c>
      <c r="J4825" s="3" t="str">
        <f>HYPERLINK("https://www.boe.es/gazeta/dias/1816/04/16/pdfs/GMD-1816-49.pdf#page=8","Abrir facsímil")</f>
        <v>Abrir facsímil</v>
      </c>
      <c r="K4825" s="3" t="s">
        <v>23</v>
      </c>
    </row>
    <row r="4826" spans="1:11" ht="42" customHeight="1">
      <c r="A4826" s="2" t="s">
        <v>11459</v>
      </c>
      <c r="B4826" s="2" t="s">
        <v>11460</v>
      </c>
      <c r="C4826" s="2" t="s">
        <v>111</v>
      </c>
      <c r="D4826" s="2" t="s">
        <v>112</v>
      </c>
      <c r="E4826" s="5">
        <v>-30436</v>
      </c>
      <c r="F4826" s="3" t="s">
        <v>102</v>
      </c>
      <c r="G4826" s="3" t="s">
        <v>175</v>
      </c>
      <c r="H4826" s="2" t="s">
        <v>21</v>
      </c>
      <c r="I4826" s="2" t="s">
        <v>11463</v>
      </c>
      <c r="J4826" s="3" t="str">
        <f>HYPERLINK("https://www.boe.es/gazeta/dias/1816/08/31/pdfs/GMD-1816-108.pdf#page=11","Abrir facsímil")</f>
        <v>Abrir facsímil</v>
      </c>
      <c r="K4826" s="3" t="s">
        <v>23</v>
      </c>
    </row>
    <row r="4827" spans="1:11" ht="42" customHeight="1">
      <c r="A4827" s="2" t="s">
        <v>11459</v>
      </c>
      <c r="B4827" s="2" t="s">
        <v>11460</v>
      </c>
      <c r="C4827" s="2" t="s">
        <v>26</v>
      </c>
      <c r="D4827" s="2" t="s">
        <v>18</v>
      </c>
      <c r="E4827" s="5">
        <v>-30352</v>
      </c>
      <c r="F4827" s="3" t="s">
        <v>407</v>
      </c>
      <c r="G4827" s="3" t="s">
        <v>1553</v>
      </c>
      <c r="H4827" s="2" t="s">
        <v>21</v>
      </c>
      <c r="I4827" s="2" t="s">
        <v>11464</v>
      </c>
      <c r="J4827" s="3" t="str">
        <f>HYPERLINK("https://www.boe.es/gazeta/dias/1816/11/23/pdfs/GMD-1816-146.pdf#page=4","Abrir facsímil")</f>
        <v>Abrir facsímil</v>
      </c>
      <c r="K4827" s="3" t="s">
        <v>23</v>
      </c>
    </row>
    <row r="4828" spans="1:11" ht="42" customHeight="1">
      <c r="A4828" s="2" t="s">
        <v>11465</v>
      </c>
      <c r="B4828" s="2" t="s">
        <v>11466</v>
      </c>
      <c r="C4828" s="2" t="s">
        <v>111</v>
      </c>
      <c r="D4828" s="2" t="s">
        <v>112</v>
      </c>
      <c r="E4828" s="5">
        <v>-30384</v>
      </c>
      <c r="F4828" s="3" t="s">
        <v>460</v>
      </c>
      <c r="G4828" s="3" t="s">
        <v>932</v>
      </c>
      <c r="H4828" s="2" t="s">
        <v>21</v>
      </c>
      <c r="I4828" s="2" t="s">
        <v>11467</v>
      </c>
      <c r="J4828" s="3" t="str">
        <f>HYPERLINK("https://www.boe.es/gazeta/dias/1816/10/22/pdfs/GMD-1816-132.pdf#page=7","Abrir facsímil")</f>
        <v>Abrir facsímil</v>
      </c>
      <c r="K4828" s="3" t="s">
        <v>23</v>
      </c>
    </row>
    <row r="4829" spans="1:11" ht="42" customHeight="1">
      <c r="A4829" s="2" t="s">
        <v>11465</v>
      </c>
      <c r="B4829" s="2" t="s">
        <v>11466</v>
      </c>
      <c r="C4829" s="2" t="s">
        <v>111</v>
      </c>
      <c r="D4829" s="2" t="s">
        <v>112</v>
      </c>
      <c r="E4829" s="5">
        <v>-30356</v>
      </c>
      <c r="F4829" s="3" t="s">
        <v>824</v>
      </c>
      <c r="G4829" s="3" t="s">
        <v>42</v>
      </c>
      <c r="H4829" s="2" t="s">
        <v>21</v>
      </c>
      <c r="I4829" s="2" t="s">
        <v>11468</v>
      </c>
      <c r="J4829" s="3" t="str">
        <f>HYPERLINK("https://www.boe.es/gazeta/dias/1816/11/19/pdfs/GMD-1816-144.pdf#page=8","Abrir facsímil")</f>
        <v>Abrir facsímil</v>
      </c>
      <c r="K4829" s="3" t="s">
        <v>23</v>
      </c>
    </row>
    <row r="4830" spans="1:11" ht="42" customHeight="1">
      <c r="A4830" s="2" t="s">
        <v>11469</v>
      </c>
      <c r="B4830" s="2" t="s">
        <v>11470</v>
      </c>
      <c r="C4830" s="2" t="s">
        <v>26</v>
      </c>
      <c r="D4830" s="2" t="s">
        <v>18</v>
      </c>
      <c r="E4830" s="5">
        <v>-30655</v>
      </c>
      <c r="F4830" s="3" t="s">
        <v>170</v>
      </c>
      <c r="G4830" s="3" t="s">
        <v>72</v>
      </c>
      <c r="H4830" s="2" t="s">
        <v>21</v>
      </c>
      <c r="I4830" s="2" t="s">
        <v>11471</v>
      </c>
      <c r="J4830" s="3" t="str">
        <f>HYPERLINK("https://www.boe.es/gazeta/dias/1816/01/25/pdfs/GMD-1816-11.pdf#page=7","Abrir facsímil")</f>
        <v>Abrir facsímil</v>
      </c>
      <c r="K4830" s="3" t="s">
        <v>23</v>
      </c>
    </row>
    <row r="4831" spans="1:11" ht="42" customHeight="1">
      <c r="A4831" s="2" t="s">
        <v>11472</v>
      </c>
      <c r="B4831" s="2" t="s">
        <v>11473</v>
      </c>
      <c r="C4831" s="2" t="s">
        <v>34</v>
      </c>
      <c r="D4831" s="2" t="s">
        <v>35</v>
      </c>
      <c r="E4831" s="5">
        <v>-30354</v>
      </c>
      <c r="F4831" s="3" t="s">
        <v>68</v>
      </c>
      <c r="G4831" s="3" t="s">
        <v>526</v>
      </c>
      <c r="H4831" s="2" t="s">
        <v>21</v>
      </c>
      <c r="I4831" s="2" t="s">
        <v>11474</v>
      </c>
      <c r="J4831" s="3" t="str">
        <f>HYPERLINK("https://www.boe.es/gazeta/dias/1816/11/21/pdfs/GMD-1816-145.pdf#page=6","Abrir facsímil")</f>
        <v>Abrir facsímil</v>
      </c>
      <c r="K4831" s="3" t="s">
        <v>23</v>
      </c>
    </row>
    <row r="4832" spans="1:11" ht="42" customHeight="1">
      <c r="A4832" s="2" t="s">
        <v>11475</v>
      </c>
      <c r="B4832" s="2" t="s">
        <v>11476</v>
      </c>
      <c r="C4832" s="2" t="s">
        <v>34</v>
      </c>
      <c r="D4832" s="2" t="s">
        <v>35</v>
      </c>
      <c r="E4832" s="5">
        <v>-30671</v>
      </c>
      <c r="F4832" s="3" t="s">
        <v>2049</v>
      </c>
      <c r="G4832" s="3" t="s">
        <v>47</v>
      </c>
      <c r="H4832" s="2" t="s">
        <v>21</v>
      </c>
      <c r="I4832" s="2" t="s">
        <v>11477</v>
      </c>
      <c r="J4832" s="3" t="str">
        <f>HYPERLINK("https://www.boe.es/gazeta/dias/1816/01/09/pdfs/GMD-1816-4.pdf#page=5","Abrir facsímil")</f>
        <v>Abrir facsímil</v>
      </c>
      <c r="K4832" s="3" t="s">
        <v>23</v>
      </c>
    </row>
    <row r="4833" spans="1:11" ht="42" customHeight="1">
      <c r="A4833" s="2" t="s">
        <v>11478</v>
      </c>
      <c r="B4833" s="2" t="s">
        <v>11479</v>
      </c>
      <c r="C4833" s="2" t="s">
        <v>111</v>
      </c>
      <c r="D4833" s="2" t="s">
        <v>56</v>
      </c>
      <c r="E4833" s="5">
        <v>-30393</v>
      </c>
      <c r="F4833" s="3" t="s">
        <v>202</v>
      </c>
      <c r="G4833" s="3" t="s">
        <v>270</v>
      </c>
      <c r="H4833" s="2" t="s">
        <v>21</v>
      </c>
      <c r="I4833" s="2" t="s">
        <v>11480</v>
      </c>
      <c r="J4833" s="3" t="str">
        <f>HYPERLINK("https://www.boe.es/gazeta/dias/1816/10/13/pdfs/GMD-1816-128E.pdf#page=2","Abrir facsímil")</f>
        <v>Abrir facsímil</v>
      </c>
      <c r="K4833" s="3" t="s">
        <v>23</v>
      </c>
    </row>
    <row r="4834" spans="1:11" ht="42" customHeight="1">
      <c r="A4834" s="2" t="s">
        <v>11481</v>
      </c>
      <c r="B4834" s="2" t="s">
        <v>11482</v>
      </c>
      <c r="C4834" s="2" t="s">
        <v>34</v>
      </c>
      <c r="D4834" s="2" t="s">
        <v>35</v>
      </c>
      <c r="E4834" s="5">
        <v>-30331</v>
      </c>
      <c r="F4834" s="3" t="s">
        <v>315</v>
      </c>
      <c r="G4834" s="3" t="s">
        <v>42</v>
      </c>
      <c r="H4834" s="2" t="s">
        <v>21</v>
      </c>
      <c r="I4834" s="2" t="s">
        <v>11483</v>
      </c>
      <c r="J4834" s="3" t="str">
        <f>HYPERLINK("https://www.boe.es/gazeta/dias/1816/12/14/pdfs/GMD-1816-155.pdf#page=8","Abrir facsímil")</f>
        <v>Abrir facsímil</v>
      </c>
      <c r="K4834" s="3" t="s">
        <v>23</v>
      </c>
    </row>
    <row r="4835" spans="1:11" ht="42" customHeight="1">
      <c r="A4835" s="2" t="s">
        <v>11484</v>
      </c>
      <c r="B4835" s="2" t="s">
        <v>11485</v>
      </c>
      <c r="C4835" s="2" t="s">
        <v>41</v>
      </c>
      <c r="D4835" s="2" t="s">
        <v>18</v>
      </c>
      <c r="E4835" s="5">
        <v>-30410</v>
      </c>
      <c r="F4835" s="3" t="s">
        <v>1259</v>
      </c>
      <c r="G4835" s="3" t="s">
        <v>4618</v>
      </c>
      <c r="H4835" s="2" t="s">
        <v>29</v>
      </c>
      <c r="I4835" s="2" t="s">
        <v>11486</v>
      </c>
      <c r="J4835" s="3" t="str">
        <f>HYPERLINK("https://www.boe.es/gazeta/dias/1816/09/26/pdfs/GMD-1816-119.pdf#page=8","Abrir facsímil")</f>
        <v>Abrir facsímil</v>
      </c>
      <c r="K4835" s="3" t="s">
        <v>31</v>
      </c>
    </row>
    <row r="4836" spans="1:11" ht="42" customHeight="1">
      <c r="A4836" s="2" t="s">
        <v>11487</v>
      </c>
      <c r="B4836" s="2" t="s">
        <v>11488</v>
      </c>
      <c r="C4836" s="2" t="s">
        <v>26</v>
      </c>
      <c r="D4836" s="2" t="s">
        <v>18</v>
      </c>
      <c r="E4836" s="5">
        <v>-30391</v>
      </c>
      <c r="F4836" s="3" t="s">
        <v>482</v>
      </c>
      <c r="G4836" s="3" t="s">
        <v>28</v>
      </c>
      <c r="H4836" s="2" t="s">
        <v>21</v>
      </c>
      <c r="I4836" s="2" t="s">
        <v>11489</v>
      </c>
      <c r="J4836" s="3" t="str">
        <f>HYPERLINK("https://www.boe.es/gazeta/dias/1816/10/15/pdfs/GMD-1816-129.pdf#page=6","Abrir facsímil")</f>
        <v>Abrir facsímil</v>
      </c>
      <c r="K4836" s="3" t="s">
        <v>23</v>
      </c>
    </row>
    <row r="4837" spans="1:11" ht="42" customHeight="1">
      <c r="A4837" s="2" t="s">
        <v>11490</v>
      </c>
      <c r="B4837" s="2" t="s">
        <v>11491</v>
      </c>
      <c r="C4837" s="2" t="s">
        <v>26</v>
      </c>
      <c r="D4837" s="2" t="s">
        <v>18</v>
      </c>
      <c r="E4837" s="5">
        <v>-30436</v>
      </c>
      <c r="F4837" s="3" t="s">
        <v>102</v>
      </c>
      <c r="G4837" s="3" t="s">
        <v>184</v>
      </c>
      <c r="H4837" s="2" t="s">
        <v>21</v>
      </c>
      <c r="I4837" s="2" t="s">
        <v>11492</v>
      </c>
      <c r="J4837" s="3" t="str">
        <f>HYPERLINK("https://www.boe.es/gazeta/dias/1816/08/31/pdfs/GMD-1816-108.pdf#page=3","Abrir facsímil")</f>
        <v>Abrir facsímil</v>
      </c>
      <c r="K4837" s="3" t="s">
        <v>23</v>
      </c>
    </row>
    <row r="4838" spans="1:11" ht="42" customHeight="1">
      <c r="A4838" s="2" t="s">
        <v>11493</v>
      </c>
      <c r="B4838" s="2" t="s">
        <v>11493</v>
      </c>
      <c r="C4838" s="2" t="s">
        <v>34</v>
      </c>
      <c r="D4838" s="2" t="s">
        <v>35</v>
      </c>
      <c r="E4838" s="5">
        <v>-30599</v>
      </c>
      <c r="F4838" s="3" t="s">
        <v>552</v>
      </c>
      <c r="G4838" s="3" t="s">
        <v>103</v>
      </c>
      <c r="H4838" s="2" t="s">
        <v>21</v>
      </c>
      <c r="I4838" s="2" t="s">
        <v>11494</v>
      </c>
      <c r="J4838" s="3" t="str">
        <f>HYPERLINK("https://www.boe.es/gazeta/dias/1816/03/21/pdfs/GMD-1816-38.pdf#page=4","Abrir facsímil")</f>
        <v>Abrir facsímil</v>
      </c>
      <c r="K4838" s="3" t="s">
        <v>23</v>
      </c>
    </row>
    <row r="4839" spans="1:11" ht="42" customHeight="1">
      <c r="A4839" s="2" t="s">
        <v>11493</v>
      </c>
      <c r="B4839" s="2" t="s">
        <v>11493</v>
      </c>
      <c r="C4839" s="2" t="s">
        <v>26</v>
      </c>
      <c r="D4839" s="2" t="s">
        <v>18</v>
      </c>
      <c r="E4839" s="5">
        <v>-30576</v>
      </c>
      <c r="F4839" s="3" t="s">
        <v>353</v>
      </c>
      <c r="G4839" s="3" t="s">
        <v>72</v>
      </c>
      <c r="H4839" s="2" t="s">
        <v>21</v>
      </c>
      <c r="I4839" s="2" t="s">
        <v>11495</v>
      </c>
      <c r="J4839" s="3" t="str">
        <f>HYPERLINK("https://www.boe.es/gazeta/dias/1816/04/13/pdfs/GMD-1816-48.pdf#page=7","Abrir facsímil")</f>
        <v>Abrir facsímil</v>
      </c>
      <c r="K4839" s="3" t="s">
        <v>23</v>
      </c>
    </row>
    <row r="4840" spans="1:11" ht="42" customHeight="1">
      <c r="A4840" s="2" t="s">
        <v>11496</v>
      </c>
      <c r="B4840" s="2" t="s">
        <v>11497</v>
      </c>
      <c r="C4840" s="2" t="s">
        <v>34</v>
      </c>
      <c r="D4840" s="2" t="s">
        <v>35</v>
      </c>
      <c r="E4840" s="5">
        <v>-30328</v>
      </c>
      <c r="F4840" s="3" t="s">
        <v>573</v>
      </c>
      <c r="G4840" s="3" t="s">
        <v>42</v>
      </c>
      <c r="H4840" s="2" t="s">
        <v>21</v>
      </c>
      <c r="I4840" s="2" t="s">
        <v>11498</v>
      </c>
      <c r="J4840" s="3" t="str">
        <f>HYPERLINK("https://www.boe.es/gazeta/dias/1816/12/17/pdfs/GMD-1816-156.pdf#page=8","Abrir facsímil")</f>
        <v>Abrir facsímil</v>
      </c>
      <c r="K4840" s="3" t="s">
        <v>23</v>
      </c>
    </row>
    <row r="4841" spans="1:11" ht="42" customHeight="1">
      <c r="A4841" s="2" t="s">
        <v>11499</v>
      </c>
      <c r="B4841" s="2" t="s">
        <v>11500</v>
      </c>
      <c r="C4841" s="2" t="s">
        <v>34</v>
      </c>
      <c r="D4841" s="2" t="s">
        <v>35</v>
      </c>
      <c r="E4841" s="5">
        <v>-30503</v>
      </c>
      <c r="F4841" s="3" t="s">
        <v>1600</v>
      </c>
      <c r="G4841" s="3" t="s">
        <v>103</v>
      </c>
      <c r="H4841" s="2" t="s">
        <v>21</v>
      </c>
      <c r="I4841" s="2" t="s">
        <v>11501</v>
      </c>
      <c r="J4841" s="3" t="str">
        <f>HYPERLINK("https://www.boe.es/gazeta/dias/1816/06/25/pdfs/GMD-1816-79.pdf#page=4","Abrir facsímil")</f>
        <v>Abrir facsímil</v>
      </c>
      <c r="K4841" s="3" t="s">
        <v>23</v>
      </c>
    </row>
    <row r="4842" spans="1:11" ht="42" customHeight="1">
      <c r="A4842" s="2" t="s">
        <v>11502</v>
      </c>
      <c r="B4842" s="2" t="s">
        <v>11503</v>
      </c>
      <c r="C4842" s="2" t="s">
        <v>41</v>
      </c>
      <c r="D4842" s="2" t="s">
        <v>18</v>
      </c>
      <c r="E4842" s="5">
        <v>-30590</v>
      </c>
      <c r="F4842" s="3" t="s">
        <v>195</v>
      </c>
      <c r="G4842" s="3" t="s">
        <v>42</v>
      </c>
      <c r="H4842" s="2" t="s">
        <v>21</v>
      </c>
      <c r="I4842" s="2" t="s">
        <v>11504</v>
      </c>
      <c r="J4842" s="3" t="str">
        <f>HYPERLINK("https://www.boe.es/gazeta/dias/1816/03/30/pdfs/GMD-1816-42.pdf#page=8","Abrir facsímil")</f>
        <v>Abrir facsímil</v>
      </c>
      <c r="K4842" s="3" t="s">
        <v>23</v>
      </c>
    </row>
    <row r="4843" spans="1:11" ht="42" customHeight="1">
      <c r="A4843" s="2" t="s">
        <v>11505</v>
      </c>
      <c r="B4843" s="2" t="s">
        <v>11506</v>
      </c>
      <c r="C4843" s="2" t="s">
        <v>387</v>
      </c>
      <c r="D4843" s="2" t="s">
        <v>18</v>
      </c>
      <c r="E4843" s="5">
        <v>-30366</v>
      </c>
      <c r="F4843" s="3" t="s">
        <v>179</v>
      </c>
      <c r="G4843" s="3" t="s">
        <v>52</v>
      </c>
      <c r="H4843" s="2" t="s">
        <v>21</v>
      </c>
      <c r="I4843" s="2" t="s">
        <v>11507</v>
      </c>
      <c r="J4843" s="3" t="str">
        <f>HYPERLINK("https://www.boe.es/gazeta/dias/1816/11/09/pdfs/GMD-1816-140.pdf#page=12","Abrir facsímil")</f>
        <v>Abrir facsímil</v>
      </c>
      <c r="K4843" s="3" t="s">
        <v>23</v>
      </c>
    </row>
    <row r="4844" spans="1:11" ht="42" customHeight="1">
      <c r="A4844" s="2" t="s">
        <v>11508</v>
      </c>
      <c r="B4844" s="2" t="s">
        <v>11509</v>
      </c>
      <c r="C4844" s="2" t="s">
        <v>111</v>
      </c>
      <c r="D4844" s="2" t="s">
        <v>112</v>
      </c>
      <c r="E4844" s="5">
        <v>-30380</v>
      </c>
      <c r="F4844" s="3" t="s">
        <v>819</v>
      </c>
      <c r="G4844" s="3" t="s">
        <v>47</v>
      </c>
      <c r="H4844" s="2" t="s">
        <v>29</v>
      </c>
      <c r="I4844" s="2" t="s">
        <v>11510</v>
      </c>
      <c r="J4844" s="3" t="str">
        <f>HYPERLINK("https://www.boe.es/gazeta/dias/1816/10/26/pdfs/GMD-1816-134.pdf#page=5","Abrir facsímil")</f>
        <v>Abrir facsímil</v>
      </c>
      <c r="K4844" s="3" t="s">
        <v>31</v>
      </c>
    </row>
    <row r="4845" spans="1:11" ht="42" customHeight="1">
      <c r="A4845" s="2" t="s">
        <v>11511</v>
      </c>
      <c r="B4845" s="2" t="s">
        <v>11511</v>
      </c>
      <c r="C4845" s="2" t="s">
        <v>26</v>
      </c>
      <c r="D4845" s="2" t="s">
        <v>18</v>
      </c>
      <c r="E4845" s="5">
        <v>-30667</v>
      </c>
      <c r="F4845" s="3" t="s">
        <v>659</v>
      </c>
      <c r="G4845" s="3" t="s">
        <v>42</v>
      </c>
      <c r="H4845" s="2" t="s">
        <v>21</v>
      </c>
      <c r="I4845" s="2" t="s">
        <v>11512</v>
      </c>
      <c r="J4845" s="3" t="str">
        <f>HYPERLINK("https://www.boe.es/gazeta/dias/1816/01/13/pdfs/GMD-1816-6.pdf#page=8","Abrir facsímil")</f>
        <v>Abrir facsímil</v>
      </c>
      <c r="K4845" s="3" t="s">
        <v>23</v>
      </c>
    </row>
    <row r="4846" spans="1:11" ht="42" customHeight="1">
      <c r="A4846" s="2" t="s">
        <v>11513</v>
      </c>
      <c r="B4846" s="2" t="s">
        <v>11514</v>
      </c>
      <c r="C4846" s="2" t="s">
        <v>26</v>
      </c>
      <c r="D4846" s="2" t="s">
        <v>18</v>
      </c>
      <c r="E4846" s="5">
        <v>-30445</v>
      </c>
      <c r="F4846" s="3" t="s">
        <v>51</v>
      </c>
      <c r="G4846" s="3" t="s">
        <v>47</v>
      </c>
      <c r="H4846" s="2" t="s">
        <v>21</v>
      </c>
      <c r="I4846" s="2" t="s">
        <v>11515</v>
      </c>
      <c r="J4846" s="3" t="str">
        <f>HYPERLINK("https://www.boe.es/gazeta/dias/1816/08/22/pdfs/GMD-1816-104.pdf#page=5","Abrir facsímil")</f>
        <v>Abrir facsímil</v>
      </c>
      <c r="K4846" s="3" t="s">
        <v>23</v>
      </c>
    </row>
    <row r="4847" spans="1:11" ht="42" customHeight="1">
      <c r="A4847" s="2" t="s">
        <v>11513</v>
      </c>
      <c r="B4847" s="2" t="s">
        <v>11514</v>
      </c>
      <c r="C4847" s="2" t="s">
        <v>26</v>
      </c>
      <c r="D4847" s="2" t="s">
        <v>18</v>
      </c>
      <c r="E4847" s="5">
        <v>-30354</v>
      </c>
      <c r="F4847" s="3" t="s">
        <v>68</v>
      </c>
      <c r="G4847" s="3" t="s">
        <v>72</v>
      </c>
      <c r="H4847" s="2" t="s">
        <v>21</v>
      </c>
      <c r="I4847" s="2" t="s">
        <v>11516</v>
      </c>
      <c r="J4847" s="3" t="str">
        <f>HYPERLINK("https://www.boe.es/gazeta/dias/1816/11/21/pdfs/GMD-1816-145.pdf#page=7","Abrir facsímil")</f>
        <v>Abrir facsímil</v>
      </c>
      <c r="K4847" s="3" t="s">
        <v>23</v>
      </c>
    </row>
    <row r="4848" spans="1:11" ht="42" customHeight="1">
      <c r="A4848" s="2" t="s">
        <v>11517</v>
      </c>
      <c r="B4848" s="2" t="s">
        <v>11517</v>
      </c>
      <c r="C4848" s="2" t="s">
        <v>34</v>
      </c>
      <c r="D4848" s="2" t="s">
        <v>35</v>
      </c>
      <c r="E4848" s="5">
        <v>-30599</v>
      </c>
      <c r="F4848" s="3" t="s">
        <v>552</v>
      </c>
      <c r="G4848" s="3" t="s">
        <v>47</v>
      </c>
      <c r="H4848" s="2" t="s">
        <v>21</v>
      </c>
      <c r="I4848" s="2" t="s">
        <v>11518</v>
      </c>
      <c r="J4848" s="3" t="str">
        <f>HYPERLINK("https://www.boe.es/gazeta/dias/1816/03/21/pdfs/GMD-1816-38.pdf#page=5","Abrir facsímil")</f>
        <v>Abrir facsímil</v>
      </c>
      <c r="K4848" s="3" t="s">
        <v>23</v>
      </c>
    </row>
    <row r="4849" spans="1:11" ht="42" customHeight="1">
      <c r="A4849" s="2" t="s">
        <v>11519</v>
      </c>
      <c r="B4849" s="2" t="s">
        <v>11520</v>
      </c>
      <c r="C4849" s="2" t="s">
        <v>34</v>
      </c>
      <c r="D4849" s="2" t="s">
        <v>35</v>
      </c>
      <c r="E4849" s="5">
        <v>-30419</v>
      </c>
      <c r="F4849" s="3" t="s">
        <v>1256</v>
      </c>
      <c r="G4849" s="3" t="s">
        <v>103</v>
      </c>
      <c r="H4849" s="2" t="s">
        <v>21</v>
      </c>
      <c r="I4849" s="2" t="s">
        <v>11521</v>
      </c>
      <c r="J4849" s="3" t="str">
        <f>HYPERLINK("https://www.boe.es/gazeta/dias/1816/09/17/pdfs/GMD-1816-115.pdf#page=4","Abrir facsímil")</f>
        <v>Abrir facsímil</v>
      </c>
      <c r="K4849" s="3" t="s">
        <v>23</v>
      </c>
    </row>
    <row r="4850" spans="1:11" ht="42" customHeight="1">
      <c r="A4850" s="2" t="s">
        <v>11522</v>
      </c>
      <c r="B4850" s="2" t="s">
        <v>11522</v>
      </c>
      <c r="C4850" s="2" t="s">
        <v>34</v>
      </c>
      <c r="D4850" s="2" t="s">
        <v>35</v>
      </c>
      <c r="E4850" s="5">
        <v>-30669</v>
      </c>
      <c r="F4850" s="3" t="s">
        <v>3499</v>
      </c>
      <c r="G4850" s="3" t="s">
        <v>42</v>
      </c>
      <c r="H4850" s="2" t="s">
        <v>21</v>
      </c>
      <c r="I4850" s="2" t="s">
        <v>11523</v>
      </c>
      <c r="J4850" s="3" t="str">
        <f>HYPERLINK("https://www.boe.es/gazeta/dias/1816/01/11/pdfs/GMD-1816-5.pdf#page=8","Abrir facsímil")</f>
        <v>Abrir facsímil</v>
      </c>
      <c r="K4850" s="3" t="s">
        <v>23</v>
      </c>
    </row>
    <row r="4851" spans="1:11" ht="42" customHeight="1">
      <c r="A4851" s="2" t="s">
        <v>11522</v>
      </c>
      <c r="B4851" s="2" t="s">
        <v>11522</v>
      </c>
      <c r="C4851" s="2" t="s">
        <v>67</v>
      </c>
      <c r="D4851" s="2" t="s">
        <v>18</v>
      </c>
      <c r="E4851" s="5">
        <v>-30461</v>
      </c>
      <c r="F4851" s="3" t="s">
        <v>912</v>
      </c>
      <c r="G4851" s="3" t="s">
        <v>1375</v>
      </c>
      <c r="H4851" s="2" t="s">
        <v>21</v>
      </c>
      <c r="I4851" s="2" t="s">
        <v>11524</v>
      </c>
      <c r="J4851" s="3" t="str">
        <f>HYPERLINK("https://www.boe.es/gazeta/dias/1816/08/06/pdfs/GMD-1816-97.pdf#page=6","Abrir facsímil")</f>
        <v>Abrir facsímil</v>
      </c>
      <c r="K4851" s="3" t="s">
        <v>23</v>
      </c>
    </row>
    <row r="4852" spans="1:11" ht="42" customHeight="1">
      <c r="A4852" s="2" t="s">
        <v>11522</v>
      </c>
      <c r="B4852" s="2" t="s">
        <v>11522</v>
      </c>
      <c r="C4852" s="2" t="s">
        <v>26</v>
      </c>
      <c r="D4852" s="2" t="s">
        <v>18</v>
      </c>
      <c r="E4852" s="5">
        <v>-30431</v>
      </c>
      <c r="F4852" s="3" t="s">
        <v>756</v>
      </c>
      <c r="G4852" s="3" t="s">
        <v>72</v>
      </c>
      <c r="H4852" s="2" t="s">
        <v>21</v>
      </c>
      <c r="I4852" s="2" t="s">
        <v>11525</v>
      </c>
      <c r="J4852" s="3" t="str">
        <f>HYPERLINK("https://www.boe.es/gazeta/dias/1816/09/05/pdfs/GMD-1816-110.pdf#page=7","Abrir facsímil")</f>
        <v>Abrir facsímil</v>
      </c>
      <c r="K4852" s="3" t="s">
        <v>23</v>
      </c>
    </row>
    <row r="4853" spans="1:11" ht="42" customHeight="1">
      <c r="A4853" s="2" t="s">
        <v>11522</v>
      </c>
      <c r="B4853" s="2" t="s">
        <v>11522</v>
      </c>
      <c r="C4853" s="2" t="s">
        <v>111</v>
      </c>
      <c r="D4853" s="2" t="s">
        <v>112</v>
      </c>
      <c r="E4853" s="5">
        <v>-30317</v>
      </c>
      <c r="F4853" s="3" t="s">
        <v>1030</v>
      </c>
      <c r="G4853" s="3" t="s">
        <v>1409</v>
      </c>
      <c r="H4853" s="2" t="s">
        <v>21</v>
      </c>
      <c r="I4853" s="2" t="s">
        <v>11526</v>
      </c>
      <c r="J4853" s="3" t="str">
        <f>HYPERLINK("https://www.boe.es/gazeta/dias/1816/12/28/pdfs/GMD-1816-161.pdf#page=8","Abrir facsímil")</f>
        <v>Abrir facsímil</v>
      </c>
      <c r="K4853" s="3" t="s">
        <v>23</v>
      </c>
    </row>
    <row r="4854" spans="1:11" ht="42" customHeight="1">
      <c r="A4854" s="2" t="s">
        <v>11527</v>
      </c>
      <c r="B4854" s="2" t="s">
        <v>11528</v>
      </c>
      <c r="C4854" s="2" t="s">
        <v>111</v>
      </c>
      <c r="D4854" s="2" t="s">
        <v>112</v>
      </c>
      <c r="E4854" s="5">
        <v>-30398</v>
      </c>
      <c r="F4854" s="3" t="s">
        <v>447</v>
      </c>
      <c r="G4854" s="3" t="s">
        <v>47</v>
      </c>
      <c r="H4854" s="2" t="s">
        <v>21</v>
      </c>
      <c r="I4854" s="2" t="s">
        <v>11529</v>
      </c>
      <c r="J4854" s="3" t="str">
        <f>HYPERLINK("https://www.boe.es/gazeta/dias/1816/10/08/pdfs/GMD-1816-125.pdf#page=5","Abrir facsímil")</f>
        <v>Abrir facsímil</v>
      </c>
      <c r="K4854" s="3" t="s">
        <v>23</v>
      </c>
    </row>
    <row r="4855" spans="1:11" ht="42" customHeight="1">
      <c r="A4855" s="2" t="s">
        <v>11530</v>
      </c>
      <c r="B4855" s="2" t="s">
        <v>11531</v>
      </c>
      <c r="C4855" s="2" t="s">
        <v>34</v>
      </c>
      <c r="D4855" s="2" t="s">
        <v>35</v>
      </c>
      <c r="E4855" s="5">
        <v>-30571</v>
      </c>
      <c r="F4855" s="3" t="s">
        <v>738</v>
      </c>
      <c r="G4855" s="3" t="s">
        <v>72</v>
      </c>
      <c r="H4855" s="2" t="s">
        <v>21</v>
      </c>
      <c r="I4855" s="2" t="s">
        <v>11532</v>
      </c>
      <c r="J4855" s="3" t="str">
        <f>HYPERLINK("https://www.boe.es/gazeta/dias/1816/04/18/pdfs/GMD-1816-50.pdf#page=7","Abrir facsímil")</f>
        <v>Abrir facsímil</v>
      </c>
      <c r="K4855" s="3" t="s">
        <v>23</v>
      </c>
    </row>
    <row r="4856" spans="1:11" ht="42" customHeight="1">
      <c r="A4856" s="2" t="s">
        <v>11533</v>
      </c>
      <c r="B4856" s="2" t="s">
        <v>11534</v>
      </c>
      <c r="C4856" s="2" t="s">
        <v>26</v>
      </c>
      <c r="D4856" s="2" t="s">
        <v>18</v>
      </c>
      <c r="E4856" s="5">
        <v>-30382</v>
      </c>
      <c r="F4856" s="3" t="s">
        <v>326</v>
      </c>
      <c r="G4856" s="3" t="s">
        <v>28</v>
      </c>
      <c r="H4856" s="2" t="s">
        <v>21</v>
      </c>
      <c r="I4856" s="2" t="s">
        <v>11535</v>
      </c>
      <c r="J4856" s="3" t="str">
        <f>HYPERLINK("https://www.boe.es/gazeta/dias/1816/10/24/pdfs/GMD-1816-133.pdf#page=6","Abrir facsímil")</f>
        <v>Abrir facsímil</v>
      </c>
      <c r="K4856" s="3" t="s">
        <v>23</v>
      </c>
    </row>
    <row r="4857" spans="1:11" ht="42" customHeight="1">
      <c r="A4857" s="2" t="s">
        <v>11536</v>
      </c>
      <c r="B4857" s="2" t="s">
        <v>11536</v>
      </c>
      <c r="C4857" s="2" t="s">
        <v>26</v>
      </c>
      <c r="D4857" s="2" t="s">
        <v>18</v>
      </c>
      <c r="E4857" s="5">
        <v>-30660</v>
      </c>
      <c r="F4857" s="3" t="s">
        <v>809</v>
      </c>
      <c r="G4857" s="3" t="s">
        <v>11537</v>
      </c>
      <c r="H4857" s="2" t="s">
        <v>21</v>
      </c>
      <c r="I4857" s="2" t="s">
        <v>11538</v>
      </c>
      <c r="J4857" s="3" t="str">
        <f>HYPERLINK("https://www.boe.es/gazeta/dias/1816/01/20/pdfs/GMD-1816-9.pdf#page=4","Abrir facsímil")</f>
        <v>Abrir facsímil</v>
      </c>
      <c r="K4857" s="3" t="s">
        <v>23</v>
      </c>
    </row>
    <row r="4858" spans="1:11" ht="42" customHeight="1">
      <c r="A4858" s="2" t="s">
        <v>11539</v>
      </c>
      <c r="B4858" s="2" t="s">
        <v>11540</v>
      </c>
      <c r="C4858" s="2" t="s">
        <v>81</v>
      </c>
      <c r="D4858" s="2" t="s">
        <v>18</v>
      </c>
      <c r="E4858" s="5">
        <v>-30632</v>
      </c>
      <c r="F4858" s="3" t="s">
        <v>89</v>
      </c>
      <c r="G4858" s="3" t="s">
        <v>103</v>
      </c>
      <c r="H4858" s="2" t="s">
        <v>21</v>
      </c>
      <c r="I4858" s="2" t="s">
        <v>11541</v>
      </c>
      <c r="J4858" s="3" t="str">
        <f>HYPERLINK("https://www.boe.es/gazeta/dias/1816/02/17/pdfs/GMD-1816-22.pdf#page=4","Abrir facsímil")</f>
        <v>Abrir facsímil</v>
      </c>
      <c r="K4858" s="3" t="s">
        <v>23</v>
      </c>
    </row>
    <row r="4859" spans="1:11" ht="42" customHeight="1">
      <c r="A4859" s="2" t="s">
        <v>11542</v>
      </c>
      <c r="B4859" s="2" t="s">
        <v>11543</v>
      </c>
      <c r="C4859" s="2" t="s">
        <v>111</v>
      </c>
      <c r="D4859" s="2" t="s">
        <v>112</v>
      </c>
      <c r="E4859" s="5">
        <v>-30622</v>
      </c>
      <c r="F4859" s="3" t="s">
        <v>27</v>
      </c>
      <c r="G4859" s="3" t="s">
        <v>2195</v>
      </c>
      <c r="H4859" s="2" t="s">
        <v>21</v>
      </c>
      <c r="I4859" s="2" t="s">
        <v>11544</v>
      </c>
      <c r="J4859" s="3" t="str">
        <f>HYPERLINK("https://www.boe.es/gazeta/dias/1816/02/27/pdfs/GMD-1816-26.pdf#page=8","Abrir facsímil")</f>
        <v>Abrir facsímil</v>
      </c>
      <c r="K4859" s="3" t="s">
        <v>23</v>
      </c>
    </row>
    <row r="4860" spans="1:11" ht="42" customHeight="1">
      <c r="A4860" s="2" t="s">
        <v>11545</v>
      </c>
      <c r="B4860" s="2" t="s">
        <v>11546</v>
      </c>
      <c r="C4860" s="2" t="s">
        <v>111</v>
      </c>
      <c r="D4860" s="2" t="s">
        <v>112</v>
      </c>
      <c r="E4860" s="5">
        <v>-30604</v>
      </c>
      <c r="F4860" s="3" t="s">
        <v>488</v>
      </c>
      <c r="G4860" s="3" t="s">
        <v>42</v>
      </c>
      <c r="H4860" s="2" t="s">
        <v>21</v>
      </c>
      <c r="I4860" s="2" t="s">
        <v>11547</v>
      </c>
      <c r="J4860" s="3" t="str">
        <f>HYPERLINK("https://www.boe.es/gazeta/dias/1816/03/16/pdfs/GMD-1816-35.pdf#page=8","Abrir facsímil")</f>
        <v>Abrir facsímil</v>
      </c>
      <c r="K4860" s="3" t="s">
        <v>23</v>
      </c>
    </row>
    <row r="4861" spans="1:11" ht="42" customHeight="1">
      <c r="A4861" s="2" t="s">
        <v>11545</v>
      </c>
      <c r="B4861" s="2" t="s">
        <v>11546</v>
      </c>
      <c r="C4861" s="2" t="s">
        <v>111</v>
      </c>
      <c r="D4861" s="2" t="s">
        <v>112</v>
      </c>
      <c r="E4861" s="5">
        <v>-30594</v>
      </c>
      <c r="F4861" s="3" t="s">
        <v>234</v>
      </c>
      <c r="G4861" s="3" t="s">
        <v>52</v>
      </c>
      <c r="H4861" s="2" t="s">
        <v>21</v>
      </c>
      <c r="I4861" s="2" t="s">
        <v>11548</v>
      </c>
      <c r="J4861" s="3" t="str">
        <f>HYPERLINK("https://www.boe.es/gazeta/dias/1816/03/26/pdfs/GMD-1816-40.pdf#page=12","Abrir facsímil")</f>
        <v>Abrir facsímil</v>
      </c>
      <c r="K4861" s="3" t="s">
        <v>23</v>
      </c>
    </row>
    <row r="4862" spans="1:11" ht="42" customHeight="1">
      <c r="A4862" s="2" t="s">
        <v>11545</v>
      </c>
      <c r="B4862" s="2" t="s">
        <v>11546</v>
      </c>
      <c r="C4862" s="2" t="s">
        <v>41</v>
      </c>
      <c r="D4862" s="2" t="s">
        <v>18</v>
      </c>
      <c r="E4862" s="5">
        <v>-30587</v>
      </c>
      <c r="F4862" s="3" t="s">
        <v>341</v>
      </c>
      <c r="G4862" s="3" t="s">
        <v>42</v>
      </c>
      <c r="H4862" s="2" t="s">
        <v>21</v>
      </c>
      <c r="I4862" s="2" t="s">
        <v>11549</v>
      </c>
      <c r="J4862" s="3" t="str">
        <f>HYPERLINK("https://www.boe.es/gazeta/dias/1816/04/02/pdfs/GMD-1816-43.pdf#page=8","Abrir facsímil")</f>
        <v>Abrir facsímil</v>
      </c>
      <c r="K4862" s="3" t="s">
        <v>23</v>
      </c>
    </row>
    <row r="4863" spans="1:11" ht="42" customHeight="1">
      <c r="A4863" s="2" t="s">
        <v>11545</v>
      </c>
      <c r="B4863" s="2" t="s">
        <v>11546</v>
      </c>
      <c r="C4863" s="2" t="s">
        <v>111</v>
      </c>
      <c r="D4863" s="2" t="s">
        <v>112</v>
      </c>
      <c r="E4863" s="5">
        <v>-30578</v>
      </c>
      <c r="F4863" s="3" t="s">
        <v>91</v>
      </c>
      <c r="G4863" s="3" t="s">
        <v>52</v>
      </c>
      <c r="H4863" s="2" t="s">
        <v>21</v>
      </c>
      <c r="I4863" s="2" t="s">
        <v>11550</v>
      </c>
      <c r="J4863" s="3" t="str">
        <f>HYPERLINK("https://www.boe.es/gazeta/dias/1816/04/11/pdfs/GMD-1816-47.pdf#page=12","Abrir facsímil")</f>
        <v>Abrir facsímil</v>
      </c>
      <c r="K4863" s="3" t="s">
        <v>23</v>
      </c>
    </row>
    <row r="4864" spans="1:11" ht="42" customHeight="1">
      <c r="A4864" s="2" t="s">
        <v>11545</v>
      </c>
      <c r="B4864" s="2" t="s">
        <v>11546</v>
      </c>
      <c r="C4864" s="2" t="s">
        <v>111</v>
      </c>
      <c r="D4864" s="2" t="s">
        <v>112</v>
      </c>
      <c r="E4864" s="5">
        <v>-30571</v>
      </c>
      <c r="F4864" s="3" t="s">
        <v>738</v>
      </c>
      <c r="G4864" s="3" t="s">
        <v>42</v>
      </c>
      <c r="H4864" s="2" t="s">
        <v>21</v>
      </c>
      <c r="I4864" s="2" t="s">
        <v>11551</v>
      </c>
      <c r="J4864" s="3" t="str">
        <f>HYPERLINK("https://www.boe.es/gazeta/dias/1816/04/18/pdfs/GMD-1816-50.pdf#page=8","Abrir facsímil")</f>
        <v>Abrir facsímil</v>
      </c>
      <c r="K4864" s="3" t="s">
        <v>23</v>
      </c>
    </row>
    <row r="4865" spans="1:11" ht="42" customHeight="1">
      <c r="A4865" s="2" t="s">
        <v>11545</v>
      </c>
      <c r="B4865" s="2" t="s">
        <v>11546</v>
      </c>
      <c r="C4865" s="2" t="s">
        <v>111</v>
      </c>
      <c r="D4865" s="2" t="s">
        <v>112</v>
      </c>
      <c r="E4865" s="5">
        <v>-30524</v>
      </c>
      <c r="F4865" s="3" t="s">
        <v>98</v>
      </c>
      <c r="G4865" s="3" t="s">
        <v>1209</v>
      </c>
      <c r="H4865" s="2" t="s">
        <v>21</v>
      </c>
      <c r="I4865" s="2" t="s">
        <v>11552</v>
      </c>
      <c r="J4865" s="3" t="str">
        <f>HYPERLINK("https://www.boe.es/gazeta/dias/1816/06/04/pdfs/GMD-1816-70.pdf#page=8","Abrir facsímil")</f>
        <v>Abrir facsímil</v>
      </c>
      <c r="K4865" s="3" t="s">
        <v>23</v>
      </c>
    </row>
    <row r="4866" spans="1:11" ht="42" customHeight="1">
      <c r="A4866" s="2" t="s">
        <v>11545</v>
      </c>
      <c r="B4866" s="2" t="s">
        <v>11546</v>
      </c>
      <c r="C4866" s="2" t="s">
        <v>111</v>
      </c>
      <c r="D4866" s="2" t="s">
        <v>112</v>
      </c>
      <c r="E4866" s="5">
        <v>-30482</v>
      </c>
      <c r="F4866" s="3" t="s">
        <v>370</v>
      </c>
      <c r="G4866" s="3" t="s">
        <v>52</v>
      </c>
      <c r="H4866" s="2" t="s">
        <v>21</v>
      </c>
      <c r="I4866" s="2" t="s">
        <v>11553</v>
      </c>
      <c r="J4866" s="3" t="str">
        <f>HYPERLINK("https://www.boe.es/gazeta/dias/1816/07/16/pdfs/GMD-1816-88.pdf#page=12","Abrir facsímil")</f>
        <v>Abrir facsímil</v>
      </c>
      <c r="K4866" s="3" t="s">
        <v>23</v>
      </c>
    </row>
    <row r="4867" spans="1:11" ht="42" customHeight="1">
      <c r="A4867" s="2" t="s">
        <v>11545</v>
      </c>
      <c r="B4867" s="2" t="s">
        <v>11546</v>
      </c>
      <c r="C4867" s="2" t="s">
        <v>41</v>
      </c>
      <c r="D4867" s="2" t="s">
        <v>18</v>
      </c>
      <c r="E4867" s="5">
        <v>-30445</v>
      </c>
      <c r="F4867" s="3" t="s">
        <v>51</v>
      </c>
      <c r="G4867" s="3" t="s">
        <v>52</v>
      </c>
      <c r="H4867" s="2" t="s">
        <v>21</v>
      </c>
      <c r="I4867" s="2" t="s">
        <v>11554</v>
      </c>
      <c r="J4867" s="3" t="str">
        <f>HYPERLINK("https://www.boe.es/gazeta/dias/1816/08/22/pdfs/GMD-1816-104.pdf#page=12","Abrir facsímil")</f>
        <v>Abrir facsímil</v>
      </c>
      <c r="K4867" s="3" t="s">
        <v>23</v>
      </c>
    </row>
    <row r="4868" spans="1:11" ht="42" customHeight="1">
      <c r="A4868" s="2" t="s">
        <v>11545</v>
      </c>
      <c r="B4868" s="2" t="s">
        <v>11546</v>
      </c>
      <c r="C4868" s="2" t="s">
        <v>111</v>
      </c>
      <c r="D4868" s="2" t="s">
        <v>112</v>
      </c>
      <c r="E4868" s="5">
        <v>-30398</v>
      </c>
      <c r="F4868" s="3" t="s">
        <v>447</v>
      </c>
      <c r="G4868" s="3" t="s">
        <v>42</v>
      </c>
      <c r="H4868" s="2" t="s">
        <v>21</v>
      </c>
      <c r="I4868" s="2" t="s">
        <v>11555</v>
      </c>
      <c r="J4868" s="3" t="str">
        <f>HYPERLINK("https://www.boe.es/gazeta/dias/1816/10/08/pdfs/GMD-1816-125.pdf#page=8","Abrir facsímil")</f>
        <v>Abrir facsímil</v>
      </c>
      <c r="K4868" s="3" t="s">
        <v>23</v>
      </c>
    </row>
    <row r="4869" spans="1:11" ht="42" customHeight="1">
      <c r="A4869" s="2" t="s">
        <v>11556</v>
      </c>
      <c r="B4869" s="2" t="s">
        <v>11557</v>
      </c>
      <c r="C4869" s="2" t="s">
        <v>111</v>
      </c>
      <c r="D4869" s="2" t="s">
        <v>112</v>
      </c>
      <c r="E4869" s="5">
        <v>-30424</v>
      </c>
      <c r="F4869" s="3" t="s">
        <v>142</v>
      </c>
      <c r="G4869" s="3" t="s">
        <v>175</v>
      </c>
      <c r="H4869" s="2" t="s">
        <v>21</v>
      </c>
      <c r="I4869" s="2" t="s">
        <v>11558</v>
      </c>
      <c r="J4869" s="3" t="str">
        <f>HYPERLINK("https://www.boe.es/gazeta/dias/1816/09/12/pdfs/GMD-1816-113.pdf#page=11","Abrir facsímil")</f>
        <v>Abrir facsímil</v>
      </c>
      <c r="K4869" s="3" t="s">
        <v>23</v>
      </c>
    </row>
    <row r="4870" spans="1:11" ht="42" customHeight="1">
      <c r="A4870" s="2" t="s">
        <v>11559</v>
      </c>
      <c r="B4870" s="2" t="s">
        <v>11560</v>
      </c>
      <c r="C4870" s="2" t="s">
        <v>34</v>
      </c>
      <c r="D4870" s="2" t="s">
        <v>35</v>
      </c>
      <c r="E4870" s="5">
        <v>-30384</v>
      </c>
      <c r="F4870" s="3" t="s">
        <v>460</v>
      </c>
      <c r="G4870" s="3" t="s">
        <v>103</v>
      </c>
      <c r="H4870" s="2" t="s">
        <v>21</v>
      </c>
      <c r="I4870" s="2" t="s">
        <v>11561</v>
      </c>
      <c r="J4870" s="3" t="str">
        <f>HYPERLINK("https://www.boe.es/gazeta/dias/1816/10/22/pdfs/GMD-1816-132.pdf#page=4","Abrir facsímil")</f>
        <v>Abrir facsímil</v>
      </c>
      <c r="K4870" s="3" t="s">
        <v>23</v>
      </c>
    </row>
    <row r="4871" spans="1:11" ht="42" customHeight="1">
      <c r="A4871" s="2" t="s">
        <v>11562</v>
      </c>
      <c r="B4871" s="2" t="s">
        <v>11563</v>
      </c>
      <c r="C4871" s="2" t="s">
        <v>26</v>
      </c>
      <c r="D4871" s="2" t="s">
        <v>18</v>
      </c>
      <c r="E4871" s="5">
        <v>-30534</v>
      </c>
      <c r="F4871" s="3" t="s">
        <v>274</v>
      </c>
      <c r="G4871" s="3" t="s">
        <v>47</v>
      </c>
      <c r="H4871" s="2" t="s">
        <v>21</v>
      </c>
      <c r="I4871" s="2" t="s">
        <v>11564</v>
      </c>
      <c r="J4871" s="3" t="str">
        <f>HYPERLINK("https://www.boe.es/gazeta/dias/1816/05/25/pdfs/GMD-1816-66.pdf#page=5","Abrir facsímil")</f>
        <v>Abrir facsímil</v>
      </c>
      <c r="K4871" s="3" t="s">
        <v>23</v>
      </c>
    </row>
    <row r="4872" spans="1:11" ht="42" customHeight="1">
      <c r="A4872" s="2" t="s">
        <v>11565</v>
      </c>
      <c r="B4872" s="2" t="s">
        <v>11566</v>
      </c>
      <c r="C4872" s="2" t="s">
        <v>111</v>
      </c>
      <c r="D4872" s="2" t="s">
        <v>112</v>
      </c>
      <c r="E4872" s="5">
        <v>-30552</v>
      </c>
      <c r="F4872" s="3" t="s">
        <v>1842</v>
      </c>
      <c r="G4872" s="3" t="s">
        <v>72</v>
      </c>
      <c r="H4872" s="2" t="s">
        <v>21</v>
      </c>
      <c r="I4872" s="2" t="s">
        <v>11567</v>
      </c>
      <c r="J4872" s="3" t="str">
        <f>HYPERLINK("https://www.boe.es/gazeta/dias/1816/05/07/pdfs/GMD-1816-58.pdf#page=7","Abrir facsímil")</f>
        <v>Abrir facsímil</v>
      </c>
      <c r="K4872" s="3" t="s">
        <v>23</v>
      </c>
    </row>
    <row r="4873" spans="1:11" ht="42" customHeight="1">
      <c r="A4873" s="2" t="s">
        <v>11568</v>
      </c>
      <c r="B4873" s="2" t="s">
        <v>11569</v>
      </c>
      <c r="C4873" s="2" t="s">
        <v>34</v>
      </c>
      <c r="D4873" s="2" t="s">
        <v>35</v>
      </c>
      <c r="E4873" s="5">
        <v>-30401</v>
      </c>
      <c r="F4873" s="3" t="s">
        <v>652</v>
      </c>
      <c r="G4873" s="3" t="s">
        <v>28</v>
      </c>
      <c r="H4873" s="2" t="s">
        <v>21</v>
      </c>
      <c r="I4873" s="2" t="s">
        <v>11570</v>
      </c>
      <c r="J4873" s="3" t="str">
        <f>HYPERLINK("https://www.boe.es/gazeta/dias/1816/10/05/pdfs/GMD-1816-123.pdf#page=6","Abrir facsímil")</f>
        <v>Abrir facsímil</v>
      </c>
      <c r="K4873" s="3" t="s">
        <v>23</v>
      </c>
    </row>
    <row r="4874" spans="1:11" ht="42" customHeight="1">
      <c r="A4874" s="2" t="s">
        <v>11571</v>
      </c>
      <c r="B4874" s="2" t="s">
        <v>11572</v>
      </c>
      <c r="C4874" s="2" t="s">
        <v>34</v>
      </c>
      <c r="D4874" s="2" t="s">
        <v>56</v>
      </c>
      <c r="E4874" s="5">
        <v>-30393</v>
      </c>
      <c r="F4874" s="3" t="s">
        <v>202</v>
      </c>
      <c r="G4874" s="3" t="s">
        <v>58</v>
      </c>
      <c r="H4874" s="2" t="s">
        <v>21</v>
      </c>
      <c r="I4874" s="2" t="s">
        <v>11573</v>
      </c>
      <c r="J4874" s="3" t="str">
        <f>HYPERLINK("https://www.boe.es/gazeta/dias/1816/10/13/pdfs/GMD-1816-128E.pdf#page=1","Abrir facsímil")</f>
        <v>Abrir facsímil</v>
      </c>
      <c r="K4874" s="3" t="s">
        <v>23</v>
      </c>
    </row>
    <row r="4875" spans="1:11" ht="42" customHeight="1">
      <c r="A4875" s="2" t="s">
        <v>11574</v>
      </c>
      <c r="B4875" s="2" t="s">
        <v>11575</v>
      </c>
      <c r="C4875" s="2" t="s">
        <v>26</v>
      </c>
      <c r="D4875" s="2" t="s">
        <v>18</v>
      </c>
      <c r="E4875" s="5">
        <v>-30333</v>
      </c>
      <c r="F4875" s="3" t="s">
        <v>1005</v>
      </c>
      <c r="G4875" s="3" t="s">
        <v>1006</v>
      </c>
      <c r="H4875" s="2" t="s">
        <v>21</v>
      </c>
      <c r="I4875" s="2" t="s">
        <v>11576</v>
      </c>
      <c r="J4875" s="3" t="str">
        <f>HYPERLINK("https://www.boe.es/gazeta/dias/1816/12/12/pdfs/GMD-1816-154.pdf#page=5","Abrir facsímil")</f>
        <v>Abrir facsímil</v>
      </c>
      <c r="K4875" s="3" t="s">
        <v>23</v>
      </c>
    </row>
    <row r="4876" spans="1:11" ht="42" customHeight="1">
      <c r="A4876" s="2" t="s">
        <v>11577</v>
      </c>
      <c r="B4876" s="2" t="s">
        <v>11578</v>
      </c>
      <c r="C4876" s="2" t="s">
        <v>111</v>
      </c>
      <c r="D4876" s="2" t="s">
        <v>112</v>
      </c>
      <c r="E4876" s="5">
        <v>-30359</v>
      </c>
      <c r="F4876" s="3" t="s">
        <v>812</v>
      </c>
      <c r="G4876" s="3" t="s">
        <v>47</v>
      </c>
      <c r="H4876" s="2" t="s">
        <v>29</v>
      </c>
      <c r="I4876" s="2" t="s">
        <v>11579</v>
      </c>
      <c r="J4876" s="3" t="str">
        <f>HYPERLINK("https://www.boe.es/gazeta/dias/1816/11/16/pdfs/GMD-1816-143.pdf#page=5","Abrir facsímil")</f>
        <v>Abrir facsímil</v>
      </c>
      <c r="K4876" s="3" t="s">
        <v>31</v>
      </c>
    </row>
    <row r="4877" spans="1:11" ht="42" customHeight="1">
      <c r="A4877" s="2" t="s">
        <v>11580</v>
      </c>
      <c r="B4877" s="2" t="s">
        <v>11581</v>
      </c>
      <c r="C4877" s="2" t="s">
        <v>26</v>
      </c>
      <c r="D4877" s="2" t="s">
        <v>18</v>
      </c>
      <c r="E4877" s="5">
        <v>-30431</v>
      </c>
      <c r="F4877" s="3" t="s">
        <v>756</v>
      </c>
      <c r="G4877" s="3" t="s">
        <v>72</v>
      </c>
      <c r="H4877" s="2" t="s">
        <v>21</v>
      </c>
      <c r="I4877" s="2" t="s">
        <v>11582</v>
      </c>
      <c r="J4877" s="3" t="str">
        <f>HYPERLINK("https://www.boe.es/gazeta/dias/1816/09/05/pdfs/GMD-1816-110.pdf#page=7","Abrir facsímil")</f>
        <v>Abrir facsímil</v>
      </c>
      <c r="K4877" s="3" t="s">
        <v>23</v>
      </c>
    </row>
    <row r="4878" spans="1:11" ht="42" customHeight="1">
      <c r="A4878" s="2" t="s">
        <v>11583</v>
      </c>
      <c r="B4878" s="2" t="s">
        <v>11584</v>
      </c>
      <c r="C4878" s="2" t="s">
        <v>26</v>
      </c>
      <c r="D4878" s="2" t="s">
        <v>18</v>
      </c>
      <c r="E4878" s="5">
        <v>-30438</v>
      </c>
      <c r="F4878" s="3" t="s">
        <v>299</v>
      </c>
      <c r="G4878" s="3" t="s">
        <v>92</v>
      </c>
      <c r="H4878" s="2" t="s">
        <v>21</v>
      </c>
      <c r="I4878" s="2" t="s">
        <v>11585</v>
      </c>
      <c r="J4878" s="3" t="str">
        <f>HYPERLINK("https://www.boe.es/gazeta/dias/1816/08/29/pdfs/GMD-1816-107.pdf#page=9","Abrir facsímil")</f>
        <v>Abrir facsímil</v>
      </c>
      <c r="K4878" s="3" t="s">
        <v>23</v>
      </c>
    </row>
    <row r="4879" spans="1:11" ht="42" customHeight="1">
      <c r="A4879" s="2" t="s">
        <v>11586</v>
      </c>
      <c r="B4879" s="2" t="s">
        <v>11587</v>
      </c>
      <c r="C4879" s="2" t="s">
        <v>26</v>
      </c>
      <c r="D4879" s="2" t="s">
        <v>18</v>
      </c>
      <c r="E4879" s="5">
        <v>-30438</v>
      </c>
      <c r="F4879" s="3" t="s">
        <v>299</v>
      </c>
      <c r="G4879" s="3" t="s">
        <v>92</v>
      </c>
      <c r="H4879" s="2" t="s">
        <v>21</v>
      </c>
      <c r="I4879" s="2" t="s">
        <v>11588</v>
      </c>
      <c r="J4879" s="3" t="str">
        <f>HYPERLINK("https://www.boe.es/gazeta/dias/1816/08/29/pdfs/GMD-1816-107.pdf#page=9","Abrir facsímil")</f>
        <v>Abrir facsímil</v>
      </c>
      <c r="K4879" s="3" t="s">
        <v>23</v>
      </c>
    </row>
    <row r="4880" spans="1:11" ht="42" customHeight="1">
      <c r="A4880" s="2" t="s">
        <v>11589</v>
      </c>
      <c r="B4880" s="2" t="s">
        <v>11590</v>
      </c>
      <c r="C4880" s="2" t="s">
        <v>111</v>
      </c>
      <c r="D4880" s="2" t="s">
        <v>112</v>
      </c>
      <c r="E4880" s="5">
        <v>-30375</v>
      </c>
      <c r="F4880" s="3" t="s">
        <v>404</v>
      </c>
      <c r="G4880" s="3" t="s">
        <v>1276</v>
      </c>
      <c r="H4880" s="2" t="s">
        <v>21</v>
      </c>
      <c r="I4880" s="2" t="s">
        <v>11591</v>
      </c>
      <c r="J4880" s="3" t="str">
        <f>HYPERLINK("https://www.boe.es/gazeta/dias/1816/10/31/pdfs/GMD-1816-136.pdf#page=5","Abrir facsímil")</f>
        <v>Abrir facsímil</v>
      </c>
      <c r="K4880" s="3" t="s">
        <v>23</v>
      </c>
    </row>
    <row r="4881" spans="1:11" ht="42" customHeight="1">
      <c r="A4881" s="2" t="s">
        <v>11592</v>
      </c>
      <c r="B4881" s="2" t="s">
        <v>11593</v>
      </c>
      <c r="C4881" s="2" t="s">
        <v>111</v>
      </c>
      <c r="D4881" s="2" t="s">
        <v>112</v>
      </c>
      <c r="E4881" s="5">
        <v>-30536</v>
      </c>
      <c r="F4881" s="3" t="s">
        <v>580</v>
      </c>
      <c r="G4881" s="3" t="s">
        <v>42</v>
      </c>
      <c r="H4881" s="2" t="s">
        <v>21</v>
      </c>
      <c r="I4881" s="2" t="s">
        <v>11594</v>
      </c>
      <c r="J4881" s="3" t="str">
        <f>HYPERLINK("https://www.boe.es/gazeta/dias/1816/05/23/pdfs/GMD-1816-65.pdf#page=8","Abrir facsímil")</f>
        <v>Abrir facsímil</v>
      </c>
      <c r="K4881" s="3" t="s">
        <v>23</v>
      </c>
    </row>
    <row r="4882" spans="1:11" ht="42" customHeight="1">
      <c r="A4882" s="2" t="s">
        <v>11595</v>
      </c>
      <c r="B4882" s="2" t="s">
        <v>11596</v>
      </c>
      <c r="C4882" s="2" t="s">
        <v>111</v>
      </c>
      <c r="D4882" s="2" t="s">
        <v>112</v>
      </c>
      <c r="E4882" s="5">
        <v>-30578</v>
      </c>
      <c r="F4882" s="3" t="s">
        <v>91</v>
      </c>
      <c r="G4882" s="3" t="s">
        <v>52</v>
      </c>
      <c r="H4882" s="2" t="s">
        <v>21</v>
      </c>
      <c r="I4882" s="2" t="s">
        <v>11597</v>
      </c>
      <c r="J4882" s="3" t="str">
        <f>HYPERLINK("https://www.boe.es/gazeta/dias/1816/04/11/pdfs/GMD-1816-47.pdf#page=12","Abrir facsímil")</f>
        <v>Abrir facsímil</v>
      </c>
      <c r="K4882" s="3" t="s">
        <v>23</v>
      </c>
    </row>
    <row r="4883" spans="1:11" ht="42" customHeight="1">
      <c r="A4883" s="2" t="s">
        <v>11595</v>
      </c>
      <c r="B4883" s="2" t="s">
        <v>11596</v>
      </c>
      <c r="C4883" s="2" t="s">
        <v>111</v>
      </c>
      <c r="D4883" s="2" t="s">
        <v>112</v>
      </c>
      <c r="E4883" s="5">
        <v>-30487</v>
      </c>
      <c r="F4883" s="3" t="s">
        <v>397</v>
      </c>
      <c r="G4883" s="3" t="s">
        <v>180</v>
      </c>
      <c r="H4883" s="2" t="s">
        <v>21</v>
      </c>
      <c r="I4883" s="2" t="s">
        <v>11598</v>
      </c>
      <c r="J4883" s="3" t="str">
        <f>HYPERLINK("https://www.boe.es/gazeta/dias/1816/07/11/pdfs/GMD-1816-86.pdf#page=10","Abrir facsímil")</f>
        <v>Abrir facsímil</v>
      </c>
      <c r="K4883" s="3" t="s">
        <v>23</v>
      </c>
    </row>
    <row r="4884" spans="1:11" ht="42" customHeight="1">
      <c r="A4884" s="2" t="s">
        <v>11595</v>
      </c>
      <c r="B4884" s="2" t="s">
        <v>11596</v>
      </c>
      <c r="C4884" s="2" t="s">
        <v>111</v>
      </c>
      <c r="D4884" s="2" t="s">
        <v>112</v>
      </c>
      <c r="E4884" s="5">
        <v>-30457</v>
      </c>
      <c r="F4884" s="3" t="s">
        <v>539</v>
      </c>
      <c r="G4884" s="3" t="s">
        <v>42</v>
      </c>
      <c r="H4884" s="2" t="s">
        <v>21</v>
      </c>
      <c r="I4884" s="2" t="s">
        <v>11599</v>
      </c>
      <c r="J4884" s="3" t="str">
        <f>HYPERLINK("https://www.boe.es/gazeta/dias/1816/08/10/pdfs/GMD-1816-99.pdf#page=8","Abrir facsímil")</f>
        <v>Abrir facsímil</v>
      </c>
      <c r="K4884" s="3" t="s">
        <v>23</v>
      </c>
    </row>
    <row r="4885" spans="1:11" ht="42" customHeight="1">
      <c r="A4885" s="2" t="s">
        <v>11600</v>
      </c>
      <c r="B4885" s="2" t="s">
        <v>11601</v>
      </c>
      <c r="C4885" s="2" t="s">
        <v>111</v>
      </c>
      <c r="D4885" s="2" t="s">
        <v>112</v>
      </c>
      <c r="E4885" s="5">
        <v>-30496</v>
      </c>
      <c r="F4885" s="3" t="s">
        <v>290</v>
      </c>
      <c r="G4885" s="3" t="s">
        <v>42</v>
      </c>
      <c r="H4885" s="2" t="s">
        <v>21</v>
      </c>
      <c r="I4885" s="2" t="s">
        <v>11602</v>
      </c>
      <c r="J4885" s="3" t="str">
        <f>HYPERLINK("https://www.boe.es/gazeta/dias/1816/07/02/pdfs/GMD-1816-82.pdf#page=8","Abrir facsímil")</f>
        <v>Abrir facsímil</v>
      </c>
      <c r="K4885" s="3" t="s">
        <v>23</v>
      </c>
    </row>
    <row r="4886" spans="1:11" ht="42" customHeight="1">
      <c r="A4886" s="2" t="s">
        <v>11603</v>
      </c>
      <c r="B4886" s="2" t="s">
        <v>11604</v>
      </c>
      <c r="C4886" s="2" t="s">
        <v>34</v>
      </c>
      <c r="D4886" s="2" t="s">
        <v>35</v>
      </c>
      <c r="E4886" s="5">
        <v>-30583</v>
      </c>
      <c r="F4886" s="3" t="s">
        <v>241</v>
      </c>
      <c r="G4886" s="3" t="s">
        <v>184</v>
      </c>
      <c r="H4886" s="2" t="s">
        <v>21</v>
      </c>
      <c r="I4886" s="2" t="s">
        <v>11605</v>
      </c>
      <c r="J4886" s="3" t="str">
        <f>HYPERLINK("https://www.boe.es/gazeta/dias/1816/04/06/pdfs/GMD-1816-45.pdf#page=3","Abrir facsímil")</f>
        <v>Abrir facsímil</v>
      </c>
      <c r="K4886" s="3" t="s">
        <v>23</v>
      </c>
    </row>
    <row r="4887" spans="1:11" ht="42" customHeight="1">
      <c r="A4887" s="2" t="s">
        <v>11606</v>
      </c>
      <c r="B4887" s="2" t="s">
        <v>11607</v>
      </c>
      <c r="C4887" s="2" t="s">
        <v>111</v>
      </c>
      <c r="D4887" s="2" t="s">
        <v>112</v>
      </c>
      <c r="E4887" s="5">
        <v>-30576</v>
      </c>
      <c r="F4887" s="3" t="s">
        <v>353</v>
      </c>
      <c r="G4887" s="3" t="s">
        <v>72</v>
      </c>
      <c r="H4887" s="2" t="s">
        <v>21</v>
      </c>
      <c r="I4887" s="2" t="s">
        <v>11608</v>
      </c>
      <c r="J4887" s="3" t="str">
        <f>HYPERLINK("https://www.boe.es/gazeta/dias/1816/04/13/pdfs/GMD-1816-48.pdf#page=7","Abrir facsímil")</f>
        <v>Abrir facsímil</v>
      </c>
      <c r="K4887" s="3" t="s">
        <v>23</v>
      </c>
    </row>
    <row r="4888" spans="1:11" ht="42" customHeight="1">
      <c r="A4888" s="2" t="s">
        <v>11609</v>
      </c>
      <c r="B4888" s="2" t="s">
        <v>11610</v>
      </c>
      <c r="C4888" s="2" t="s">
        <v>111</v>
      </c>
      <c r="D4888" s="2" t="s">
        <v>112</v>
      </c>
      <c r="E4888" s="5">
        <v>-30373</v>
      </c>
      <c r="F4888" s="3" t="s">
        <v>1280</v>
      </c>
      <c r="G4888" s="3" t="s">
        <v>1281</v>
      </c>
      <c r="H4888" s="2" t="s">
        <v>21</v>
      </c>
      <c r="I4888" s="2" t="s">
        <v>11611</v>
      </c>
      <c r="J4888" s="3" t="str">
        <f>HYPERLINK("https://www.boe.es/gazeta/dias/1816/11/02/pdfs/GMD-1816-137.pdf#page=6","Abrir facsímil")</f>
        <v>Abrir facsímil</v>
      </c>
      <c r="K4888" s="3" t="s">
        <v>23</v>
      </c>
    </row>
    <row r="4889" spans="1:11" ht="42" customHeight="1">
      <c r="A4889" s="2" t="s">
        <v>11612</v>
      </c>
      <c r="B4889" s="2" t="s">
        <v>11613</v>
      </c>
      <c r="C4889" s="2" t="s">
        <v>34</v>
      </c>
      <c r="D4889" s="2" t="s">
        <v>35</v>
      </c>
      <c r="E4889" s="5">
        <v>-30599</v>
      </c>
      <c r="F4889" s="3" t="s">
        <v>552</v>
      </c>
      <c r="G4889" s="3" t="s">
        <v>72</v>
      </c>
      <c r="H4889" s="2" t="s">
        <v>21</v>
      </c>
      <c r="I4889" s="2" t="s">
        <v>11614</v>
      </c>
      <c r="J4889" s="3" t="str">
        <f>HYPERLINK("https://www.boe.es/gazeta/dias/1816/03/21/pdfs/GMD-1816-38.pdf#page=7","Abrir facsímil")</f>
        <v>Abrir facsímil</v>
      </c>
      <c r="K4889" s="3" t="s">
        <v>23</v>
      </c>
    </row>
    <row r="4890" spans="1:11" ht="42" customHeight="1">
      <c r="A4890" s="2" t="s">
        <v>11615</v>
      </c>
      <c r="B4890" s="2" t="s">
        <v>11616</v>
      </c>
      <c r="C4890" s="2" t="s">
        <v>34</v>
      </c>
      <c r="D4890" s="2" t="s">
        <v>35</v>
      </c>
      <c r="E4890" s="5">
        <v>-30503</v>
      </c>
      <c r="F4890" s="3" t="s">
        <v>1600</v>
      </c>
      <c r="G4890" s="3" t="s">
        <v>47</v>
      </c>
      <c r="H4890" s="2" t="s">
        <v>21</v>
      </c>
      <c r="I4890" s="2" t="s">
        <v>11617</v>
      </c>
      <c r="J4890" s="3" t="str">
        <f>HYPERLINK("https://www.boe.es/gazeta/dias/1816/06/25/pdfs/GMD-1816-79.pdf#page=5","Abrir facsímil")</f>
        <v>Abrir facsímil</v>
      </c>
      <c r="K4890" s="3" t="s">
        <v>23</v>
      </c>
    </row>
    <row r="4891" spans="1:11" ht="42" customHeight="1">
      <c r="A4891" s="2" t="s">
        <v>11618</v>
      </c>
      <c r="B4891" s="2" t="s">
        <v>11619</v>
      </c>
      <c r="C4891" s="2" t="s">
        <v>17</v>
      </c>
      <c r="D4891" s="2" t="s">
        <v>18</v>
      </c>
      <c r="E4891" s="5">
        <v>-30571</v>
      </c>
      <c r="F4891" s="3" t="s">
        <v>738</v>
      </c>
      <c r="G4891" s="3" t="s">
        <v>42</v>
      </c>
      <c r="H4891" s="2" t="s">
        <v>21</v>
      </c>
      <c r="I4891" s="2" t="s">
        <v>11620</v>
      </c>
      <c r="J4891" s="3" t="str">
        <f>HYPERLINK("https://www.boe.es/gazeta/dias/1816/04/18/pdfs/GMD-1816-50.pdf#page=8","Abrir facsímil")</f>
        <v>Abrir facsímil</v>
      </c>
      <c r="K4891" s="3" t="s">
        <v>23</v>
      </c>
    </row>
    <row r="4892" spans="1:11" ht="42" customHeight="1">
      <c r="A4892" s="2" t="s">
        <v>11621</v>
      </c>
      <c r="B4892" s="2" t="s">
        <v>11622</v>
      </c>
      <c r="C4892" s="2" t="s">
        <v>81</v>
      </c>
      <c r="D4892" s="2" t="s">
        <v>18</v>
      </c>
      <c r="E4892" s="5">
        <v>-30501</v>
      </c>
      <c r="F4892" s="3" t="s">
        <v>475</v>
      </c>
      <c r="G4892" s="3" t="s">
        <v>1735</v>
      </c>
      <c r="H4892" s="2" t="s">
        <v>21</v>
      </c>
      <c r="I4892" s="2" t="s">
        <v>11623</v>
      </c>
      <c r="J4892" s="3" t="str">
        <f>HYPERLINK("https://www.boe.es/gazeta/dias/1816/06/27/pdfs/GMD-1816-80.pdf#page=8","Abrir facsímil")</f>
        <v>Abrir facsímil</v>
      </c>
      <c r="K4892" s="3" t="s">
        <v>23</v>
      </c>
    </row>
    <row r="4893" spans="1:11" ht="42" customHeight="1">
      <c r="A4893" s="2" t="s">
        <v>11624</v>
      </c>
      <c r="B4893" s="2" t="s">
        <v>11625</v>
      </c>
      <c r="C4893" s="2" t="s">
        <v>34</v>
      </c>
      <c r="D4893" s="2" t="s">
        <v>35</v>
      </c>
      <c r="E4893" s="5">
        <v>-30436</v>
      </c>
      <c r="F4893" s="3" t="s">
        <v>102</v>
      </c>
      <c r="G4893" s="3" t="s">
        <v>47</v>
      </c>
      <c r="H4893" s="2" t="s">
        <v>21</v>
      </c>
      <c r="I4893" s="2" t="s">
        <v>11626</v>
      </c>
      <c r="J4893" s="3" t="str">
        <f>HYPERLINK("https://www.boe.es/gazeta/dias/1816/08/31/pdfs/GMD-1816-108.pdf#page=5","Abrir facsímil")</f>
        <v>Abrir facsímil</v>
      </c>
      <c r="K4893" s="3" t="s">
        <v>23</v>
      </c>
    </row>
    <row r="4894" spans="1:11" ht="42" customHeight="1">
      <c r="A4894" s="2" t="s">
        <v>11627</v>
      </c>
      <c r="B4894" s="2" t="s">
        <v>11628</v>
      </c>
      <c r="C4894" s="2" t="s">
        <v>34</v>
      </c>
      <c r="D4894" s="2" t="s">
        <v>35</v>
      </c>
      <c r="E4894" s="5">
        <v>-30648</v>
      </c>
      <c r="F4894" s="3" t="s">
        <v>872</v>
      </c>
      <c r="G4894" s="3" t="s">
        <v>72</v>
      </c>
      <c r="H4894" s="2" t="s">
        <v>21</v>
      </c>
      <c r="I4894" s="2" t="s">
        <v>11629</v>
      </c>
      <c r="J4894" s="3" t="str">
        <f>HYPERLINK("https://www.boe.es/gazeta/dias/1816/02/01/pdfs/GMD-1816-15.pdf#page=7","Abrir facsímil")</f>
        <v>Abrir facsímil</v>
      </c>
      <c r="K4894" s="3" t="s">
        <v>23</v>
      </c>
    </row>
    <row r="4895" spans="1:11" ht="42" customHeight="1">
      <c r="A4895" s="2" t="s">
        <v>11630</v>
      </c>
      <c r="B4895" s="2" t="s">
        <v>11631</v>
      </c>
      <c r="C4895" s="2" t="s">
        <v>26</v>
      </c>
      <c r="D4895" s="2" t="s">
        <v>18</v>
      </c>
      <c r="E4895" s="5">
        <v>-30373</v>
      </c>
      <c r="F4895" s="3" t="s">
        <v>1280</v>
      </c>
      <c r="G4895" s="3" t="s">
        <v>1281</v>
      </c>
      <c r="H4895" s="2" t="s">
        <v>21</v>
      </c>
      <c r="I4895" s="2" t="s">
        <v>11632</v>
      </c>
      <c r="J4895" s="3" t="str">
        <f>HYPERLINK("https://www.boe.es/gazeta/dias/1816/11/02/pdfs/GMD-1816-137.pdf#page=6","Abrir facsímil")</f>
        <v>Abrir facsímil</v>
      </c>
      <c r="K4895" s="3" t="s">
        <v>23</v>
      </c>
    </row>
    <row r="4896" spans="1:11" ht="42" customHeight="1">
      <c r="A4896" s="2" t="s">
        <v>11633</v>
      </c>
      <c r="B4896" s="2" t="s">
        <v>11634</v>
      </c>
      <c r="C4896" s="2" t="s">
        <v>17</v>
      </c>
      <c r="D4896" s="2" t="s">
        <v>18</v>
      </c>
      <c r="E4896" s="5">
        <v>-30643</v>
      </c>
      <c r="F4896" s="3" t="s">
        <v>620</v>
      </c>
      <c r="G4896" s="3" t="s">
        <v>42</v>
      </c>
      <c r="H4896" s="2" t="s">
        <v>21</v>
      </c>
      <c r="I4896" s="2" t="s">
        <v>11635</v>
      </c>
      <c r="J4896" s="3" t="str">
        <f>HYPERLINK("https://www.boe.es/gazeta/dias/1816/02/06/pdfs/GMD-1816-17.pdf#page=8","Abrir facsímil")</f>
        <v>Abrir facsímil</v>
      </c>
      <c r="K4896" s="3" t="s">
        <v>23</v>
      </c>
    </row>
    <row r="4897" spans="1:11" ht="42" customHeight="1">
      <c r="A4897" s="2" t="s">
        <v>11636</v>
      </c>
      <c r="B4897" s="2" t="s">
        <v>11637</v>
      </c>
      <c r="C4897" s="2" t="s">
        <v>26</v>
      </c>
      <c r="D4897" s="2" t="s">
        <v>18</v>
      </c>
      <c r="E4897" s="5">
        <v>-30618</v>
      </c>
      <c r="F4897" s="3" t="s">
        <v>207</v>
      </c>
      <c r="G4897" s="3" t="s">
        <v>72</v>
      </c>
      <c r="H4897" s="2" t="s">
        <v>21</v>
      </c>
      <c r="I4897" s="2" t="s">
        <v>11638</v>
      </c>
      <c r="J4897" s="3" t="str">
        <f>HYPERLINK("https://www.boe.es/gazeta/dias/1816/03/02/pdfs/GMD-1816-29.pdf#page=7","Abrir facsímil")</f>
        <v>Abrir facsímil</v>
      </c>
      <c r="K4897" s="3" t="s">
        <v>23</v>
      </c>
    </row>
    <row r="4898" spans="1:11" ht="42" customHeight="1">
      <c r="A4898" s="2" t="s">
        <v>11639</v>
      </c>
      <c r="B4898" s="2" t="s">
        <v>11640</v>
      </c>
      <c r="C4898" s="2" t="s">
        <v>26</v>
      </c>
      <c r="D4898" s="2" t="s">
        <v>18</v>
      </c>
      <c r="E4898" s="5">
        <v>-30445</v>
      </c>
      <c r="F4898" s="3" t="s">
        <v>51</v>
      </c>
      <c r="G4898" s="3" t="s">
        <v>47</v>
      </c>
      <c r="H4898" s="2" t="s">
        <v>21</v>
      </c>
      <c r="I4898" s="2" t="s">
        <v>11641</v>
      </c>
      <c r="J4898" s="3" t="str">
        <f>HYPERLINK("https://www.boe.es/gazeta/dias/1816/08/22/pdfs/GMD-1816-104.pdf#page=5","Abrir facsímil")</f>
        <v>Abrir facsímil</v>
      </c>
      <c r="K4898" s="3" t="s">
        <v>23</v>
      </c>
    </row>
    <row r="4899" spans="1:11" ht="42" customHeight="1">
      <c r="A4899" s="2" t="s">
        <v>11639</v>
      </c>
      <c r="B4899" s="2" t="s">
        <v>11640</v>
      </c>
      <c r="C4899" s="2" t="s">
        <v>26</v>
      </c>
      <c r="D4899" s="2" t="s">
        <v>18</v>
      </c>
      <c r="E4899" s="5">
        <v>-30354</v>
      </c>
      <c r="F4899" s="3" t="s">
        <v>68</v>
      </c>
      <c r="G4899" s="3" t="s">
        <v>72</v>
      </c>
      <c r="H4899" s="2" t="s">
        <v>21</v>
      </c>
      <c r="I4899" s="2" t="s">
        <v>11642</v>
      </c>
      <c r="J4899" s="3" t="str">
        <f>HYPERLINK("https://www.boe.es/gazeta/dias/1816/11/21/pdfs/GMD-1816-145.pdf#page=7","Abrir facsímil")</f>
        <v>Abrir facsímil</v>
      </c>
      <c r="K4899" s="3" t="s">
        <v>23</v>
      </c>
    </row>
    <row r="4900" spans="1:11" ht="42" customHeight="1">
      <c r="A4900" s="2" t="s">
        <v>11643</v>
      </c>
      <c r="B4900" s="2" t="s">
        <v>11644</v>
      </c>
      <c r="C4900" s="2" t="s">
        <v>26</v>
      </c>
      <c r="D4900" s="2" t="s">
        <v>18</v>
      </c>
      <c r="E4900" s="5">
        <v>-30317</v>
      </c>
      <c r="F4900" s="3" t="s">
        <v>1030</v>
      </c>
      <c r="G4900" s="3" t="s">
        <v>184</v>
      </c>
      <c r="H4900" s="2" t="s">
        <v>21</v>
      </c>
      <c r="I4900" s="2" t="s">
        <v>11645</v>
      </c>
      <c r="J4900" s="3" t="str">
        <f>HYPERLINK("https://www.boe.es/gazeta/dias/1816/12/28/pdfs/GMD-1816-161.pdf#page=3","Abrir facsímil")</f>
        <v>Abrir facsímil</v>
      </c>
      <c r="K4900" s="3" t="s">
        <v>23</v>
      </c>
    </row>
    <row r="4901" spans="1:11" ht="42" customHeight="1">
      <c r="A4901" s="2" t="s">
        <v>11646</v>
      </c>
      <c r="B4901" s="2" t="s">
        <v>11647</v>
      </c>
      <c r="C4901" s="2" t="s">
        <v>111</v>
      </c>
      <c r="D4901" s="2" t="s">
        <v>112</v>
      </c>
      <c r="E4901" s="5">
        <v>-30375</v>
      </c>
      <c r="F4901" s="3" t="s">
        <v>404</v>
      </c>
      <c r="G4901" s="3" t="s">
        <v>1276</v>
      </c>
      <c r="H4901" s="2" t="s">
        <v>21</v>
      </c>
      <c r="I4901" s="2" t="s">
        <v>11648</v>
      </c>
      <c r="J4901" s="3" t="str">
        <f>HYPERLINK("https://www.boe.es/gazeta/dias/1816/10/31/pdfs/GMD-1816-136.pdf#page=5","Abrir facsímil")</f>
        <v>Abrir facsímil</v>
      </c>
      <c r="K4901" s="3" t="s">
        <v>23</v>
      </c>
    </row>
    <row r="4902" spans="1:11" ht="42" customHeight="1">
      <c r="A4902" s="2" t="s">
        <v>11649</v>
      </c>
      <c r="B4902" s="2" t="s">
        <v>11650</v>
      </c>
      <c r="C4902" s="2" t="s">
        <v>17</v>
      </c>
      <c r="D4902" s="2" t="s">
        <v>18</v>
      </c>
      <c r="E4902" s="5">
        <v>-30459</v>
      </c>
      <c r="F4902" s="3" t="s">
        <v>1957</v>
      </c>
      <c r="G4902" s="3" t="s">
        <v>72</v>
      </c>
      <c r="H4902" s="2" t="s">
        <v>21</v>
      </c>
      <c r="I4902" s="2" t="s">
        <v>11651</v>
      </c>
      <c r="J4902" s="3" t="str">
        <f>HYPERLINK("https://www.boe.es/gazeta/dias/1816/08/08/pdfs/GMD-1816-98.pdf#page=7","Abrir facsímil")</f>
        <v>Abrir facsímil</v>
      </c>
      <c r="K4902" s="3" t="s">
        <v>23</v>
      </c>
    </row>
    <row r="4903" spans="1:11" ht="42" customHeight="1">
      <c r="A4903" s="2" t="s">
        <v>11652</v>
      </c>
      <c r="B4903" s="2" t="s">
        <v>11653</v>
      </c>
      <c r="C4903" s="2" t="s">
        <v>67</v>
      </c>
      <c r="D4903" s="2" t="s">
        <v>18</v>
      </c>
      <c r="E4903" s="5">
        <v>-30664</v>
      </c>
      <c r="F4903" s="3" t="s">
        <v>1999</v>
      </c>
      <c r="G4903" s="3" t="s">
        <v>42</v>
      </c>
      <c r="H4903" s="2" t="s">
        <v>21</v>
      </c>
      <c r="I4903" s="2" t="s">
        <v>11654</v>
      </c>
      <c r="J4903" s="3" t="str">
        <f>HYPERLINK("https://www.boe.es/gazeta/dias/1816/01/16/pdfs/GMD-1816-7.pdf#page=8","Abrir facsímil")</f>
        <v>Abrir facsímil</v>
      </c>
      <c r="K4903" s="3" t="s">
        <v>23</v>
      </c>
    </row>
    <row r="4904" spans="1:11" ht="42" customHeight="1">
      <c r="A4904" s="2" t="s">
        <v>11655</v>
      </c>
      <c r="B4904" s="2" t="s">
        <v>11656</v>
      </c>
      <c r="C4904" s="2" t="s">
        <v>34</v>
      </c>
      <c r="D4904" s="2" t="s">
        <v>35</v>
      </c>
      <c r="E4904" s="5">
        <v>-30639</v>
      </c>
      <c r="F4904" s="3" t="s">
        <v>87</v>
      </c>
      <c r="G4904" s="3" t="s">
        <v>28</v>
      </c>
      <c r="H4904" s="2" t="s">
        <v>21</v>
      </c>
      <c r="I4904" s="2" t="s">
        <v>11657</v>
      </c>
      <c r="J4904" s="3" t="str">
        <f>HYPERLINK("https://www.boe.es/gazeta/dias/1816/02/10/pdfs/GMD-1816-19.pdf#page=6","Abrir facsímil")</f>
        <v>Abrir facsímil</v>
      </c>
      <c r="K4904" s="3" t="s">
        <v>23</v>
      </c>
    </row>
    <row r="4905" spans="1:11" ht="42" customHeight="1">
      <c r="A4905" s="2" t="s">
        <v>11658</v>
      </c>
      <c r="B4905" s="2" t="s">
        <v>11659</v>
      </c>
      <c r="C4905" s="2" t="s">
        <v>34</v>
      </c>
      <c r="D4905" s="2" t="s">
        <v>35</v>
      </c>
      <c r="E4905" s="5">
        <v>-30534</v>
      </c>
      <c r="F4905" s="3" t="s">
        <v>274</v>
      </c>
      <c r="G4905" s="3" t="s">
        <v>47</v>
      </c>
      <c r="H4905" s="2" t="s">
        <v>21</v>
      </c>
      <c r="I4905" s="2" t="s">
        <v>11660</v>
      </c>
      <c r="J4905" s="3" t="str">
        <f>HYPERLINK("https://www.boe.es/gazeta/dias/1816/05/25/pdfs/GMD-1816-66.pdf#page=5","Abrir facsímil")</f>
        <v>Abrir facsímil</v>
      </c>
      <c r="K4905" s="3" t="s">
        <v>23</v>
      </c>
    </row>
    <row r="4906" spans="1:11" ht="42" customHeight="1">
      <c r="A4906" s="2" t="s">
        <v>11661</v>
      </c>
      <c r="B4906" s="2" t="s">
        <v>11662</v>
      </c>
      <c r="C4906" s="2" t="s">
        <v>34</v>
      </c>
      <c r="D4906" s="2" t="s">
        <v>35</v>
      </c>
      <c r="E4906" s="5">
        <v>-30529</v>
      </c>
      <c r="F4906" s="3" t="s">
        <v>432</v>
      </c>
      <c r="G4906" s="3" t="s">
        <v>28</v>
      </c>
      <c r="H4906" s="2" t="s">
        <v>29</v>
      </c>
      <c r="I4906" s="2" t="s">
        <v>11663</v>
      </c>
      <c r="J4906" s="3" t="str">
        <f>HYPERLINK("https://www.boe.es/gazeta/dias/1816/05/30/pdfs/GMD-1816-68.pdf#page=6","Abrir facsímil")</f>
        <v>Abrir facsímil</v>
      </c>
      <c r="K4906" s="3" t="s">
        <v>31</v>
      </c>
    </row>
    <row r="4907" spans="1:11" ht="42" customHeight="1">
      <c r="A4907" s="2" t="s">
        <v>11664</v>
      </c>
      <c r="B4907" s="2" t="s">
        <v>11665</v>
      </c>
      <c r="C4907" s="2" t="s">
        <v>26</v>
      </c>
      <c r="D4907" s="2" t="s">
        <v>18</v>
      </c>
      <c r="E4907" s="5">
        <v>-30564</v>
      </c>
      <c r="F4907" s="3" t="s">
        <v>963</v>
      </c>
      <c r="G4907" s="3" t="s">
        <v>964</v>
      </c>
      <c r="H4907" s="2" t="s">
        <v>21</v>
      </c>
      <c r="I4907" s="2" t="s">
        <v>11666</v>
      </c>
      <c r="J4907" s="3" t="str">
        <f>HYPERLINK("https://www.boe.es/gazeta/dias/1816/04/25/pdfs/GMD-1816-53.pdf#page=6","Abrir facsímil")</f>
        <v>Abrir facsímil</v>
      </c>
      <c r="K4907" s="3" t="s">
        <v>23</v>
      </c>
    </row>
    <row r="4908" spans="1:11" ht="42" customHeight="1">
      <c r="A4908" s="2" t="s">
        <v>11667</v>
      </c>
      <c r="B4908" s="2" t="s">
        <v>11668</v>
      </c>
      <c r="C4908" s="2" t="s">
        <v>26</v>
      </c>
      <c r="D4908" s="2" t="s">
        <v>18</v>
      </c>
      <c r="E4908" s="5">
        <v>-30410</v>
      </c>
      <c r="F4908" s="3" t="s">
        <v>1259</v>
      </c>
      <c r="G4908" s="3" t="s">
        <v>28</v>
      </c>
      <c r="H4908" s="2" t="s">
        <v>21</v>
      </c>
      <c r="I4908" s="2" t="s">
        <v>11669</v>
      </c>
      <c r="J4908" s="3" t="str">
        <f>HYPERLINK("https://www.boe.es/gazeta/dias/1816/09/26/pdfs/GMD-1816-119.pdf#page=6","Abrir facsímil")</f>
        <v>Abrir facsímil</v>
      </c>
      <c r="K4908" s="3" t="s">
        <v>23</v>
      </c>
    </row>
    <row r="4909" spans="1:11" ht="42" customHeight="1">
      <c r="A4909" s="2" t="s">
        <v>11670</v>
      </c>
      <c r="B4909" s="2" t="s">
        <v>11671</v>
      </c>
      <c r="C4909" s="2" t="s">
        <v>26</v>
      </c>
      <c r="D4909" s="2" t="s">
        <v>18</v>
      </c>
      <c r="E4909" s="5">
        <v>-30594</v>
      </c>
      <c r="F4909" s="3" t="s">
        <v>234</v>
      </c>
      <c r="G4909" s="3" t="s">
        <v>47</v>
      </c>
      <c r="H4909" s="2" t="s">
        <v>21</v>
      </c>
      <c r="I4909" s="2" t="s">
        <v>11672</v>
      </c>
      <c r="J4909" s="3" t="str">
        <f>HYPERLINK("https://www.boe.es/gazeta/dias/1816/03/26/pdfs/GMD-1816-40.pdf#page=5","Abrir facsímil")</f>
        <v>Abrir facsímil</v>
      </c>
      <c r="K4909" s="3" t="s">
        <v>23</v>
      </c>
    </row>
    <row r="4910" spans="1:11" ht="42" customHeight="1">
      <c r="A4910" s="2" t="s">
        <v>11670</v>
      </c>
      <c r="B4910" s="2" t="s">
        <v>11671</v>
      </c>
      <c r="C4910" s="2" t="s">
        <v>34</v>
      </c>
      <c r="D4910" s="2" t="s">
        <v>35</v>
      </c>
      <c r="E4910" s="5">
        <v>-30594</v>
      </c>
      <c r="F4910" s="3" t="s">
        <v>234</v>
      </c>
      <c r="G4910" s="3" t="s">
        <v>28</v>
      </c>
      <c r="H4910" s="2" t="s">
        <v>21</v>
      </c>
      <c r="I4910" s="2" t="s">
        <v>11673</v>
      </c>
      <c r="J4910" s="3" t="str">
        <f>HYPERLINK("https://www.boe.es/gazeta/dias/1816/03/26/pdfs/GMD-1816-40.pdf#page=6","Abrir facsímil")</f>
        <v>Abrir facsímil</v>
      </c>
      <c r="K4910" s="3" t="s">
        <v>23</v>
      </c>
    </row>
    <row r="4911" spans="1:11" ht="42" customHeight="1">
      <c r="A4911" s="2" t="s">
        <v>11674</v>
      </c>
      <c r="B4911" s="2" t="s">
        <v>11675</v>
      </c>
      <c r="C4911" s="2" t="s">
        <v>34</v>
      </c>
      <c r="D4911" s="2" t="s">
        <v>35</v>
      </c>
      <c r="E4911" s="5">
        <v>-30580</v>
      </c>
      <c r="F4911" s="3" t="s">
        <v>107</v>
      </c>
      <c r="G4911" s="3" t="s">
        <v>28</v>
      </c>
      <c r="H4911" s="2" t="s">
        <v>21</v>
      </c>
      <c r="I4911" s="2" t="s">
        <v>11676</v>
      </c>
      <c r="J4911" s="3" t="str">
        <f>HYPERLINK("https://www.boe.es/gazeta/dias/1816/04/09/pdfs/GMD-1816-46.pdf#page=6","Abrir facsímil")</f>
        <v>Abrir facsímil</v>
      </c>
      <c r="K4911" s="3" t="s">
        <v>23</v>
      </c>
    </row>
    <row r="4912" spans="1:11" ht="42" customHeight="1">
      <c r="A4912" s="2" t="s">
        <v>11677</v>
      </c>
      <c r="B4912" s="2" t="s">
        <v>11678</v>
      </c>
      <c r="C4912" s="2" t="s">
        <v>26</v>
      </c>
      <c r="D4912" s="2" t="s">
        <v>18</v>
      </c>
      <c r="E4912" s="5">
        <v>-30433</v>
      </c>
      <c r="F4912" s="3" t="s">
        <v>954</v>
      </c>
      <c r="G4912" s="3" t="s">
        <v>955</v>
      </c>
      <c r="H4912" s="2" t="s">
        <v>21</v>
      </c>
      <c r="I4912" s="2" t="s">
        <v>11679</v>
      </c>
      <c r="J4912" s="3" t="str">
        <f>HYPERLINK("https://www.boe.es/gazeta/dias/1816/09/03/pdfs/GMD-1816-109.pdf#page=7","Abrir facsímil")</f>
        <v>Abrir facsímil</v>
      </c>
      <c r="K4912" s="3" t="s">
        <v>23</v>
      </c>
    </row>
    <row r="4913" spans="1:11" ht="42" customHeight="1">
      <c r="A4913" s="2" t="s">
        <v>11680</v>
      </c>
      <c r="B4913" s="2" t="s">
        <v>11681</v>
      </c>
      <c r="C4913" s="2" t="s">
        <v>34</v>
      </c>
      <c r="D4913" s="2" t="s">
        <v>35</v>
      </c>
      <c r="E4913" s="5">
        <v>-30391</v>
      </c>
      <c r="F4913" s="3" t="s">
        <v>482</v>
      </c>
      <c r="G4913" s="3" t="s">
        <v>72</v>
      </c>
      <c r="H4913" s="2" t="s">
        <v>21</v>
      </c>
      <c r="I4913" s="2" t="s">
        <v>11682</v>
      </c>
      <c r="J4913" s="3" t="str">
        <f>HYPERLINK("https://www.boe.es/gazeta/dias/1816/10/15/pdfs/GMD-1816-129.pdf#page=7","Abrir facsímil")</f>
        <v>Abrir facsímil</v>
      </c>
      <c r="K4913" s="3" t="s">
        <v>23</v>
      </c>
    </row>
    <row r="4914" spans="1:11" ht="42" customHeight="1">
      <c r="A4914" s="2" t="s">
        <v>11683</v>
      </c>
      <c r="B4914" s="2" t="s">
        <v>11684</v>
      </c>
      <c r="C4914" s="2" t="s">
        <v>26</v>
      </c>
      <c r="D4914" s="2" t="s">
        <v>18</v>
      </c>
      <c r="E4914" s="5">
        <v>-30438</v>
      </c>
      <c r="F4914" s="3" t="s">
        <v>299</v>
      </c>
      <c r="G4914" s="3" t="s">
        <v>300</v>
      </c>
      <c r="H4914" s="2" t="s">
        <v>29</v>
      </c>
      <c r="I4914" s="2" t="s">
        <v>11685</v>
      </c>
      <c r="J4914" s="3" t="str">
        <f>HYPERLINK("https://www.boe.es/gazeta/dias/1816/08/29/pdfs/GMD-1816-107.pdf#page=12","Abrir facsímil")</f>
        <v>Abrir facsímil</v>
      </c>
      <c r="K4914" s="3" t="s">
        <v>31</v>
      </c>
    </row>
    <row r="4915" spans="1:11" ht="42" customHeight="1">
      <c r="A4915" s="2" t="s">
        <v>11686</v>
      </c>
      <c r="B4915" s="2" t="s">
        <v>11687</v>
      </c>
      <c r="C4915" s="2" t="s">
        <v>111</v>
      </c>
      <c r="D4915" s="2" t="s">
        <v>112</v>
      </c>
      <c r="E4915" s="5">
        <v>-30557</v>
      </c>
      <c r="F4915" s="3" t="s">
        <v>508</v>
      </c>
      <c r="G4915" s="3" t="s">
        <v>42</v>
      </c>
      <c r="H4915" s="2" t="s">
        <v>21</v>
      </c>
      <c r="I4915" s="2" t="s">
        <v>11688</v>
      </c>
      <c r="J4915" s="3" t="str">
        <f>HYPERLINK("https://www.boe.es/gazeta/dias/1816/05/02/pdfs/GMD-1816-56.pdf#page=8","Abrir facsímil")</f>
        <v>Abrir facsímil</v>
      </c>
      <c r="K4915" s="3" t="s">
        <v>23</v>
      </c>
    </row>
    <row r="4916" spans="1:11" ht="42" customHeight="1">
      <c r="A4916" s="2" t="s">
        <v>11689</v>
      </c>
      <c r="B4916" s="2" t="s">
        <v>11690</v>
      </c>
      <c r="C4916" s="2" t="s">
        <v>111</v>
      </c>
      <c r="D4916" s="2" t="s">
        <v>112</v>
      </c>
      <c r="E4916" s="5">
        <v>-30557</v>
      </c>
      <c r="F4916" s="3" t="s">
        <v>508</v>
      </c>
      <c r="G4916" s="3" t="s">
        <v>42</v>
      </c>
      <c r="H4916" s="2" t="s">
        <v>21</v>
      </c>
      <c r="I4916" s="2" t="s">
        <v>11691</v>
      </c>
      <c r="J4916" s="3" t="str">
        <f>HYPERLINK("https://www.boe.es/gazeta/dias/1816/05/02/pdfs/GMD-1816-56.pdf#page=8","Abrir facsímil")</f>
        <v>Abrir facsímil</v>
      </c>
      <c r="K4916" s="3" t="s">
        <v>23</v>
      </c>
    </row>
    <row r="4917" spans="1:11" ht="42" customHeight="1">
      <c r="A4917" s="2" t="s">
        <v>11689</v>
      </c>
      <c r="B4917" s="2" t="s">
        <v>11690</v>
      </c>
      <c r="C4917" s="2" t="s">
        <v>111</v>
      </c>
      <c r="D4917" s="2" t="s">
        <v>112</v>
      </c>
      <c r="E4917" s="5">
        <v>-30536</v>
      </c>
      <c r="F4917" s="3" t="s">
        <v>580</v>
      </c>
      <c r="G4917" s="3" t="s">
        <v>42</v>
      </c>
      <c r="H4917" s="2" t="s">
        <v>21</v>
      </c>
      <c r="I4917" s="2" t="s">
        <v>11692</v>
      </c>
      <c r="J4917" s="3" t="str">
        <f>HYPERLINK("https://www.boe.es/gazeta/dias/1816/05/23/pdfs/GMD-1816-65.pdf#page=8","Abrir facsímil")</f>
        <v>Abrir facsímil</v>
      </c>
      <c r="K4917" s="3" t="s">
        <v>23</v>
      </c>
    </row>
    <row r="4918" spans="1:11" ht="42" customHeight="1">
      <c r="A4918" s="2" t="s">
        <v>11693</v>
      </c>
      <c r="B4918" s="2" t="s">
        <v>11694</v>
      </c>
      <c r="C4918" s="2" t="s">
        <v>111</v>
      </c>
      <c r="D4918" s="2" t="s">
        <v>112</v>
      </c>
      <c r="E4918" s="5">
        <v>-30482</v>
      </c>
      <c r="F4918" s="3" t="s">
        <v>370</v>
      </c>
      <c r="G4918" s="3" t="s">
        <v>103</v>
      </c>
      <c r="H4918" s="2" t="s">
        <v>21</v>
      </c>
      <c r="I4918" s="2" t="s">
        <v>11695</v>
      </c>
      <c r="J4918" s="3" t="str">
        <f>HYPERLINK("https://www.boe.es/gazeta/dias/1816/07/16/pdfs/GMD-1816-88.pdf#page=4","Abrir facsímil")</f>
        <v>Abrir facsímil</v>
      </c>
      <c r="K4918" s="3" t="s">
        <v>23</v>
      </c>
    </row>
    <row r="4919" spans="1:11" ht="42" customHeight="1">
      <c r="A4919" s="2" t="s">
        <v>11696</v>
      </c>
      <c r="B4919" s="2" t="s">
        <v>11697</v>
      </c>
      <c r="C4919" s="2" t="s">
        <v>111</v>
      </c>
      <c r="D4919" s="2" t="s">
        <v>112</v>
      </c>
      <c r="E4919" s="5">
        <v>-30578</v>
      </c>
      <c r="F4919" s="3" t="s">
        <v>91</v>
      </c>
      <c r="G4919" s="3" t="s">
        <v>286</v>
      </c>
      <c r="H4919" s="2" t="s">
        <v>21</v>
      </c>
      <c r="I4919" s="2" t="s">
        <v>11698</v>
      </c>
      <c r="J4919" s="3" t="str">
        <f>HYPERLINK("https://www.boe.es/gazeta/dias/1816/04/11/pdfs/GMD-1816-47.pdf#page=11","Abrir facsímil")</f>
        <v>Abrir facsímil</v>
      </c>
      <c r="K4919" s="3" t="s">
        <v>23</v>
      </c>
    </row>
    <row r="4920" spans="1:11" ht="42" customHeight="1">
      <c r="A4920" s="2" t="s">
        <v>11699</v>
      </c>
      <c r="B4920" s="2" t="s">
        <v>11700</v>
      </c>
      <c r="C4920" s="2" t="s">
        <v>111</v>
      </c>
      <c r="D4920" s="2" t="s">
        <v>112</v>
      </c>
      <c r="E4920" s="5">
        <v>-30576</v>
      </c>
      <c r="F4920" s="3" t="s">
        <v>353</v>
      </c>
      <c r="G4920" s="3" t="s">
        <v>72</v>
      </c>
      <c r="H4920" s="2" t="s">
        <v>21</v>
      </c>
      <c r="I4920" s="2" t="s">
        <v>11701</v>
      </c>
      <c r="J4920" s="3" t="str">
        <f>HYPERLINK("https://www.boe.es/gazeta/dias/1816/04/13/pdfs/GMD-1816-48.pdf#page=7","Abrir facsímil")</f>
        <v>Abrir facsímil</v>
      </c>
      <c r="K4920" s="3" t="s">
        <v>23</v>
      </c>
    </row>
    <row r="4921" spans="1:11" ht="42" customHeight="1">
      <c r="A4921" s="2" t="s">
        <v>11702</v>
      </c>
      <c r="B4921" s="2" t="s">
        <v>11703</v>
      </c>
      <c r="C4921" s="2" t="s">
        <v>17</v>
      </c>
      <c r="D4921" s="2" t="s">
        <v>18</v>
      </c>
      <c r="E4921" s="5">
        <v>-30401</v>
      </c>
      <c r="F4921" s="3" t="s">
        <v>652</v>
      </c>
      <c r="G4921" s="3" t="s">
        <v>28</v>
      </c>
      <c r="H4921" s="2" t="s">
        <v>21</v>
      </c>
      <c r="I4921" s="2" t="s">
        <v>11704</v>
      </c>
      <c r="J4921" s="3" t="str">
        <f>HYPERLINK("https://www.boe.es/gazeta/dias/1816/10/05/pdfs/GMD-1816-123.pdf#page=6","Abrir facsímil")</f>
        <v>Abrir facsímil</v>
      </c>
      <c r="K4921" s="3" t="s">
        <v>23</v>
      </c>
    </row>
    <row r="4922" spans="1:11" ht="42" customHeight="1">
      <c r="A4922" s="2" t="s">
        <v>11705</v>
      </c>
      <c r="B4922" s="2" t="s">
        <v>11705</v>
      </c>
      <c r="C4922" s="2" t="s">
        <v>26</v>
      </c>
      <c r="D4922" s="2" t="s">
        <v>18</v>
      </c>
      <c r="E4922" s="5">
        <v>-30573</v>
      </c>
      <c r="F4922" s="3" t="s">
        <v>840</v>
      </c>
      <c r="G4922" s="3" t="s">
        <v>270</v>
      </c>
      <c r="H4922" s="2" t="s">
        <v>21</v>
      </c>
      <c r="I4922" s="2" t="s">
        <v>11706</v>
      </c>
      <c r="J4922" s="3" t="str">
        <f>HYPERLINK("https://www.boe.es/gazeta/dias/1816/04/16/pdfs/GMD-1816-49.pdf#page=2","Abrir facsímil")</f>
        <v>Abrir facsímil</v>
      </c>
      <c r="K4922" s="3" t="s">
        <v>23</v>
      </c>
    </row>
    <row r="4923" spans="1:11" ht="42" customHeight="1">
      <c r="A4923" s="2" t="s">
        <v>11707</v>
      </c>
      <c r="B4923" s="2" t="s">
        <v>11707</v>
      </c>
      <c r="C4923" s="2" t="s">
        <v>34</v>
      </c>
      <c r="D4923" s="2" t="s">
        <v>35</v>
      </c>
      <c r="E4923" s="5">
        <v>-30321</v>
      </c>
      <c r="F4923" s="3" t="s">
        <v>1086</v>
      </c>
      <c r="G4923" s="3" t="s">
        <v>184</v>
      </c>
      <c r="H4923" s="2" t="s">
        <v>21</v>
      </c>
      <c r="I4923" s="2" t="s">
        <v>11708</v>
      </c>
      <c r="J4923" s="3" t="str">
        <f>HYPERLINK("https://www.boe.es/gazeta/dias/1816/12/24/pdfs/GMD-1816-159.pdf#page=3","Abrir facsímil")</f>
        <v>Abrir facsímil</v>
      </c>
      <c r="K4923" s="3" t="s">
        <v>23</v>
      </c>
    </row>
    <row r="4924" spans="1:11" ht="42" customHeight="1">
      <c r="A4924" s="2" t="s">
        <v>11709</v>
      </c>
      <c r="B4924" s="2" t="s">
        <v>11710</v>
      </c>
      <c r="C4924" s="2" t="s">
        <v>34</v>
      </c>
      <c r="D4924" s="2" t="s">
        <v>35</v>
      </c>
      <c r="E4924" s="5">
        <v>-30639</v>
      </c>
      <c r="F4924" s="3" t="s">
        <v>87</v>
      </c>
      <c r="G4924" s="3" t="s">
        <v>42</v>
      </c>
      <c r="H4924" s="2" t="s">
        <v>21</v>
      </c>
      <c r="I4924" s="2" t="s">
        <v>11711</v>
      </c>
      <c r="J4924" s="3" t="str">
        <f>HYPERLINK("https://www.boe.es/gazeta/dias/1816/02/10/pdfs/GMD-1816-19.pdf#page=8","Abrir facsímil")</f>
        <v>Abrir facsímil</v>
      </c>
      <c r="K4924" s="3" t="s">
        <v>23</v>
      </c>
    </row>
    <row r="4925" spans="1:11" ht="42" customHeight="1">
      <c r="A4925" s="2" t="s">
        <v>11709</v>
      </c>
      <c r="B4925" s="2" t="s">
        <v>11710</v>
      </c>
      <c r="C4925" s="2" t="s">
        <v>34</v>
      </c>
      <c r="D4925" s="2" t="s">
        <v>35</v>
      </c>
      <c r="E4925" s="5">
        <v>-30478</v>
      </c>
      <c r="F4925" s="3" t="s">
        <v>123</v>
      </c>
      <c r="G4925" s="3" t="s">
        <v>42</v>
      </c>
      <c r="H4925" s="2" t="s">
        <v>21</v>
      </c>
      <c r="I4925" s="2" t="s">
        <v>11712</v>
      </c>
      <c r="J4925" s="3" t="str">
        <f>HYPERLINK("https://www.boe.es/gazeta/dias/1816/07/20/pdfs/GMD-1816-90.pdf#page=8","Abrir facsímil")</f>
        <v>Abrir facsímil</v>
      </c>
      <c r="K4925" s="3" t="s">
        <v>23</v>
      </c>
    </row>
    <row r="4926" spans="1:11" ht="42" customHeight="1">
      <c r="A4926" s="2" t="s">
        <v>11713</v>
      </c>
      <c r="B4926" s="2" t="s">
        <v>11714</v>
      </c>
      <c r="C4926" s="2" t="s">
        <v>34</v>
      </c>
      <c r="D4926" s="2" t="s">
        <v>56</v>
      </c>
      <c r="E4926" s="5">
        <v>-30393</v>
      </c>
      <c r="F4926" s="3" t="s">
        <v>202</v>
      </c>
      <c r="G4926" s="3" t="s">
        <v>645</v>
      </c>
      <c r="H4926" s="2" t="s">
        <v>21</v>
      </c>
      <c r="I4926" s="2" t="s">
        <v>11715</v>
      </c>
      <c r="J4926" s="3" t="str">
        <f>HYPERLINK("https://www.boe.es/gazeta/dias/1816/10/13/pdfs/GMD-1816-128E.pdf#page=4","Abrir facsímil")</f>
        <v>Abrir facsímil</v>
      </c>
      <c r="K4926" s="3" t="s">
        <v>23</v>
      </c>
    </row>
    <row r="4927" spans="1:11" ht="42" customHeight="1">
      <c r="A4927" s="2" t="s">
        <v>11716</v>
      </c>
      <c r="B4927" s="2" t="s">
        <v>11716</v>
      </c>
      <c r="C4927" s="2" t="s">
        <v>34</v>
      </c>
      <c r="D4927" s="2" t="s">
        <v>35</v>
      </c>
      <c r="E4927" s="5">
        <v>-30415</v>
      </c>
      <c r="F4927" s="3" t="s">
        <v>585</v>
      </c>
      <c r="G4927" s="3" t="s">
        <v>52</v>
      </c>
      <c r="H4927" s="2" t="s">
        <v>21</v>
      </c>
      <c r="I4927" s="2" t="s">
        <v>11717</v>
      </c>
      <c r="J4927" s="3" t="str">
        <f>HYPERLINK("https://www.boe.es/gazeta/dias/1816/09/21/pdfs/GMD-1816-117.pdf#page=12","Abrir facsímil")</f>
        <v>Abrir facsímil</v>
      </c>
      <c r="K4927" s="3" t="s">
        <v>23</v>
      </c>
    </row>
    <row r="4928" spans="1:11" ht="42" customHeight="1">
      <c r="A4928" s="2" t="s">
        <v>11718</v>
      </c>
      <c r="B4928" s="2" t="s">
        <v>11719</v>
      </c>
      <c r="C4928" s="2" t="s">
        <v>41</v>
      </c>
      <c r="D4928" s="2" t="s">
        <v>18</v>
      </c>
      <c r="E4928" s="5">
        <v>-30601</v>
      </c>
      <c r="F4928" s="3" t="s">
        <v>308</v>
      </c>
      <c r="G4928" s="3" t="s">
        <v>42</v>
      </c>
      <c r="H4928" s="2" t="s">
        <v>21</v>
      </c>
      <c r="I4928" s="2" t="s">
        <v>11720</v>
      </c>
      <c r="J4928" s="3" t="str">
        <f>HYPERLINK("https://www.boe.es/gazeta/dias/1816/03/19/pdfs/GMD-1816-37.pdf#page=8","Abrir facsímil")</f>
        <v>Abrir facsímil</v>
      </c>
      <c r="K4928" s="3" t="s">
        <v>23</v>
      </c>
    </row>
    <row r="4929" spans="1:11" ht="42" customHeight="1">
      <c r="A4929" s="2" t="s">
        <v>11721</v>
      </c>
      <c r="B4929" s="2" t="s">
        <v>11721</v>
      </c>
      <c r="C4929" s="2" t="s">
        <v>111</v>
      </c>
      <c r="D4929" s="2" t="s">
        <v>112</v>
      </c>
      <c r="E4929" s="5">
        <v>-30573</v>
      </c>
      <c r="F4929" s="3" t="s">
        <v>840</v>
      </c>
      <c r="G4929" s="3" t="s">
        <v>270</v>
      </c>
      <c r="H4929" s="2" t="s">
        <v>21</v>
      </c>
      <c r="I4929" s="2" t="s">
        <v>11722</v>
      </c>
      <c r="J4929" s="3" t="str">
        <f>HYPERLINK("https://www.boe.es/gazeta/dias/1816/04/16/pdfs/GMD-1816-49.pdf#page=2","Abrir facsímil")</f>
        <v>Abrir facsímil</v>
      </c>
      <c r="K4929" s="3" t="s">
        <v>23</v>
      </c>
    </row>
    <row r="4930" spans="1:11" ht="42" customHeight="1">
      <c r="A4930" s="2" t="s">
        <v>11723</v>
      </c>
      <c r="B4930" s="2" t="s">
        <v>11724</v>
      </c>
      <c r="C4930" s="2" t="s">
        <v>34</v>
      </c>
      <c r="D4930" s="2" t="s">
        <v>35</v>
      </c>
      <c r="E4930" s="5">
        <v>-30580</v>
      </c>
      <c r="F4930" s="3" t="s">
        <v>107</v>
      </c>
      <c r="G4930" s="3" t="s">
        <v>28</v>
      </c>
      <c r="H4930" s="2" t="s">
        <v>21</v>
      </c>
      <c r="I4930" s="2" t="s">
        <v>11725</v>
      </c>
      <c r="J4930" s="3" t="str">
        <f>HYPERLINK("https://www.boe.es/gazeta/dias/1816/04/09/pdfs/GMD-1816-46.pdf#page=6","Abrir facsímil")</f>
        <v>Abrir facsímil</v>
      </c>
      <c r="K4930" s="3" t="s">
        <v>23</v>
      </c>
    </row>
    <row r="4931" spans="1:11" ht="42" customHeight="1">
      <c r="A4931" s="2" t="s">
        <v>11726</v>
      </c>
      <c r="B4931" s="2" t="s">
        <v>11726</v>
      </c>
      <c r="C4931" s="2" t="s">
        <v>111</v>
      </c>
      <c r="D4931" s="2" t="s">
        <v>112</v>
      </c>
      <c r="E4931" s="5">
        <v>-30475</v>
      </c>
      <c r="F4931" s="3" t="s">
        <v>319</v>
      </c>
      <c r="G4931" s="3" t="s">
        <v>72</v>
      </c>
      <c r="H4931" s="2" t="s">
        <v>21</v>
      </c>
      <c r="I4931" s="2" t="s">
        <v>11727</v>
      </c>
      <c r="J4931" s="3" t="str">
        <f>HYPERLINK("https://www.boe.es/gazeta/dias/1816/07/23/pdfs/GMD-1816-91.pdf#page=7","Abrir facsímil")</f>
        <v>Abrir facsímil</v>
      </c>
      <c r="K4931" s="3" t="s">
        <v>23</v>
      </c>
    </row>
    <row r="4932" spans="1:11" ht="42" customHeight="1">
      <c r="A4932" s="2" t="s">
        <v>11728</v>
      </c>
      <c r="B4932" s="2" t="s">
        <v>11729</v>
      </c>
      <c r="C4932" s="2" t="s">
        <v>34</v>
      </c>
      <c r="D4932" s="2" t="s">
        <v>35</v>
      </c>
      <c r="E4932" s="5">
        <v>-30487</v>
      </c>
      <c r="F4932" s="3" t="s">
        <v>397</v>
      </c>
      <c r="G4932" s="3" t="s">
        <v>184</v>
      </c>
      <c r="H4932" s="2" t="s">
        <v>21</v>
      </c>
      <c r="I4932" s="2" t="s">
        <v>11730</v>
      </c>
      <c r="J4932" s="3" t="str">
        <f>HYPERLINK("https://www.boe.es/gazeta/dias/1816/07/11/pdfs/GMD-1816-86.pdf#page=3","Abrir facsímil")</f>
        <v>Abrir facsímil</v>
      </c>
      <c r="K4932" s="3" t="s">
        <v>23</v>
      </c>
    </row>
    <row r="4933" spans="1:11" ht="42" customHeight="1">
      <c r="A4933" s="2" t="s">
        <v>11731</v>
      </c>
      <c r="B4933" s="2" t="s">
        <v>11731</v>
      </c>
      <c r="C4933" s="2" t="s">
        <v>41</v>
      </c>
      <c r="D4933" s="2" t="s">
        <v>18</v>
      </c>
      <c r="E4933" s="5">
        <v>-30674</v>
      </c>
      <c r="F4933" s="3" t="s">
        <v>19</v>
      </c>
      <c r="G4933" s="3" t="s">
        <v>47</v>
      </c>
      <c r="H4933" s="2" t="s">
        <v>21</v>
      </c>
      <c r="I4933" s="2" t="s">
        <v>11732</v>
      </c>
      <c r="J4933" s="3" t="str">
        <f>HYPERLINK("https://www.boe.es/gazeta/dias/1816/01/06/pdfs/GMD-1816-3.pdf#page=5","Abrir facsímil")</f>
        <v>Abrir facsímil</v>
      </c>
      <c r="K4933" s="3" t="s">
        <v>23</v>
      </c>
    </row>
    <row r="4934" spans="1:11" ht="42" customHeight="1">
      <c r="A4934" s="2" t="s">
        <v>11733</v>
      </c>
      <c r="B4934" s="2" t="s">
        <v>11733</v>
      </c>
      <c r="C4934" s="2" t="s">
        <v>34</v>
      </c>
      <c r="D4934" s="2" t="s">
        <v>35</v>
      </c>
      <c r="E4934" s="5">
        <v>-30643</v>
      </c>
      <c r="F4934" s="3" t="s">
        <v>620</v>
      </c>
      <c r="G4934" s="3" t="s">
        <v>7940</v>
      </c>
      <c r="H4934" s="2" t="s">
        <v>21</v>
      </c>
      <c r="I4934" s="2" t="s">
        <v>11734</v>
      </c>
      <c r="J4934" s="3" t="str">
        <f>HYPERLINK("https://www.boe.es/gazeta/dias/1816/02/06/pdfs/GMD-1816-17.pdf#page=5","Abrir facsímil")</f>
        <v>Abrir facsímil</v>
      </c>
      <c r="K4934" s="3" t="s">
        <v>23</v>
      </c>
    </row>
    <row r="4935" spans="1:11" ht="42" customHeight="1">
      <c r="A4935" s="2" t="s">
        <v>11735</v>
      </c>
      <c r="B4935" s="2" t="s">
        <v>11735</v>
      </c>
      <c r="C4935" s="2" t="s">
        <v>34</v>
      </c>
      <c r="D4935" s="2" t="s">
        <v>35</v>
      </c>
      <c r="E4935" s="5">
        <v>-30429</v>
      </c>
      <c r="F4935" s="3" t="s">
        <v>598</v>
      </c>
      <c r="G4935" s="3" t="s">
        <v>72</v>
      </c>
      <c r="H4935" s="2" t="s">
        <v>21</v>
      </c>
      <c r="I4935" s="2" t="s">
        <v>11736</v>
      </c>
      <c r="J4935" s="3" t="str">
        <f>HYPERLINK("https://www.boe.es/gazeta/dias/1816/09/07/pdfs/GMD-1816-111.pdf#page=7","Abrir facsímil")</f>
        <v>Abrir facsímil</v>
      </c>
      <c r="K4935" s="3" t="s">
        <v>23</v>
      </c>
    </row>
    <row r="4936" spans="1:11" ht="42" customHeight="1">
      <c r="A4936" s="2" t="s">
        <v>11737</v>
      </c>
      <c r="B4936" s="2" t="s">
        <v>11738</v>
      </c>
      <c r="C4936" s="2" t="s">
        <v>34</v>
      </c>
      <c r="D4936" s="2" t="s">
        <v>35</v>
      </c>
      <c r="E4936" s="5">
        <v>-30594</v>
      </c>
      <c r="F4936" s="3" t="s">
        <v>234</v>
      </c>
      <c r="G4936" s="3" t="s">
        <v>28</v>
      </c>
      <c r="H4936" s="2" t="s">
        <v>21</v>
      </c>
      <c r="I4936" s="2" t="s">
        <v>11739</v>
      </c>
      <c r="J4936" s="3" t="str">
        <f>HYPERLINK("https://www.boe.es/gazeta/dias/1816/03/26/pdfs/GMD-1816-40.pdf#page=6","Abrir facsímil")</f>
        <v>Abrir facsímil</v>
      </c>
      <c r="K4936" s="3" t="s">
        <v>23</v>
      </c>
    </row>
    <row r="4937" spans="1:11" ht="42" customHeight="1">
      <c r="A4937" s="2" t="s">
        <v>11737</v>
      </c>
      <c r="B4937" s="2" t="s">
        <v>11738</v>
      </c>
      <c r="C4937" s="2" t="s">
        <v>34</v>
      </c>
      <c r="D4937" s="2" t="s">
        <v>35</v>
      </c>
      <c r="E4937" s="5">
        <v>-30592</v>
      </c>
      <c r="F4937" s="3" t="s">
        <v>236</v>
      </c>
      <c r="G4937" s="3" t="s">
        <v>103</v>
      </c>
      <c r="H4937" s="2" t="s">
        <v>21</v>
      </c>
      <c r="I4937" s="2" t="s">
        <v>11740</v>
      </c>
      <c r="J4937" s="3" t="str">
        <f>HYPERLINK("https://www.boe.es/gazeta/dias/1816/03/28/pdfs/GMD-1816-41.pdf#page=4","Abrir facsímil")</f>
        <v>Abrir facsímil</v>
      </c>
      <c r="K4937" s="3" t="s">
        <v>23</v>
      </c>
    </row>
    <row r="4938" spans="1:11" ht="42" customHeight="1">
      <c r="A4938" s="2" t="s">
        <v>11737</v>
      </c>
      <c r="B4938" s="2" t="s">
        <v>11738</v>
      </c>
      <c r="C4938" s="2" t="s">
        <v>34</v>
      </c>
      <c r="D4938" s="2" t="s">
        <v>35</v>
      </c>
      <c r="E4938" s="5">
        <v>-30592</v>
      </c>
      <c r="F4938" s="3" t="s">
        <v>236</v>
      </c>
      <c r="G4938" s="3" t="s">
        <v>47</v>
      </c>
      <c r="H4938" s="2" t="s">
        <v>21</v>
      </c>
      <c r="I4938" s="2" t="s">
        <v>11741</v>
      </c>
      <c r="J4938" s="3" t="str">
        <f>HYPERLINK("https://www.boe.es/gazeta/dias/1816/03/28/pdfs/GMD-1816-41.pdf#page=5","Abrir facsímil")</f>
        <v>Abrir facsímil</v>
      </c>
      <c r="K4938" s="3" t="s">
        <v>23</v>
      </c>
    </row>
    <row r="4939" spans="1:11" ht="42" customHeight="1">
      <c r="A4939" s="2" t="s">
        <v>11737</v>
      </c>
      <c r="B4939" s="2" t="s">
        <v>11738</v>
      </c>
      <c r="C4939" s="2" t="s">
        <v>34</v>
      </c>
      <c r="D4939" s="2" t="s">
        <v>35</v>
      </c>
      <c r="E4939" s="5">
        <v>-30429</v>
      </c>
      <c r="F4939" s="3" t="s">
        <v>598</v>
      </c>
      <c r="G4939" s="3" t="s">
        <v>72</v>
      </c>
      <c r="H4939" s="2" t="s">
        <v>21</v>
      </c>
      <c r="I4939" s="2" t="s">
        <v>11742</v>
      </c>
      <c r="J4939" s="3" t="str">
        <f>HYPERLINK("https://www.boe.es/gazeta/dias/1816/09/07/pdfs/GMD-1816-111.pdf#page=7","Abrir facsímil")</f>
        <v>Abrir facsímil</v>
      </c>
      <c r="K4939" s="3" t="s">
        <v>23</v>
      </c>
    </row>
    <row r="4940" spans="1:11" ht="42" customHeight="1">
      <c r="A4940" s="2" t="s">
        <v>11743</v>
      </c>
      <c r="B4940" s="2" t="s">
        <v>11743</v>
      </c>
      <c r="C4940" s="2" t="s">
        <v>34</v>
      </c>
      <c r="D4940" s="2" t="s">
        <v>35</v>
      </c>
      <c r="E4940" s="5">
        <v>-30506</v>
      </c>
      <c r="F4940" s="3" t="s">
        <v>220</v>
      </c>
      <c r="G4940" s="3" t="s">
        <v>103</v>
      </c>
      <c r="H4940" s="2" t="s">
        <v>21</v>
      </c>
      <c r="I4940" s="2" t="s">
        <v>11744</v>
      </c>
      <c r="J4940" s="3" t="str">
        <f>HYPERLINK("https://www.boe.es/gazeta/dias/1816/06/22/pdfs/GMD-1816-78.pdf#page=4","Abrir facsímil")</f>
        <v>Abrir facsímil</v>
      </c>
      <c r="K4940" s="3" t="s">
        <v>23</v>
      </c>
    </row>
    <row r="4941" spans="1:11" ht="42" customHeight="1">
      <c r="A4941" s="2" t="s">
        <v>11745</v>
      </c>
      <c r="B4941" s="2" t="s">
        <v>11745</v>
      </c>
      <c r="C4941" s="2" t="s">
        <v>34</v>
      </c>
      <c r="D4941" s="2" t="s">
        <v>35</v>
      </c>
      <c r="E4941" s="5">
        <v>-30461</v>
      </c>
      <c r="F4941" s="3" t="s">
        <v>912</v>
      </c>
      <c r="G4941" s="3" t="s">
        <v>3348</v>
      </c>
      <c r="H4941" s="2" t="s">
        <v>21</v>
      </c>
      <c r="I4941" s="2" t="s">
        <v>11746</v>
      </c>
      <c r="J4941" s="3" t="str">
        <f>HYPERLINK("https://www.boe.es/gazeta/dias/1816/08/06/pdfs/GMD-1816-97.pdf#page=2","Abrir facsímil")</f>
        <v>Abrir facsímil</v>
      </c>
      <c r="K4941" s="3" t="s">
        <v>23</v>
      </c>
    </row>
    <row r="4942" spans="1:11" ht="42" customHeight="1">
      <c r="A4942" s="2" t="s">
        <v>11747</v>
      </c>
      <c r="B4942" s="2" t="s">
        <v>11748</v>
      </c>
      <c r="C4942" s="2" t="s">
        <v>34</v>
      </c>
      <c r="D4942" s="2" t="s">
        <v>35</v>
      </c>
      <c r="E4942" s="5">
        <v>-30424</v>
      </c>
      <c r="F4942" s="3" t="s">
        <v>142</v>
      </c>
      <c r="G4942" s="3" t="s">
        <v>42</v>
      </c>
      <c r="H4942" s="2" t="s">
        <v>21</v>
      </c>
      <c r="I4942" s="2" t="s">
        <v>11749</v>
      </c>
      <c r="J4942" s="3" t="str">
        <f>HYPERLINK("https://www.boe.es/gazeta/dias/1816/09/12/pdfs/GMD-1816-113.pdf#page=8","Abrir facsímil")</f>
        <v>Abrir facsímil</v>
      </c>
      <c r="K4942" s="3" t="s">
        <v>23</v>
      </c>
    </row>
    <row r="4943" spans="1:11" ht="42" customHeight="1">
      <c r="A4943" s="2" t="s">
        <v>11750</v>
      </c>
      <c r="B4943" s="2" t="s">
        <v>11750</v>
      </c>
      <c r="C4943" s="2" t="s">
        <v>34</v>
      </c>
      <c r="D4943" s="2" t="s">
        <v>35</v>
      </c>
      <c r="E4943" s="5">
        <v>-30335</v>
      </c>
      <c r="F4943" s="3" t="s">
        <v>468</v>
      </c>
      <c r="G4943" s="3" t="s">
        <v>270</v>
      </c>
      <c r="H4943" s="2" t="s">
        <v>21</v>
      </c>
      <c r="I4943" s="2" t="s">
        <v>11751</v>
      </c>
      <c r="J4943" s="3" t="str">
        <f>HYPERLINK("https://www.boe.es/gazeta/dias/1816/12/10/pdfs/GMD-1816-153.pdf#page=2","Abrir facsímil")</f>
        <v>Abrir facsímil</v>
      </c>
      <c r="K4943" s="3" t="s">
        <v>23</v>
      </c>
    </row>
    <row r="4944" spans="1:11" ht="42" customHeight="1">
      <c r="A4944" s="2" t="s">
        <v>11752</v>
      </c>
      <c r="B4944" s="2" t="s">
        <v>11752</v>
      </c>
      <c r="C4944" s="2" t="s">
        <v>34</v>
      </c>
      <c r="D4944" s="2" t="s">
        <v>35</v>
      </c>
      <c r="E4944" s="5">
        <v>-30606</v>
      </c>
      <c r="F4944" s="3" t="s">
        <v>761</v>
      </c>
      <c r="G4944" s="3" t="s">
        <v>184</v>
      </c>
      <c r="H4944" s="2" t="s">
        <v>21</v>
      </c>
      <c r="I4944" s="2" t="s">
        <v>11753</v>
      </c>
      <c r="J4944" s="3" t="str">
        <f>HYPERLINK("https://www.boe.es/gazeta/dias/1816/03/14/pdfs/GMD-1816-34.pdf#page=3","Abrir facsímil")</f>
        <v>Abrir facsímil</v>
      </c>
      <c r="K4944" s="3" t="s">
        <v>23</v>
      </c>
    </row>
    <row r="4945" spans="1:11" ht="42" customHeight="1">
      <c r="A4945" s="2" t="s">
        <v>11752</v>
      </c>
      <c r="B4945" s="2" t="s">
        <v>11752</v>
      </c>
      <c r="C4945" s="2" t="s">
        <v>26</v>
      </c>
      <c r="D4945" s="2" t="s">
        <v>18</v>
      </c>
      <c r="E4945" s="5">
        <v>-30555</v>
      </c>
      <c r="F4945" s="3" t="s">
        <v>345</v>
      </c>
      <c r="G4945" s="3" t="s">
        <v>184</v>
      </c>
      <c r="H4945" s="2" t="s">
        <v>21</v>
      </c>
      <c r="I4945" s="2" t="s">
        <v>11754</v>
      </c>
      <c r="J4945" s="3" t="str">
        <f>HYPERLINK("https://www.boe.es/gazeta/dias/1816/05/04/pdfs/GMD-1816-57.pdf#page=3","Abrir facsímil")</f>
        <v>Abrir facsímil</v>
      </c>
      <c r="K4945" s="3" t="s">
        <v>23</v>
      </c>
    </row>
    <row r="4946" spans="1:11" ht="42" customHeight="1">
      <c r="A4946" s="2" t="s">
        <v>11752</v>
      </c>
      <c r="B4946" s="2" t="s">
        <v>11752</v>
      </c>
      <c r="C4946" s="2" t="s">
        <v>34</v>
      </c>
      <c r="D4946" s="2" t="s">
        <v>35</v>
      </c>
      <c r="E4946" s="5">
        <v>-30373</v>
      </c>
      <c r="F4946" s="3" t="s">
        <v>1280</v>
      </c>
      <c r="G4946" s="3" t="s">
        <v>103</v>
      </c>
      <c r="H4946" s="2" t="s">
        <v>21</v>
      </c>
      <c r="I4946" s="2" t="s">
        <v>11755</v>
      </c>
      <c r="J4946" s="3" t="str">
        <f>HYPERLINK("https://www.boe.es/gazeta/dias/1816/11/02/pdfs/GMD-1816-137.pdf#page=4","Abrir facsímil")</f>
        <v>Abrir facsímil</v>
      </c>
      <c r="K4946" s="3" t="s">
        <v>23</v>
      </c>
    </row>
    <row r="4947" spans="1:11" ht="42" customHeight="1">
      <c r="A4947" s="2" t="s">
        <v>11752</v>
      </c>
      <c r="B4947" s="2" t="s">
        <v>11752</v>
      </c>
      <c r="C4947" s="2" t="s">
        <v>34</v>
      </c>
      <c r="D4947" s="2" t="s">
        <v>35</v>
      </c>
      <c r="E4947" s="5">
        <v>-30359</v>
      </c>
      <c r="F4947" s="3" t="s">
        <v>812</v>
      </c>
      <c r="G4947" s="3" t="s">
        <v>184</v>
      </c>
      <c r="H4947" s="2" t="s">
        <v>21</v>
      </c>
      <c r="I4947" s="2" t="s">
        <v>11756</v>
      </c>
      <c r="J4947" s="3" t="str">
        <f>HYPERLINK("https://www.boe.es/gazeta/dias/1816/11/16/pdfs/GMD-1816-143.pdf#page=3","Abrir facsímil")</f>
        <v>Abrir facsímil</v>
      </c>
      <c r="K4947" s="3" t="s">
        <v>23</v>
      </c>
    </row>
    <row r="4948" spans="1:11" ht="42" customHeight="1">
      <c r="A4948" s="2" t="s">
        <v>11752</v>
      </c>
      <c r="B4948" s="2" t="s">
        <v>11752</v>
      </c>
      <c r="C4948" s="2" t="s">
        <v>387</v>
      </c>
      <c r="D4948" s="2" t="s">
        <v>18</v>
      </c>
      <c r="E4948" s="5">
        <v>-30359</v>
      </c>
      <c r="F4948" s="3" t="s">
        <v>812</v>
      </c>
      <c r="G4948" s="3" t="s">
        <v>103</v>
      </c>
      <c r="H4948" s="2" t="s">
        <v>21</v>
      </c>
      <c r="I4948" s="2" t="s">
        <v>11757</v>
      </c>
      <c r="J4948" s="3" t="str">
        <f>HYPERLINK("https://www.boe.es/gazeta/dias/1816/11/16/pdfs/GMD-1816-143.pdf#page=4","Abrir facsímil")</f>
        <v>Abrir facsímil</v>
      </c>
      <c r="K4948" s="3" t="s">
        <v>23</v>
      </c>
    </row>
    <row r="4949" spans="1:11" ht="42" customHeight="1">
      <c r="A4949" s="2" t="s">
        <v>11758</v>
      </c>
      <c r="B4949" s="2" t="s">
        <v>11759</v>
      </c>
      <c r="C4949" s="2" t="s">
        <v>34</v>
      </c>
      <c r="D4949" s="2" t="s">
        <v>35</v>
      </c>
      <c r="E4949" s="5">
        <v>-30669</v>
      </c>
      <c r="F4949" s="3" t="s">
        <v>3499</v>
      </c>
      <c r="G4949" s="3" t="s">
        <v>270</v>
      </c>
      <c r="H4949" s="2" t="s">
        <v>21</v>
      </c>
      <c r="I4949" s="2" t="s">
        <v>11760</v>
      </c>
      <c r="J4949" s="3" t="str">
        <f>HYPERLINK("https://www.boe.es/gazeta/dias/1816/01/11/pdfs/GMD-1816-5.pdf#page=2","Abrir facsímil")</f>
        <v>Abrir facsímil</v>
      </c>
      <c r="K4949" s="3" t="s">
        <v>23</v>
      </c>
    </row>
    <row r="4950" spans="1:11" ht="42" customHeight="1">
      <c r="A4950" s="2" t="s">
        <v>11761</v>
      </c>
      <c r="B4950" s="2" t="s">
        <v>11762</v>
      </c>
      <c r="C4950" s="2" t="s">
        <v>67</v>
      </c>
      <c r="D4950" s="2" t="s">
        <v>18</v>
      </c>
      <c r="E4950" s="5">
        <v>-30464</v>
      </c>
      <c r="F4950" s="3" t="s">
        <v>215</v>
      </c>
      <c r="G4950" s="3" t="s">
        <v>175</v>
      </c>
      <c r="H4950" s="2" t="s">
        <v>21</v>
      </c>
      <c r="I4950" s="2" t="s">
        <v>11763</v>
      </c>
      <c r="J4950" s="3" t="str">
        <f>HYPERLINK("https://www.boe.es/gazeta/dias/1816/08/03/pdfs/GMD-1816-96.pdf#page=11","Abrir facsímil")</f>
        <v>Abrir facsímil</v>
      </c>
      <c r="K4950" s="3" t="s">
        <v>23</v>
      </c>
    </row>
    <row r="4951" spans="1:11" ht="42" customHeight="1">
      <c r="A4951" s="2" t="s">
        <v>11764</v>
      </c>
      <c r="B4951" s="2" t="s">
        <v>11765</v>
      </c>
      <c r="C4951" s="2" t="s">
        <v>34</v>
      </c>
      <c r="D4951" s="2" t="s">
        <v>35</v>
      </c>
      <c r="E4951" s="5">
        <v>-30648</v>
      </c>
      <c r="F4951" s="3" t="s">
        <v>872</v>
      </c>
      <c r="G4951" s="3" t="s">
        <v>28</v>
      </c>
      <c r="H4951" s="2" t="s">
        <v>21</v>
      </c>
      <c r="I4951" s="2" t="s">
        <v>11766</v>
      </c>
      <c r="J4951" s="3" t="str">
        <f>HYPERLINK("https://www.boe.es/gazeta/dias/1816/02/01/pdfs/GMD-1816-15.pdf#page=6","Abrir facsímil")</f>
        <v>Abrir facsímil</v>
      </c>
      <c r="K4951" s="3" t="s">
        <v>23</v>
      </c>
    </row>
    <row r="4952" spans="1:11" ht="42" customHeight="1">
      <c r="A4952" s="2" t="s">
        <v>11767</v>
      </c>
      <c r="B4952" s="2" t="s">
        <v>11767</v>
      </c>
      <c r="C4952" s="2" t="s">
        <v>111</v>
      </c>
      <c r="D4952" s="2" t="s">
        <v>112</v>
      </c>
      <c r="E4952" s="5">
        <v>-30615</v>
      </c>
      <c r="F4952" s="3" t="s">
        <v>1848</v>
      </c>
      <c r="G4952" s="3" t="s">
        <v>5385</v>
      </c>
      <c r="H4952" s="2" t="s">
        <v>21</v>
      </c>
      <c r="I4952" s="2" t="s">
        <v>11768</v>
      </c>
      <c r="J4952" s="3" t="str">
        <f>HYPERLINK("https://www.boe.es/gazeta/dias/1816/03/05/pdfs/GMD-1816-30.pdf#page=2","Abrir facsímil")</f>
        <v>Abrir facsímil</v>
      </c>
      <c r="K4952" s="3" t="s">
        <v>23</v>
      </c>
    </row>
    <row r="4953" spans="1:11" ht="42" customHeight="1">
      <c r="A4953" s="2" t="s">
        <v>11769</v>
      </c>
      <c r="B4953" s="2" t="s">
        <v>11769</v>
      </c>
      <c r="C4953" s="2" t="s">
        <v>34</v>
      </c>
      <c r="D4953" s="2" t="s">
        <v>35</v>
      </c>
      <c r="E4953" s="5">
        <v>-30482</v>
      </c>
      <c r="F4953" s="3" t="s">
        <v>370</v>
      </c>
      <c r="G4953" s="3" t="s">
        <v>4903</v>
      </c>
      <c r="H4953" s="2" t="s">
        <v>21</v>
      </c>
      <c r="I4953" s="2" t="s">
        <v>11770</v>
      </c>
      <c r="J4953" s="3" t="str">
        <f>HYPERLINK("https://www.boe.es/gazeta/dias/1816/07/16/pdfs/GMD-1816-88.pdf#page=3","Abrir facsímil")</f>
        <v>Abrir facsímil</v>
      </c>
      <c r="K4953" s="3" t="s">
        <v>23</v>
      </c>
    </row>
    <row r="4954" spans="1:11" ht="42" customHeight="1">
      <c r="A4954" s="2" t="s">
        <v>11771</v>
      </c>
      <c r="B4954" s="2" t="s">
        <v>11771</v>
      </c>
      <c r="C4954" s="2" t="s">
        <v>34</v>
      </c>
      <c r="D4954" s="2" t="s">
        <v>35</v>
      </c>
      <c r="E4954" s="5">
        <v>-30578</v>
      </c>
      <c r="F4954" s="3" t="s">
        <v>91</v>
      </c>
      <c r="G4954" s="3" t="s">
        <v>270</v>
      </c>
      <c r="H4954" s="2" t="s">
        <v>21</v>
      </c>
      <c r="I4954" s="2" t="s">
        <v>11772</v>
      </c>
      <c r="J4954" s="3" t="str">
        <f>HYPERLINK("https://www.boe.es/gazeta/dias/1816/04/11/pdfs/GMD-1816-47.pdf#page=2","Abrir facsímil")</f>
        <v>Abrir facsímil</v>
      </c>
      <c r="K4954" s="3" t="s">
        <v>23</v>
      </c>
    </row>
    <row r="4955" spans="1:11" ht="42" customHeight="1">
      <c r="A4955" s="2" t="s">
        <v>11771</v>
      </c>
      <c r="B4955" s="2" t="s">
        <v>11771</v>
      </c>
      <c r="C4955" s="2" t="s">
        <v>34</v>
      </c>
      <c r="D4955" s="2" t="s">
        <v>35</v>
      </c>
      <c r="E4955" s="5">
        <v>-30396</v>
      </c>
      <c r="F4955" s="3" t="s">
        <v>1623</v>
      </c>
      <c r="G4955" s="3" t="s">
        <v>184</v>
      </c>
      <c r="H4955" s="2" t="s">
        <v>21</v>
      </c>
      <c r="I4955" s="2" t="s">
        <v>11773</v>
      </c>
      <c r="J4955" s="3" t="str">
        <f>HYPERLINK("https://www.boe.es/gazeta/dias/1816/10/10/pdfs/GMD-1816-126.pdf#page=3","Abrir facsímil")</f>
        <v>Abrir facsímil</v>
      </c>
      <c r="K4955" s="3" t="s">
        <v>23</v>
      </c>
    </row>
    <row r="4956" spans="1:11" ht="42" customHeight="1">
      <c r="A4956" s="2" t="s">
        <v>11774</v>
      </c>
      <c r="B4956" s="2" t="s">
        <v>11774</v>
      </c>
      <c r="C4956" s="2" t="s">
        <v>34</v>
      </c>
      <c r="D4956" s="2" t="s">
        <v>35</v>
      </c>
      <c r="E4956" s="5">
        <v>-30674</v>
      </c>
      <c r="F4956" s="3" t="s">
        <v>19</v>
      </c>
      <c r="G4956" s="3" t="s">
        <v>103</v>
      </c>
      <c r="H4956" s="2" t="s">
        <v>21</v>
      </c>
      <c r="I4956" s="2" t="s">
        <v>11775</v>
      </c>
      <c r="J4956" s="3" t="str">
        <f>HYPERLINK("https://www.boe.es/gazeta/dias/1816/01/06/pdfs/GMD-1816-3.pdf#page=4","Abrir facsímil")</f>
        <v>Abrir facsímil</v>
      </c>
      <c r="K4956" s="3" t="s">
        <v>23</v>
      </c>
    </row>
    <row r="4957" spans="1:11" ht="42" customHeight="1">
      <c r="A4957" s="2" t="s">
        <v>11774</v>
      </c>
      <c r="B4957" s="2" t="s">
        <v>11774</v>
      </c>
      <c r="C4957" s="2" t="s">
        <v>34</v>
      </c>
      <c r="D4957" s="2" t="s">
        <v>35</v>
      </c>
      <c r="E4957" s="5">
        <v>-30664</v>
      </c>
      <c r="F4957" s="3" t="s">
        <v>1999</v>
      </c>
      <c r="G4957" s="3" t="s">
        <v>58</v>
      </c>
      <c r="H4957" s="2" t="s">
        <v>21</v>
      </c>
      <c r="I4957" s="2" t="s">
        <v>11776</v>
      </c>
      <c r="J4957" s="3" t="str">
        <f>HYPERLINK("https://www.boe.es/gazeta/dias/1816/01/16/pdfs/GMD-1816-7.pdf#page=1","Abrir facsímil")</f>
        <v>Abrir facsímil</v>
      </c>
      <c r="K4957" s="3" t="s">
        <v>23</v>
      </c>
    </row>
    <row r="4958" spans="1:11" ht="42" customHeight="1">
      <c r="A4958" s="2" t="s">
        <v>11777</v>
      </c>
      <c r="B4958" s="2" t="s">
        <v>11777</v>
      </c>
      <c r="C4958" s="2" t="s">
        <v>34</v>
      </c>
      <c r="D4958" s="2" t="s">
        <v>35</v>
      </c>
      <c r="E4958" s="5">
        <v>-30342</v>
      </c>
      <c r="F4958" s="3" t="s">
        <v>116</v>
      </c>
      <c r="G4958" s="3" t="s">
        <v>58</v>
      </c>
      <c r="H4958" s="2" t="s">
        <v>21</v>
      </c>
      <c r="I4958" s="2" t="s">
        <v>11778</v>
      </c>
      <c r="J4958" s="3" t="str">
        <f>HYPERLINK("https://www.boe.es/gazeta/dias/1816/12/03/pdfs/GMD-1816-150.pdf#page=1","Abrir facsímil")</f>
        <v>Abrir facsímil</v>
      </c>
      <c r="K4958" s="3" t="s">
        <v>23</v>
      </c>
    </row>
    <row r="4959" spans="1:11" ht="42" customHeight="1">
      <c r="A4959" s="2" t="s">
        <v>11779</v>
      </c>
      <c r="B4959" s="2" t="s">
        <v>11779</v>
      </c>
      <c r="C4959" s="2" t="s">
        <v>34</v>
      </c>
      <c r="D4959" s="2" t="s">
        <v>35</v>
      </c>
      <c r="E4959" s="5">
        <v>-30674</v>
      </c>
      <c r="F4959" s="3" t="s">
        <v>19</v>
      </c>
      <c r="G4959" s="3" t="s">
        <v>103</v>
      </c>
      <c r="H4959" s="2" t="s">
        <v>21</v>
      </c>
      <c r="I4959" s="2" t="s">
        <v>11780</v>
      </c>
      <c r="J4959" s="3" t="str">
        <f>HYPERLINK("https://www.boe.es/gazeta/dias/1816/01/06/pdfs/GMD-1816-3.pdf#page=4","Abrir facsímil")</f>
        <v>Abrir facsímil</v>
      </c>
      <c r="K4959" s="3" t="s">
        <v>23</v>
      </c>
    </row>
    <row r="4960" spans="1:11" ht="42" customHeight="1">
      <c r="A4960" s="2" t="s">
        <v>11781</v>
      </c>
      <c r="B4960" s="2" t="s">
        <v>11782</v>
      </c>
      <c r="C4960" s="2" t="s">
        <v>34</v>
      </c>
      <c r="D4960" s="2" t="s">
        <v>35</v>
      </c>
      <c r="E4960" s="5">
        <v>-30643</v>
      </c>
      <c r="F4960" s="3" t="s">
        <v>620</v>
      </c>
      <c r="G4960" s="3" t="s">
        <v>58</v>
      </c>
      <c r="H4960" s="2" t="s">
        <v>21</v>
      </c>
      <c r="I4960" s="2" t="s">
        <v>11783</v>
      </c>
      <c r="J4960" s="3" t="str">
        <f>HYPERLINK("https://www.boe.es/gazeta/dias/1816/02/06/pdfs/GMD-1816-17.pdf#page=1","Abrir facsímil")</f>
        <v>Abrir facsímil</v>
      </c>
      <c r="K4960" s="3" t="s">
        <v>23</v>
      </c>
    </row>
    <row r="4961" spans="1:11" ht="42" customHeight="1">
      <c r="A4961" s="2" t="s">
        <v>11784</v>
      </c>
      <c r="B4961" s="2" t="s">
        <v>11784</v>
      </c>
      <c r="C4961" s="2" t="s">
        <v>34</v>
      </c>
      <c r="D4961" s="2" t="s">
        <v>35</v>
      </c>
      <c r="E4961" s="5">
        <v>-30660</v>
      </c>
      <c r="F4961" s="3" t="s">
        <v>809</v>
      </c>
      <c r="G4961" s="3" t="s">
        <v>270</v>
      </c>
      <c r="H4961" s="2" t="s">
        <v>21</v>
      </c>
      <c r="I4961" s="2" t="s">
        <v>11785</v>
      </c>
      <c r="J4961" s="3" t="str">
        <f>HYPERLINK("https://www.boe.es/gazeta/dias/1816/01/20/pdfs/GMD-1816-9.pdf#page=2","Abrir facsímil")</f>
        <v>Abrir facsímil</v>
      </c>
      <c r="K4961" s="3" t="s">
        <v>23</v>
      </c>
    </row>
    <row r="4962" spans="1:11" ht="42" customHeight="1">
      <c r="A4962" s="2" t="s">
        <v>11786</v>
      </c>
      <c r="B4962" s="2" t="s">
        <v>11786</v>
      </c>
      <c r="C4962" s="2" t="s">
        <v>34</v>
      </c>
      <c r="D4962" s="2" t="s">
        <v>35</v>
      </c>
      <c r="E4962" s="5">
        <v>-30664</v>
      </c>
      <c r="F4962" s="3" t="s">
        <v>1999</v>
      </c>
      <c r="G4962" s="3" t="s">
        <v>184</v>
      </c>
      <c r="H4962" s="2" t="s">
        <v>21</v>
      </c>
      <c r="I4962" s="2" t="s">
        <v>11787</v>
      </c>
      <c r="J4962" s="3" t="str">
        <f>HYPERLINK("https://www.boe.es/gazeta/dias/1816/01/16/pdfs/GMD-1816-7.pdf#page=3","Abrir facsímil")</f>
        <v>Abrir facsímil</v>
      </c>
      <c r="K4962" s="3" t="s">
        <v>23</v>
      </c>
    </row>
    <row r="4963" spans="1:11" ht="42" customHeight="1">
      <c r="A4963" s="2" t="s">
        <v>11788</v>
      </c>
      <c r="B4963" s="2" t="s">
        <v>11788</v>
      </c>
      <c r="C4963" s="2" t="s">
        <v>34</v>
      </c>
      <c r="D4963" s="2" t="s">
        <v>35</v>
      </c>
      <c r="E4963" s="5">
        <v>-30590</v>
      </c>
      <c r="F4963" s="3" t="s">
        <v>195</v>
      </c>
      <c r="G4963" s="3" t="s">
        <v>270</v>
      </c>
      <c r="H4963" s="2" t="s">
        <v>21</v>
      </c>
      <c r="I4963" s="2" t="s">
        <v>11789</v>
      </c>
      <c r="J4963" s="3" t="str">
        <f>HYPERLINK("https://www.boe.es/gazeta/dias/1816/03/30/pdfs/GMD-1816-42.pdf#page=2","Abrir facsímil")</f>
        <v>Abrir facsímil</v>
      </c>
      <c r="K4963" s="3" t="s">
        <v>23</v>
      </c>
    </row>
    <row r="4964" spans="1:11" ht="42" customHeight="1">
      <c r="A4964" s="2" t="s">
        <v>11790</v>
      </c>
      <c r="B4964" s="2" t="s">
        <v>11790</v>
      </c>
      <c r="C4964" s="2" t="s">
        <v>34</v>
      </c>
      <c r="D4964" s="2" t="s">
        <v>35</v>
      </c>
      <c r="E4964" s="5">
        <v>-30643</v>
      </c>
      <c r="F4964" s="3" t="s">
        <v>620</v>
      </c>
      <c r="G4964" s="3" t="s">
        <v>270</v>
      </c>
      <c r="H4964" s="2" t="s">
        <v>21</v>
      </c>
      <c r="I4964" s="2" t="s">
        <v>11791</v>
      </c>
      <c r="J4964" s="3" t="str">
        <f>HYPERLINK("https://www.boe.es/gazeta/dias/1816/02/06/pdfs/GMD-1816-17.pdf#page=2","Abrir facsímil")</f>
        <v>Abrir facsímil</v>
      </c>
      <c r="K4964" s="3" t="s">
        <v>23</v>
      </c>
    </row>
    <row r="4965" spans="1:11" ht="42" customHeight="1">
      <c r="A4965" s="2" t="s">
        <v>11792</v>
      </c>
      <c r="B4965" s="2" t="s">
        <v>11793</v>
      </c>
      <c r="C4965" s="2" t="s">
        <v>34</v>
      </c>
      <c r="D4965" s="2" t="s">
        <v>35</v>
      </c>
      <c r="E4965" s="5">
        <v>-30503</v>
      </c>
      <c r="F4965" s="3" t="s">
        <v>1600</v>
      </c>
      <c r="G4965" s="3" t="s">
        <v>58</v>
      </c>
      <c r="H4965" s="2" t="s">
        <v>21</v>
      </c>
      <c r="I4965" s="2" t="s">
        <v>11794</v>
      </c>
      <c r="J4965" s="3" t="str">
        <f>HYPERLINK("https://www.boe.es/gazeta/dias/1816/06/25/pdfs/GMD-1816-79.pdf#page=1","Abrir facsímil")</f>
        <v>Abrir facsímil</v>
      </c>
      <c r="K4965" s="3" t="s">
        <v>23</v>
      </c>
    </row>
    <row r="4966" spans="1:11" ht="42" customHeight="1">
      <c r="A4966" s="2" t="s">
        <v>11795</v>
      </c>
      <c r="B4966" s="2" t="s">
        <v>11795</v>
      </c>
      <c r="C4966" s="2" t="s">
        <v>34</v>
      </c>
      <c r="D4966" s="2" t="s">
        <v>35</v>
      </c>
      <c r="E4966" s="5">
        <v>-30340</v>
      </c>
      <c r="F4966" s="3" t="s">
        <v>1618</v>
      </c>
      <c r="G4966" s="3" t="s">
        <v>77</v>
      </c>
      <c r="H4966" s="2" t="s">
        <v>21</v>
      </c>
      <c r="I4966" s="2" t="s">
        <v>11796</v>
      </c>
      <c r="J4966" s="3" t="str">
        <f>HYPERLINK("https://www.boe.es/gazeta/dias/1816/12/05/pdfs/GMD-1816-151.pdf#page=8","Abrir facsímil")</f>
        <v>Abrir facsímil</v>
      </c>
      <c r="K4966" s="3" t="s">
        <v>23</v>
      </c>
    </row>
    <row r="4967" spans="1:11" ht="42" customHeight="1">
      <c r="A4967" s="2" t="s">
        <v>11797</v>
      </c>
      <c r="B4967" s="2" t="s">
        <v>11798</v>
      </c>
      <c r="C4967" s="2" t="s">
        <v>34</v>
      </c>
      <c r="D4967" s="2" t="s">
        <v>35</v>
      </c>
      <c r="E4967" s="5">
        <v>-30356</v>
      </c>
      <c r="F4967" s="3" t="s">
        <v>824</v>
      </c>
      <c r="G4967" s="3" t="s">
        <v>28</v>
      </c>
      <c r="H4967" s="2" t="s">
        <v>21</v>
      </c>
      <c r="I4967" s="2" t="s">
        <v>11799</v>
      </c>
      <c r="J4967" s="3" t="str">
        <f>HYPERLINK("https://www.boe.es/gazeta/dias/1816/11/19/pdfs/GMD-1816-144.pdf#page=6","Abrir facsímil")</f>
        <v>Abrir facsímil</v>
      </c>
      <c r="K4967" s="3" t="s">
        <v>23</v>
      </c>
    </row>
    <row r="4968" spans="1:11" ht="42" customHeight="1">
      <c r="A4968" s="2" t="s">
        <v>11800</v>
      </c>
      <c r="B4968" s="2" t="s">
        <v>11801</v>
      </c>
      <c r="C4968" s="2" t="s">
        <v>111</v>
      </c>
      <c r="D4968" s="2" t="s">
        <v>112</v>
      </c>
      <c r="E4968" s="5">
        <v>-30529</v>
      </c>
      <c r="F4968" s="3" t="s">
        <v>432</v>
      </c>
      <c r="G4968" s="3" t="s">
        <v>42</v>
      </c>
      <c r="H4968" s="2" t="s">
        <v>21</v>
      </c>
      <c r="I4968" s="2" t="s">
        <v>11802</v>
      </c>
      <c r="J4968" s="3" t="str">
        <f>HYPERLINK("https://www.boe.es/gazeta/dias/1816/05/30/pdfs/GMD-1816-68.pdf#page=8","Abrir facsímil")</f>
        <v>Abrir facsímil</v>
      </c>
      <c r="K4968" s="3" t="s">
        <v>23</v>
      </c>
    </row>
    <row r="4969" spans="1:11" ht="42" customHeight="1">
      <c r="A4969" s="2" t="s">
        <v>11803</v>
      </c>
      <c r="B4969" s="2" t="s">
        <v>11804</v>
      </c>
      <c r="C4969" s="2" t="s">
        <v>111</v>
      </c>
      <c r="D4969" s="2" t="s">
        <v>112</v>
      </c>
      <c r="E4969" s="5">
        <v>-30424</v>
      </c>
      <c r="F4969" s="3" t="s">
        <v>142</v>
      </c>
      <c r="G4969" s="3" t="s">
        <v>175</v>
      </c>
      <c r="H4969" s="2" t="s">
        <v>29</v>
      </c>
      <c r="I4969" s="2" t="s">
        <v>11805</v>
      </c>
      <c r="J4969" s="3" t="str">
        <f>HYPERLINK("https://www.boe.es/gazeta/dias/1816/09/12/pdfs/GMD-1816-113.pdf#page=11","Abrir facsímil")</f>
        <v>Abrir facsímil</v>
      </c>
      <c r="K4969" s="3" t="s">
        <v>31</v>
      </c>
    </row>
    <row r="4970" spans="1:11" ht="42" customHeight="1">
      <c r="A4970" s="2" t="s">
        <v>11806</v>
      </c>
      <c r="B4970" s="2" t="s">
        <v>11806</v>
      </c>
      <c r="C4970" s="2" t="s">
        <v>26</v>
      </c>
      <c r="D4970" s="2" t="s">
        <v>18</v>
      </c>
      <c r="E4970" s="5">
        <v>-30494</v>
      </c>
      <c r="F4970" s="3" t="s">
        <v>174</v>
      </c>
      <c r="G4970" s="3" t="s">
        <v>72</v>
      </c>
      <c r="H4970" s="2" t="s">
        <v>21</v>
      </c>
      <c r="I4970" s="2" t="s">
        <v>11807</v>
      </c>
      <c r="J4970" s="3" t="str">
        <f>HYPERLINK("https://www.boe.es/gazeta/dias/1816/07/04/pdfs/GMD-1816-83.pdf#page=7","Abrir facsímil")</f>
        <v>Abrir facsímil</v>
      </c>
      <c r="K4970" s="3" t="s">
        <v>23</v>
      </c>
    </row>
    <row r="4971" spans="1:11" ht="42" customHeight="1">
      <c r="A4971" s="2" t="s">
        <v>11808</v>
      </c>
      <c r="B4971" s="2" t="s">
        <v>11809</v>
      </c>
      <c r="C4971" s="2" t="s">
        <v>34</v>
      </c>
      <c r="D4971" s="2" t="s">
        <v>35</v>
      </c>
      <c r="E4971" s="5">
        <v>-30387</v>
      </c>
      <c r="F4971" s="3" t="s">
        <v>224</v>
      </c>
      <c r="G4971" s="3" t="s">
        <v>28</v>
      </c>
      <c r="H4971" s="2" t="s">
        <v>29</v>
      </c>
      <c r="I4971" s="2" t="s">
        <v>11810</v>
      </c>
      <c r="J4971" s="3" t="str">
        <f>HYPERLINK("https://www.boe.es/gazeta/dias/1816/10/19/pdfs/GMD-1816-131.pdf#page=6","Abrir facsímil")</f>
        <v>Abrir facsímil</v>
      </c>
      <c r="K4971" s="3" t="s">
        <v>31</v>
      </c>
    </row>
    <row r="4972" spans="1:11" ht="42" customHeight="1">
      <c r="A4972" s="2" t="s">
        <v>11811</v>
      </c>
      <c r="B4972" s="2" t="s">
        <v>11812</v>
      </c>
      <c r="C4972" s="2" t="s">
        <v>41</v>
      </c>
      <c r="D4972" s="2" t="s">
        <v>18</v>
      </c>
      <c r="E4972" s="5">
        <v>-30648</v>
      </c>
      <c r="F4972" s="3" t="s">
        <v>872</v>
      </c>
      <c r="G4972" s="3" t="s">
        <v>42</v>
      </c>
      <c r="H4972" s="2" t="s">
        <v>21</v>
      </c>
      <c r="I4972" s="2" t="s">
        <v>11813</v>
      </c>
      <c r="J4972" s="3" t="str">
        <f>HYPERLINK("https://www.boe.es/gazeta/dias/1816/02/01/pdfs/GMD-1816-15.pdf#page=8","Abrir facsímil")</f>
        <v>Abrir facsímil</v>
      </c>
      <c r="K4972" s="3" t="s">
        <v>23</v>
      </c>
    </row>
    <row r="4973" spans="1:11" ht="42" customHeight="1">
      <c r="A4973" s="2" t="s">
        <v>11814</v>
      </c>
      <c r="B4973" s="2" t="s">
        <v>11815</v>
      </c>
      <c r="C4973" s="2" t="s">
        <v>34</v>
      </c>
      <c r="D4973" s="2" t="s">
        <v>35</v>
      </c>
      <c r="E4973" s="5">
        <v>-30580</v>
      </c>
      <c r="F4973" s="3" t="s">
        <v>107</v>
      </c>
      <c r="G4973" s="3" t="s">
        <v>28</v>
      </c>
      <c r="H4973" s="2" t="s">
        <v>21</v>
      </c>
      <c r="I4973" s="2" t="s">
        <v>11816</v>
      </c>
      <c r="J4973" s="3" t="str">
        <f>HYPERLINK("https://www.boe.es/gazeta/dias/1816/04/09/pdfs/GMD-1816-46.pdf#page=6","Abrir facsímil")</f>
        <v>Abrir facsímil</v>
      </c>
      <c r="K4973" s="3" t="s">
        <v>23</v>
      </c>
    </row>
    <row r="4974" spans="1:11" ht="42" customHeight="1">
      <c r="A4974" s="2" t="s">
        <v>11817</v>
      </c>
      <c r="B4974" s="2" t="s">
        <v>11818</v>
      </c>
      <c r="C4974" s="2" t="s">
        <v>26</v>
      </c>
      <c r="D4974" s="2" t="s">
        <v>18</v>
      </c>
      <c r="E4974" s="5">
        <v>-30436</v>
      </c>
      <c r="F4974" s="3" t="s">
        <v>102</v>
      </c>
      <c r="G4974" s="3" t="s">
        <v>52</v>
      </c>
      <c r="H4974" s="2" t="s">
        <v>21</v>
      </c>
      <c r="I4974" s="2" t="s">
        <v>11819</v>
      </c>
      <c r="J4974" s="3" t="str">
        <f>HYPERLINK("https://www.boe.es/gazeta/dias/1816/08/31/pdfs/GMD-1816-108.pdf#page=12","Abrir facsímil")</f>
        <v>Abrir facsímil</v>
      </c>
      <c r="K4974" s="3" t="s">
        <v>23</v>
      </c>
    </row>
    <row r="4975" spans="1:11" ht="42" customHeight="1">
      <c r="A4975" s="2" t="s">
        <v>11820</v>
      </c>
      <c r="B4975" s="2" t="s">
        <v>11821</v>
      </c>
      <c r="C4975" s="2" t="s">
        <v>41</v>
      </c>
      <c r="D4975" s="2" t="s">
        <v>18</v>
      </c>
      <c r="E4975" s="5">
        <v>-30391</v>
      </c>
      <c r="F4975" s="3" t="s">
        <v>482</v>
      </c>
      <c r="G4975" s="3" t="s">
        <v>72</v>
      </c>
      <c r="H4975" s="2" t="s">
        <v>21</v>
      </c>
      <c r="I4975" s="2" t="s">
        <v>11822</v>
      </c>
      <c r="J4975" s="3" t="str">
        <f>HYPERLINK("https://www.boe.es/gazeta/dias/1816/10/15/pdfs/GMD-1816-129.pdf#page=7","Abrir facsímil")</f>
        <v>Abrir facsímil</v>
      </c>
      <c r="K4975" s="3" t="s">
        <v>23</v>
      </c>
    </row>
    <row r="4976" spans="1:11" ht="42" customHeight="1">
      <c r="A4976" s="2" t="s">
        <v>11823</v>
      </c>
      <c r="B4976" s="2" t="s">
        <v>11824</v>
      </c>
      <c r="C4976" s="2" t="s">
        <v>111</v>
      </c>
      <c r="D4976" s="2" t="s">
        <v>112</v>
      </c>
      <c r="E4976" s="5">
        <v>-30550</v>
      </c>
      <c r="F4976" s="3" t="s">
        <v>435</v>
      </c>
      <c r="G4976" s="3" t="s">
        <v>42</v>
      </c>
      <c r="H4976" s="2" t="s">
        <v>29</v>
      </c>
      <c r="I4976" s="2" t="s">
        <v>11825</v>
      </c>
      <c r="J4976" s="3" t="str">
        <f>HYPERLINK("https://www.boe.es/gazeta/dias/1816/05/09/pdfs/GMD-1816-59.pdf#page=8","Abrir facsímil")</f>
        <v>Abrir facsímil</v>
      </c>
      <c r="K4976" s="3" t="s">
        <v>31</v>
      </c>
    </row>
    <row r="4977" spans="1:11" ht="42" customHeight="1">
      <c r="A4977" s="2" t="s">
        <v>11826</v>
      </c>
      <c r="B4977" s="2" t="s">
        <v>11827</v>
      </c>
      <c r="C4977" s="2" t="s">
        <v>34</v>
      </c>
      <c r="D4977" s="2" t="s">
        <v>35</v>
      </c>
      <c r="E4977" s="5">
        <v>-30604</v>
      </c>
      <c r="F4977" s="3" t="s">
        <v>488</v>
      </c>
      <c r="G4977" s="3" t="s">
        <v>42</v>
      </c>
      <c r="H4977" s="2" t="s">
        <v>29</v>
      </c>
      <c r="I4977" s="2" t="s">
        <v>11828</v>
      </c>
      <c r="J4977" s="3" t="str">
        <f>HYPERLINK("https://www.boe.es/gazeta/dias/1816/03/16/pdfs/GMD-1816-35.pdf#page=8","Abrir facsímil")</f>
        <v>Abrir facsímil</v>
      </c>
      <c r="K4977" s="3" t="s">
        <v>31</v>
      </c>
    </row>
    <row r="4978" spans="1:11" ht="42" customHeight="1">
      <c r="A4978" s="2" t="s">
        <v>11826</v>
      </c>
      <c r="B4978" s="2" t="s">
        <v>11827</v>
      </c>
      <c r="C4978" s="2" t="s">
        <v>111</v>
      </c>
      <c r="D4978" s="2" t="s">
        <v>112</v>
      </c>
      <c r="E4978" s="5">
        <v>-30594</v>
      </c>
      <c r="F4978" s="3" t="s">
        <v>234</v>
      </c>
      <c r="G4978" s="3" t="s">
        <v>52</v>
      </c>
      <c r="H4978" s="2" t="s">
        <v>29</v>
      </c>
      <c r="I4978" s="2" t="s">
        <v>11829</v>
      </c>
      <c r="J4978" s="3" t="str">
        <f>HYPERLINK("https://www.boe.es/gazeta/dias/1816/03/26/pdfs/GMD-1816-40.pdf#page=12","Abrir facsímil")</f>
        <v>Abrir facsímil</v>
      </c>
      <c r="K4978" s="3" t="s">
        <v>31</v>
      </c>
    </row>
    <row r="4979" spans="1:11" ht="42" customHeight="1">
      <c r="A4979" s="2" t="s">
        <v>11826</v>
      </c>
      <c r="B4979" s="2" t="s">
        <v>11827</v>
      </c>
      <c r="C4979" s="2" t="s">
        <v>111</v>
      </c>
      <c r="D4979" s="2" t="s">
        <v>112</v>
      </c>
      <c r="E4979" s="5">
        <v>-30571</v>
      </c>
      <c r="F4979" s="3" t="s">
        <v>738</v>
      </c>
      <c r="G4979" s="3" t="s">
        <v>42</v>
      </c>
      <c r="H4979" s="2" t="s">
        <v>29</v>
      </c>
      <c r="I4979" s="2" t="s">
        <v>11830</v>
      </c>
      <c r="J4979" s="3" t="str">
        <f>HYPERLINK("https://www.boe.es/gazeta/dias/1816/04/18/pdfs/GMD-1816-50.pdf#page=8","Abrir facsímil")</f>
        <v>Abrir facsímil</v>
      </c>
      <c r="K4979" s="3" t="s">
        <v>31</v>
      </c>
    </row>
    <row r="4980" spans="1:11" ht="42" customHeight="1">
      <c r="A4980" s="2" t="s">
        <v>11831</v>
      </c>
      <c r="B4980" s="2" t="s">
        <v>11832</v>
      </c>
      <c r="C4980" s="2" t="s">
        <v>34</v>
      </c>
      <c r="D4980" s="2" t="s">
        <v>35</v>
      </c>
      <c r="E4980" s="5">
        <v>-30398</v>
      </c>
      <c r="F4980" s="3" t="s">
        <v>447</v>
      </c>
      <c r="G4980" s="3" t="s">
        <v>42</v>
      </c>
      <c r="H4980" s="2" t="s">
        <v>29</v>
      </c>
      <c r="I4980" s="2" t="s">
        <v>11833</v>
      </c>
      <c r="J4980" s="3" t="str">
        <f>HYPERLINK("https://www.boe.es/gazeta/dias/1816/10/08/pdfs/GMD-1816-125.pdf#page=8","Abrir facsímil")</f>
        <v>Abrir facsímil</v>
      </c>
      <c r="K4980" s="3" t="s">
        <v>31</v>
      </c>
    </row>
    <row r="4981" spans="1:11" ht="42" customHeight="1">
      <c r="A4981" s="2" t="s">
        <v>11826</v>
      </c>
      <c r="B4981" s="2" t="s">
        <v>11827</v>
      </c>
      <c r="C4981" s="2" t="s">
        <v>111</v>
      </c>
      <c r="D4981" s="2" t="s">
        <v>112</v>
      </c>
      <c r="E4981" s="5">
        <v>-30359</v>
      </c>
      <c r="F4981" s="3" t="s">
        <v>812</v>
      </c>
      <c r="G4981" s="3" t="s">
        <v>813</v>
      </c>
      <c r="H4981" s="2" t="s">
        <v>29</v>
      </c>
      <c r="I4981" s="2" t="s">
        <v>11834</v>
      </c>
      <c r="J4981" s="3" t="str">
        <f>HYPERLINK("https://www.boe.es/gazeta/dias/1816/11/16/pdfs/GMD-1816-143.pdf#page=8","Abrir facsímil")</f>
        <v>Abrir facsímil</v>
      </c>
      <c r="K4981" s="3" t="s">
        <v>31</v>
      </c>
    </row>
    <row r="4982" spans="1:11" ht="42" customHeight="1">
      <c r="A4982" s="2" t="s">
        <v>11835</v>
      </c>
      <c r="B4982" s="2" t="s">
        <v>11836</v>
      </c>
      <c r="C4982" s="2" t="s">
        <v>111</v>
      </c>
      <c r="D4982" s="2" t="s">
        <v>112</v>
      </c>
      <c r="E4982" s="5">
        <v>-30524</v>
      </c>
      <c r="F4982" s="3" t="s">
        <v>98</v>
      </c>
      <c r="G4982" s="3" t="s">
        <v>1209</v>
      </c>
      <c r="H4982" s="2" t="s">
        <v>29</v>
      </c>
      <c r="I4982" s="2" t="s">
        <v>11837</v>
      </c>
      <c r="J4982" s="3" t="str">
        <f>HYPERLINK("https://www.boe.es/gazeta/dias/1816/06/04/pdfs/GMD-1816-70.pdf#page=8","Abrir facsímil")</f>
        <v>Abrir facsímil</v>
      </c>
      <c r="K4982" s="3" t="s">
        <v>31</v>
      </c>
    </row>
    <row r="4983" spans="1:11" ht="42" customHeight="1">
      <c r="A4983" s="2" t="s">
        <v>11838</v>
      </c>
      <c r="B4983" s="2" t="s">
        <v>11839</v>
      </c>
      <c r="C4983" s="2" t="s">
        <v>34</v>
      </c>
      <c r="D4983" s="2" t="s">
        <v>35</v>
      </c>
      <c r="E4983" s="5">
        <v>-30587</v>
      </c>
      <c r="F4983" s="3" t="s">
        <v>341</v>
      </c>
      <c r="G4983" s="3" t="s">
        <v>42</v>
      </c>
      <c r="H4983" s="2" t="s">
        <v>29</v>
      </c>
      <c r="I4983" s="2" t="s">
        <v>11840</v>
      </c>
      <c r="J4983" s="3" t="str">
        <f>HYPERLINK("https://www.boe.es/gazeta/dias/1816/04/02/pdfs/GMD-1816-43.pdf#page=8","Abrir facsímil")</f>
        <v>Abrir facsímil</v>
      </c>
      <c r="K4983" s="3" t="s">
        <v>31</v>
      </c>
    </row>
    <row r="4984" spans="1:11" ht="42" customHeight="1">
      <c r="A4984" s="2" t="s">
        <v>11838</v>
      </c>
      <c r="B4984" s="2" t="s">
        <v>11839</v>
      </c>
      <c r="C4984" s="2" t="s">
        <v>111</v>
      </c>
      <c r="D4984" s="2" t="s">
        <v>112</v>
      </c>
      <c r="E4984" s="5">
        <v>-30548</v>
      </c>
      <c r="F4984" s="3" t="s">
        <v>472</v>
      </c>
      <c r="G4984" s="3" t="s">
        <v>42</v>
      </c>
      <c r="H4984" s="2" t="s">
        <v>29</v>
      </c>
      <c r="I4984" s="2" t="s">
        <v>11841</v>
      </c>
      <c r="J4984" s="3" t="str">
        <f>HYPERLINK("https://www.boe.es/gazeta/dias/1816/05/11/pdfs/GMD-1816-60.pdf#page=8","Abrir facsímil")</f>
        <v>Abrir facsímil</v>
      </c>
      <c r="K4984" s="3" t="s">
        <v>31</v>
      </c>
    </row>
    <row r="4985" spans="1:11" ht="42" customHeight="1">
      <c r="A4985" s="2" t="s">
        <v>11838</v>
      </c>
      <c r="B4985" s="2" t="s">
        <v>11839</v>
      </c>
      <c r="C4985" s="2" t="s">
        <v>111</v>
      </c>
      <c r="D4985" s="2" t="s">
        <v>112</v>
      </c>
      <c r="E4985" s="5">
        <v>-30405</v>
      </c>
      <c r="F4985" s="3" t="s">
        <v>587</v>
      </c>
      <c r="G4985" s="3" t="s">
        <v>42</v>
      </c>
      <c r="H4985" s="2" t="s">
        <v>29</v>
      </c>
      <c r="I4985" s="2" t="s">
        <v>11842</v>
      </c>
      <c r="J4985" s="3" t="str">
        <f>HYPERLINK("https://www.boe.es/gazeta/dias/1816/10/01/pdfs/GMD-1816-121.pdf#page=8","Abrir facsímil")</f>
        <v>Abrir facsímil</v>
      </c>
      <c r="K4985" s="3" t="s">
        <v>31</v>
      </c>
    </row>
    <row r="4986" spans="1:11" ht="42" customHeight="1">
      <c r="A4986" s="2" t="s">
        <v>11843</v>
      </c>
      <c r="B4986" s="2" t="s">
        <v>11844</v>
      </c>
      <c r="C4986" s="2" t="s">
        <v>111</v>
      </c>
      <c r="D4986" s="2" t="s">
        <v>112</v>
      </c>
      <c r="E4986" s="5">
        <v>-30391</v>
      </c>
      <c r="F4986" s="3" t="s">
        <v>482</v>
      </c>
      <c r="G4986" s="3" t="s">
        <v>3258</v>
      </c>
      <c r="H4986" s="2" t="s">
        <v>29</v>
      </c>
      <c r="I4986" s="2" t="s">
        <v>11845</v>
      </c>
      <c r="J4986" s="3" t="str">
        <f>HYPERLINK("https://www.boe.es/gazeta/dias/1816/10/15/pdfs/GMD-1816-129.pdf#page=8","Abrir facsímil")</f>
        <v>Abrir facsímil</v>
      </c>
      <c r="K4986" s="3" t="s">
        <v>31</v>
      </c>
    </row>
    <row r="4987" spans="1:11" ht="42" customHeight="1">
      <c r="A4987" s="2" t="s">
        <v>11846</v>
      </c>
      <c r="B4987" s="2" t="s">
        <v>11847</v>
      </c>
      <c r="C4987" s="2" t="s">
        <v>111</v>
      </c>
      <c r="D4987" s="2" t="s">
        <v>112</v>
      </c>
      <c r="E4987" s="5">
        <v>-30557</v>
      </c>
      <c r="F4987" s="3" t="s">
        <v>508</v>
      </c>
      <c r="G4987" s="3" t="s">
        <v>42</v>
      </c>
      <c r="H4987" s="2" t="s">
        <v>29</v>
      </c>
      <c r="I4987" s="2" t="s">
        <v>11848</v>
      </c>
      <c r="J4987" s="3" t="str">
        <f>HYPERLINK("https://www.boe.es/gazeta/dias/1816/05/02/pdfs/GMD-1816-56.pdf#page=8","Abrir facsímil")</f>
        <v>Abrir facsímil</v>
      </c>
      <c r="K4987" s="3" t="s">
        <v>31</v>
      </c>
    </row>
    <row r="4988" spans="1:11" ht="42" customHeight="1">
      <c r="A4988" s="2" t="s">
        <v>11849</v>
      </c>
      <c r="B4988" s="2" t="s">
        <v>11850</v>
      </c>
      <c r="C4988" s="2" t="s">
        <v>41</v>
      </c>
      <c r="D4988" s="2" t="s">
        <v>18</v>
      </c>
      <c r="E4988" s="5">
        <v>-30508</v>
      </c>
      <c r="F4988" s="3" t="s">
        <v>36</v>
      </c>
      <c r="G4988" s="3" t="s">
        <v>42</v>
      </c>
      <c r="H4988" s="2" t="s">
        <v>21</v>
      </c>
      <c r="I4988" s="2" t="s">
        <v>11851</v>
      </c>
      <c r="J4988" s="3" t="str">
        <f>HYPERLINK("https://www.boe.es/gazeta/dias/1816/06/20/pdfs/GMD-1816-77.pdf#page=8","Abrir facsímil")</f>
        <v>Abrir facsímil</v>
      </c>
      <c r="K4988" s="3" t="s">
        <v>23</v>
      </c>
    </row>
    <row r="4989" spans="1:11" ht="42" customHeight="1">
      <c r="A4989" s="2" t="s">
        <v>11849</v>
      </c>
      <c r="B4989" s="2" t="s">
        <v>11850</v>
      </c>
      <c r="C4989" s="2" t="s">
        <v>67</v>
      </c>
      <c r="D4989" s="2" t="s">
        <v>18</v>
      </c>
      <c r="E4989" s="5">
        <v>-30368</v>
      </c>
      <c r="F4989" s="3" t="s">
        <v>531</v>
      </c>
      <c r="G4989" s="3" t="s">
        <v>42</v>
      </c>
      <c r="H4989" s="2" t="s">
        <v>21</v>
      </c>
      <c r="I4989" s="2" t="s">
        <v>11852</v>
      </c>
      <c r="J4989" s="3" t="str">
        <f>HYPERLINK("https://www.boe.es/gazeta/dias/1816/11/07/pdfs/GMD-1816-139.pdf#page=8","Abrir facsímil")</f>
        <v>Abrir facsímil</v>
      </c>
      <c r="K4989" s="3" t="s">
        <v>23</v>
      </c>
    </row>
    <row r="4990" spans="1:11" ht="42" customHeight="1">
      <c r="A4990" s="2" t="s">
        <v>11849</v>
      </c>
      <c r="B4990" s="2" t="s">
        <v>11850</v>
      </c>
      <c r="C4990" s="2" t="s">
        <v>111</v>
      </c>
      <c r="D4990" s="2" t="s">
        <v>112</v>
      </c>
      <c r="E4990" s="5">
        <v>-30342</v>
      </c>
      <c r="F4990" s="3" t="s">
        <v>116</v>
      </c>
      <c r="G4990" s="3" t="s">
        <v>42</v>
      </c>
      <c r="H4990" s="2" t="s">
        <v>21</v>
      </c>
      <c r="I4990" s="2" t="s">
        <v>11853</v>
      </c>
      <c r="J4990" s="3" t="str">
        <f>HYPERLINK("https://www.boe.es/gazeta/dias/1816/12/03/pdfs/GMD-1816-150.pdf#page=8","Abrir facsímil")</f>
        <v>Abrir facsímil</v>
      </c>
      <c r="K4990" s="3" t="s">
        <v>23</v>
      </c>
    </row>
    <row r="4991" spans="1:11" ht="42" customHeight="1">
      <c r="A4991" s="2" t="s">
        <v>11854</v>
      </c>
      <c r="B4991" s="2" t="s">
        <v>11855</v>
      </c>
      <c r="C4991" s="2" t="s">
        <v>26</v>
      </c>
      <c r="D4991" s="2" t="s">
        <v>18</v>
      </c>
      <c r="E4991" s="5">
        <v>-30445</v>
      </c>
      <c r="F4991" s="3" t="s">
        <v>51</v>
      </c>
      <c r="G4991" s="3" t="s">
        <v>175</v>
      </c>
      <c r="H4991" s="2" t="s">
        <v>29</v>
      </c>
      <c r="I4991" s="2" t="s">
        <v>11856</v>
      </c>
      <c r="J4991" s="3" t="str">
        <f>HYPERLINK("https://www.boe.es/gazeta/dias/1816/08/22/pdfs/GMD-1816-104.pdf#page=11","Abrir facsímil")</f>
        <v>Abrir facsímil</v>
      </c>
      <c r="K4991" s="3" t="s">
        <v>31</v>
      </c>
    </row>
    <row r="4992" spans="1:11" ht="42" customHeight="1">
      <c r="A4992" s="2" t="s">
        <v>11857</v>
      </c>
      <c r="B4992" s="2" t="s">
        <v>11858</v>
      </c>
      <c r="C4992" s="2" t="s">
        <v>111</v>
      </c>
      <c r="D4992" s="2" t="s">
        <v>112</v>
      </c>
      <c r="E4992" s="5">
        <v>-30655</v>
      </c>
      <c r="F4992" s="3" t="s">
        <v>170</v>
      </c>
      <c r="G4992" s="3" t="s">
        <v>72</v>
      </c>
      <c r="H4992" s="2" t="s">
        <v>21</v>
      </c>
      <c r="I4992" s="2" t="s">
        <v>11859</v>
      </c>
      <c r="J4992" s="3" t="str">
        <f>HYPERLINK("https://www.boe.es/gazeta/dias/1816/01/25/pdfs/GMD-1816-11.pdf#page=7","Abrir facsímil")</f>
        <v>Abrir facsímil</v>
      </c>
      <c r="K4992" s="3" t="s">
        <v>23</v>
      </c>
    </row>
    <row r="4993" spans="1:11" ht="42" customHeight="1">
      <c r="A4993" s="2" t="s">
        <v>11860</v>
      </c>
      <c r="B4993" s="2" t="s">
        <v>11861</v>
      </c>
      <c r="C4993" s="2" t="s">
        <v>111</v>
      </c>
      <c r="D4993" s="2" t="s">
        <v>112</v>
      </c>
      <c r="E4993" s="5">
        <v>-30601</v>
      </c>
      <c r="F4993" s="3" t="s">
        <v>308</v>
      </c>
      <c r="G4993" s="3" t="s">
        <v>72</v>
      </c>
      <c r="H4993" s="2" t="s">
        <v>21</v>
      </c>
      <c r="I4993" s="2" t="s">
        <v>11862</v>
      </c>
      <c r="J4993" s="3" t="str">
        <f>HYPERLINK("https://www.boe.es/gazeta/dias/1816/03/19/pdfs/GMD-1816-37.pdf#page=7","Abrir facsímil")</f>
        <v>Abrir facsímil</v>
      </c>
      <c r="K4993" s="3" t="s">
        <v>23</v>
      </c>
    </row>
    <row r="4994" spans="1:11" ht="42" customHeight="1">
      <c r="A4994" s="2" t="s">
        <v>11863</v>
      </c>
      <c r="B4994" s="2" t="s">
        <v>11864</v>
      </c>
      <c r="C4994" s="2" t="s">
        <v>111</v>
      </c>
      <c r="D4994" s="2" t="s">
        <v>112</v>
      </c>
      <c r="E4994" s="5">
        <v>-30380</v>
      </c>
      <c r="F4994" s="3" t="s">
        <v>819</v>
      </c>
      <c r="G4994" s="3" t="s">
        <v>47</v>
      </c>
      <c r="H4994" s="2" t="s">
        <v>21</v>
      </c>
      <c r="I4994" s="2" t="s">
        <v>11865</v>
      </c>
      <c r="J4994" s="3" t="str">
        <f>HYPERLINK("https://www.boe.es/gazeta/dias/1816/10/26/pdfs/GMD-1816-134.pdf#page=5","Abrir facsímil")</f>
        <v>Abrir facsímil</v>
      </c>
      <c r="K4994" s="3" t="s">
        <v>23</v>
      </c>
    </row>
    <row r="4995" spans="1:11" ht="42" customHeight="1">
      <c r="A4995" s="2" t="s">
        <v>11866</v>
      </c>
      <c r="B4995" s="2" t="s">
        <v>11867</v>
      </c>
      <c r="C4995" s="2" t="s">
        <v>111</v>
      </c>
      <c r="D4995" s="2" t="s">
        <v>112</v>
      </c>
      <c r="E4995" s="5">
        <v>-30571</v>
      </c>
      <c r="F4995" s="3" t="s">
        <v>738</v>
      </c>
      <c r="G4995" s="3" t="s">
        <v>28</v>
      </c>
      <c r="H4995" s="2" t="s">
        <v>29</v>
      </c>
      <c r="I4995" s="2" t="s">
        <v>11868</v>
      </c>
      <c r="J4995" s="3" t="str">
        <f>HYPERLINK("https://www.boe.es/gazeta/dias/1816/04/18/pdfs/GMD-1816-50.pdf#page=6","Abrir facsímil")</f>
        <v>Abrir facsímil</v>
      </c>
      <c r="K4995" s="3" t="s">
        <v>31</v>
      </c>
    </row>
    <row r="4996" spans="1:11" ht="42" customHeight="1">
      <c r="A4996" s="2" t="s">
        <v>11869</v>
      </c>
      <c r="B4996" s="2" t="s">
        <v>11869</v>
      </c>
      <c r="C4996" s="2" t="s">
        <v>34</v>
      </c>
      <c r="D4996" s="2" t="s">
        <v>35</v>
      </c>
      <c r="E4996" s="5">
        <v>-30468</v>
      </c>
      <c r="F4996" s="3" t="s">
        <v>383</v>
      </c>
      <c r="G4996" s="3" t="s">
        <v>58</v>
      </c>
      <c r="H4996" s="2" t="s">
        <v>21</v>
      </c>
      <c r="I4996" s="2" t="s">
        <v>11870</v>
      </c>
      <c r="J4996" s="3" t="str">
        <f>HYPERLINK("https://www.boe.es/gazeta/dias/1816/07/30/pdfs/GMD-1816-94.pdf#page=1","Abrir facsímil")</f>
        <v>Abrir facsímil</v>
      </c>
      <c r="K4996" s="3" t="s">
        <v>23</v>
      </c>
    </row>
    <row r="4997" spans="1:11" ht="42" customHeight="1">
      <c r="A4997" s="2" t="s">
        <v>11871</v>
      </c>
      <c r="B4997" s="2" t="s">
        <v>11872</v>
      </c>
      <c r="C4997" s="2" t="s">
        <v>26</v>
      </c>
      <c r="D4997" s="2" t="s">
        <v>56</v>
      </c>
      <c r="E4997" s="5">
        <v>-30393</v>
      </c>
      <c r="F4997" s="3" t="s">
        <v>202</v>
      </c>
      <c r="G4997" s="3" t="s">
        <v>47</v>
      </c>
      <c r="H4997" s="2" t="s">
        <v>21</v>
      </c>
      <c r="I4997" s="2" t="s">
        <v>11873</v>
      </c>
      <c r="J4997" s="3" t="str">
        <f>HYPERLINK("https://www.boe.es/gazeta/dias/1816/10/13/pdfs/GMD-1816-128E.pdf#page=5","Abrir facsímil")</f>
        <v>Abrir facsímil</v>
      </c>
      <c r="K4997" s="3" t="s">
        <v>23</v>
      </c>
    </row>
    <row r="4998" spans="1:11" ht="42" customHeight="1">
      <c r="A4998" s="2" t="s">
        <v>11874</v>
      </c>
      <c r="B4998" s="2" t="s">
        <v>11875</v>
      </c>
      <c r="C4998" s="2" t="s">
        <v>41</v>
      </c>
      <c r="D4998" s="2" t="s">
        <v>18</v>
      </c>
      <c r="E4998" s="5">
        <v>-30494</v>
      </c>
      <c r="F4998" s="3" t="s">
        <v>174</v>
      </c>
      <c r="G4998" s="3" t="s">
        <v>175</v>
      </c>
      <c r="H4998" s="2" t="s">
        <v>21</v>
      </c>
      <c r="I4998" s="2" t="s">
        <v>11876</v>
      </c>
      <c r="J4998" s="3" t="str">
        <f>HYPERLINK("https://www.boe.es/gazeta/dias/1816/07/04/pdfs/GMD-1816-83.pdf#page=11","Abrir facsímil")</f>
        <v>Abrir facsímil</v>
      </c>
      <c r="K4998" s="3" t="s">
        <v>23</v>
      </c>
    </row>
    <row r="4999" spans="1:11" ht="42" customHeight="1">
      <c r="A4999" s="2" t="s">
        <v>11877</v>
      </c>
      <c r="B4999" s="2" t="s">
        <v>11877</v>
      </c>
      <c r="C4999" s="2" t="s">
        <v>34</v>
      </c>
      <c r="D4999" s="2" t="s">
        <v>35</v>
      </c>
      <c r="E4999" s="5">
        <v>-30529</v>
      </c>
      <c r="F4999" s="3" t="s">
        <v>432</v>
      </c>
      <c r="G4999" s="3" t="s">
        <v>58</v>
      </c>
      <c r="H4999" s="2" t="s">
        <v>21</v>
      </c>
      <c r="I4999" s="2" t="s">
        <v>11878</v>
      </c>
      <c r="J4999" s="3" t="str">
        <f>HYPERLINK("https://www.boe.es/gazeta/dias/1816/05/30/pdfs/GMD-1816-68.pdf#page=1","Abrir facsímil")</f>
        <v>Abrir facsímil</v>
      </c>
      <c r="K4999" s="3" t="s">
        <v>23</v>
      </c>
    </row>
    <row r="5000" spans="1:11" ht="42" customHeight="1">
      <c r="A5000" s="2" t="s">
        <v>11877</v>
      </c>
      <c r="B5000" s="2" t="s">
        <v>11877</v>
      </c>
      <c r="C5000" s="2" t="s">
        <v>34</v>
      </c>
      <c r="D5000" s="2" t="s">
        <v>35</v>
      </c>
      <c r="E5000" s="5">
        <v>-30370</v>
      </c>
      <c r="F5000" s="3" t="s">
        <v>669</v>
      </c>
      <c r="G5000" s="3" t="s">
        <v>745</v>
      </c>
      <c r="H5000" s="2" t="s">
        <v>21</v>
      </c>
      <c r="I5000" s="2" t="s">
        <v>11879</v>
      </c>
      <c r="J5000" s="3" t="str">
        <f>HYPERLINK("https://www.boe.es/gazeta/dias/1816/11/05/pdfs/GMD-1816-138.pdf#page=2","Abrir facsímil")</f>
        <v>Abrir facsímil</v>
      </c>
      <c r="K5000" s="3" t="s">
        <v>23</v>
      </c>
    </row>
    <row r="5001" spans="1:11" ht="42" customHeight="1">
      <c r="A5001" s="2" t="s">
        <v>11880</v>
      </c>
      <c r="B5001" s="2" t="s">
        <v>11881</v>
      </c>
      <c r="C5001" s="2" t="s">
        <v>34</v>
      </c>
      <c r="D5001" s="2" t="s">
        <v>35</v>
      </c>
      <c r="E5001" s="5">
        <v>-30405</v>
      </c>
      <c r="F5001" s="3" t="s">
        <v>587</v>
      </c>
      <c r="G5001" s="3" t="s">
        <v>103</v>
      </c>
      <c r="H5001" s="2" t="s">
        <v>21</v>
      </c>
      <c r="I5001" s="2" t="s">
        <v>11882</v>
      </c>
      <c r="J5001" s="3" t="str">
        <f>HYPERLINK("https://www.boe.es/gazeta/dias/1816/10/01/pdfs/GMD-1816-121.pdf#page=4","Abrir facsímil")</f>
        <v>Abrir facsímil</v>
      </c>
      <c r="K5001" s="3" t="s">
        <v>23</v>
      </c>
    </row>
    <row r="5002" spans="1:11" ht="42" customHeight="1">
      <c r="A5002" s="2" t="s">
        <v>11883</v>
      </c>
      <c r="B5002" s="2" t="s">
        <v>11884</v>
      </c>
      <c r="C5002" s="2" t="s">
        <v>34</v>
      </c>
      <c r="D5002" s="2" t="s">
        <v>35</v>
      </c>
      <c r="E5002" s="5">
        <v>-30436</v>
      </c>
      <c r="F5002" s="3" t="s">
        <v>102</v>
      </c>
      <c r="G5002" s="3" t="s">
        <v>72</v>
      </c>
      <c r="H5002" s="2" t="s">
        <v>29</v>
      </c>
      <c r="I5002" s="2" t="s">
        <v>11885</v>
      </c>
      <c r="J5002" s="3" t="str">
        <f>HYPERLINK("https://www.boe.es/gazeta/dias/1816/08/31/pdfs/GMD-1816-108.pdf#page=7","Abrir facsímil")</f>
        <v>Abrir facsímil</v>
      </c>
      <c r="K5002" s="3" t="s">
        <v>31</v>
      </c>
    </row>
    <row r="5003" spans="1:11" ht="42" customHeight="1">
      <c r="A5003" s="2" t="s">
        <v>11886</v>
      </c>
      <c r="B5003" s="2" t="s">
        <v>11887</v>
      </c>
      <c r="C5003" s="2" t="s">
        <v>34</v>
      </c>
      <c r="D5003" s="2" t="s">
        <v>35</v>
      </c>
      <c r="E5003" s="5">
        <v>-30391</v>
      </c>
      <c r="F5003" s="3" t="s">
        <v>482</v>
      </c>
      <c r="G5003" s="3" t="s">
        <v>72</v>
      </c>
      <c r="H5003" s="2" t="s">
        <v>21</v>
      </c>
      <c r="I5003" s="2" t="s">
        <v>11888</v>
      </c>
      <c r="J5003" s="3" t="str">
        <f>HYPERLINK("https://www.boe.es/gazeta/dias/1816/10/15/pdfs/GMD-1816-129.pdf#page=7","Abrir facsímil")</f>
        <v>Abrir facsímil</v>
      </c>
      <c r="K5003" s="3" t="s">
        <v>23</v>
      </c>
    </row>
    <row r="5004" spans="1:11" ht="42" customHeight="1">
      <c r="A5004" s="2" t="s">
        <v>11889</v>
      </c>
      <c r="B5004" s="2" t="s">
        <v>11890</v>
      </c>
      <c r="C5004" s="2" t="s">
        <v>26</v>
      </c>
      <c r="D5004" s="2" t="s">
        <v>18</v>
      </c>
      <c r="E5004" s="5">
        <v>-30391</v>
      </c>
      <c r="F5004" s="3" t="s">
        <v>482</v>
      </c>
      <c r="G5004" s="3" t="s">
        <v>72</v>
      </c>
      <c r="H5004" s="2" t="s">
        <v>21</v>
      </c>
      <c r="I5004" s="2" t="s">
        <v>11891</v>
      </c>
      <c r="J5004" s="3" t="str">
        <f>HYPERLINK("https://www.boe.es/gazeta/dias/1816/10/15/pdfs/GMD-1816-129.pdf#page=7","Abrir facsímil")</f>
        <v>Abrir facsímil</v>
      </c>
      <c r="K5004" s="3" t="s">
        <v>23</v>
      </c>
    </row>
    <row r="5005" spans="1:11" ht="42" customHeight="1">
      <c r="A5005" s="2" t="s">
        <v>11892</v>
      </c>
      <c r="B5005" s="2" t="s">
        <v>11893</v>
      </c>
      <c r="C5005" s="2" t="s">
        <v>34</v>
      </c>
      <c r="D5005" s="2" t="s">
        <v>35</v>
      </c>
      <c r="E5005" s="5">
        <v>-30585</v>
      </c>
      <c r="F5005" s="3" t="s">
        <v>633</v>
      </c>
      <c r="G5005" s="3" t="s">
        <v>72</v>
      </c>
      <c r="H5005" s="2" t="s">
        <v>21</v>
      </c>
      <c r="I5005" s="2" t="s">
        <v>11894</v>
      </c>
      <c r="J5005" s="3" t="str">
        <f>HYPERLINK("https://www.boe.es/gazeta/dias/1816/04/04/pdfs/GMD-1816-44.pdf#page=7","Abrir facsímil")</f>
        <v>Abrir facsímil</v>
      </c>
      <c r="K5005" s="3" t="s">
        <v>23</v>
      </c>
    </row>
    <row r="5006" spans="1:11" ht="42" customHeight="1">
      <c r="A5006" s="2" t="s">
        <v>11892</v>
      </c>
      <c r="B5006" s="2" t="s">
        <v>11893</v>
      </c>
      <c r="C5006" s="2" t="s">
        <v>26</v>
      </c>
      <c r="D5006" s="2" t="s">
        <v>56</v>
      </c>
      <c r="E5006" s="5">
        <v>-30393</v>
      </c>
      <c r="F5006" s="3" t="s">
        <v>202</v>
      </c>
      <c r="G5006" s="3" t="s">
        <v>42</v>
      </c>
      <c r="H5006" s="2" t="s">
        <v>21</v>
      </c>
      <c r="I5006" s="2" t="s">
        <v>11895</v>
      </c>
      <c r="J5006" s="3" t="str">
        <f>HYPERLINK("https://www.boe.es/gazeta/dias/1816/10/13/pdfs/GMD-1816-128E.pdf#page=8","Abrir facsímil")</f>
        <v>Abrir facsímil</v>
      </c>
      <c r="K5006" s="3" t="s">
        <v>23</v>
      </c>
    </row>
    <row r="5007" spans="1:11" ht="42" customHeight="1">
      <c r="A5007" s="2" t="s">
        <v>11896</v>
      </c>
      <c r="B5007" s="2" t="s">
        <v>11897</v>
      </c>
      <c r="C5007" s="2" t="s">
        <v>34</v>
      </c>
      <c r="D5007" s="2" t="s">
        <v>35</v>
      </c>
      <c r="E5007" s="5">
        <v>-30578</v>
      </c>
      <c r="F5007" s="3" t="s">
        <v>91</v>
      </c>
      <c r="G5007" s="3" t="s">
        <v>286</v>
      </c>
      <c r="H5007" s="2" t="s">
        <v>21</v>
      </c>
      <c r="I5007" s="2" t="s">
        <v>11898</v>
      </c>
      <c r="J5007" s="3" t="str">
        <f>HYPERLINK("https://www.boe.es/gazeta/dias/1816/04/11/pdfs/GMD-1816-47.pdf#page=11","Abrir facsímil")</f>
        <v>Abrir facsímil</v>
      </c>
      <c r="K5007" s="3" t="s">
        <v>23</v>
      </c>
    </row>
    <row r="5008" spans="1:11" ht="42" customHeight="1">
      <c r="A5008" s="2" t="s">
        <v>11899</v>
      </c>
      <c r="B5008" s="2" t="s">
        <v>11900</v>
      </c>
      <c r="C5008" s="2" t="s">
        <v>41</v>
      </c>
      <c r="D5008" s="2" t="s">
        <v>18</v>
      </c>
      <c r="E5008" s="5">
        <v>-30578</v>
      </c>
      <c r="F5008" s="3" t="s">
        <v>91</v>
      </c>
      <c r="G5008" s="3" t="s">
        <v>72</v>
      </c>
      <c r="H5008" s="2" t="s">
        <v>21</v>
      </c>
      <c r="I5008" s="2" t="s">
        <v>11901</v>
      </c>
      <c r="J5008" s="3" t="str">
        <f>HYPERLINK("https://www.boe.es/gazeta/dias/1816/04/11/pdfs/GMD-1816-47.pdf#page=7","Abrir facsímil")</f>
        <v>Abrir facsímil</v>
      </c>
      <c r="K5008" s="3" t="s">
        <v>23</v>
      </c>
    </row>
    <row r="5009" spans="1:11" ht="42" customHeight="1">
      <c r="A5009" s="2" t="s">
        <v>11902</v>
      </c>
      <c r="B5009" s="2" t="s">
        <v>11903</v>
      </c>
      <c r="C5009" s="2" t="s">
        <v>41</v>
      </c>
      <c r="D5009" s="2" t="s">
        <v>18</v>
      </c>
      <c r="E5009" s="5">
        <v>-30555</v>
      </c>
      <c r="F5009" s="3" t="s">
        <v>345</v>
      </c>
      <c r="G5009" s="3" t="s">
        <v>42</v>
      </c>
      <c r="H5009" s="2" t="s">
        <v>29</v>
      </c>
      <c r="I5009" s="2" t="s">
        <v>11904</v>
      </c>
      <c r="J5009" s="3" t="str">
        <f>HYPERLINK("https://www.boe.es/gazeta/dias/1816/05/04/pdfs/GMD-1816-57.pdf#page=8","Abrir facsímil")</f>
        <v>Abrir facsímil</v>
      </c>
      <c r="K5009" s="3" t="s">
        <v>31</v>
      </c>
    </row>
    <row r="5010" spans="1:11" ht="42" customHeight="1">
      <c r="A5010" s="2" t="s">
        <v>11905</v>
      </c>
      <c r="B5010" s="2" t="s">
        <v>11906</v>
      </c>
      <c r="C5010" s="2" t="s">
        <v>111</v>
      </c>
      <c r="D5010" s="2" t="s">
        <v>112</v>
      </c>
      <c r="E5010" s="5">
        <v>-30506</v>
      </c>
      <c r="F5010" s="3" t="s">
        <v>220</v>
      </c>
      <c r="G5010" s="3" t="s">
        <v>47</v>
      </c>
      <c r="H5010" s="2" t="s">
        <v>21</v>
      </c>
      <c r="I5010" s="2" t="s">
        <v>11907</v>
      </c>
      <c r="J5010" s="3" t="str">
        <f>HYPERLINK("https://www.boe.es/gazeta/dias/1816/06/22/pdfs/GMD-1816-78.pdf#page=5","Abrir facsímil")</f>
        <v>Abrir facsímil</v>
      </c>
      <c r="K5010" s="3" t="s">
        <v>23</v>
      </c>
    </row>
    <row r="5011" spans="1:11" ht="42" customHeight="1">
      <c r="A5011" s="2" t="s">
        <v>11908</v>
      </c>
      <c r="B5011" s="2" t="s">
        <v>11909</v>
      </c>
      <c r="C5011" s="2" t="s">
        <v>26</v>
      </c>
      <c r="D5011" s="2" t="s">
        <v>18</v>
      </c>
      <c r="E5011" s="5">
        <v>-30387</v>
      </c>
      <c r="F5011" s="3" t="s">
        <v>224</v>
      </c>
      <c r="G5011" s="3" t="s">
        <v>28</v>
      </c>
      <c r="H5011" s="2" t="s">
        <v>21</v>
      </c>
      <c r="I5011" s="2" t="s">
        <v>11910</v>
      </c>
      <c r="J5011" s="3" t="str">
        <f>HYPERLINK("https://www.boe.es/gazeta/dias/1816/10/19/pdfs/GMD-1816-131.pdf#page=6","Abrir facsímil")</f>
        <v>Abrir facsímil</v>
      </c>
      <c r="K5011" s="3" t="s">
        <v>23</v>
      </c>
    </row>
    <row r="5012" spans="1:11" ht="42" customHeight="1">
      <c r="A5012" s="2" t="s">
        <v>11911</v>
      </c>
      <c r="B5012" s="2" t="s">
        <v>11912</v>
      </c>
      <c r="C5012" s="2" t="s">
        <v>34</v>
      </c>
      <c r="D5012" s="2" t="s">
        <v>35</v>
      </c>
      <c r="E5012" s="5">
        <v>-30387</v>
      </c>
      <c r="F5012" s="3" t="s">
        <v>224</v>
      </c>
      <c r="G5012" s="3" t="s">
        <v>28</v>
      </c>
      <c r="H5012" s="2" t="s">
        <v>21</v>
      </c>
      <c r="I5012" s="2" t="s">
        <v>11913</v>
      </c>
      <c r="J5012" s="3" t="str">
        <f>HYPERLINK("https://www.boe.es/gazeta/dias/1816/10/19/pdfs/GMD-1816-131.pdf#page=6","Abrir facsímil")</f>
        <v>Abrir facsímil</v>
      </c>
      <c r="K5012" s="3" t="s">
        <v>23</v>
      </c>
    </row>
    <row r="5013" spans="1:11" ht="42" customHeight="1">
      <c r="A5013" s="2" t="s">
        <v>11914</v>
      </c>
      <c r="B5013" s="2" t="s">
        <v>11915</v>
      </c>
      <c r="C5013" s="2" t="s">
        <v>26</v>
      </c>
      <c r="D5013" s="2" t="s">
        <v>18</v>
      </c>
      <c r="E5013" s="5">
        <v>-30387</v>
      </c>
      <c r="F5013" s="3" t="s">
        <v>224</v>
      </c>
      <c r="G5013" s="3" t="s">
        <v>28</v>
      </c>
      <c r="H5013" s="2" t="s">
        <v>21</v>
      </c>
      <c r="I5013" s="2" t="s">
        <v>11916</v>
      </c>
      <c r="J5013" s="3" t="str">
        <f>HYPERLINK("https://www.boe.es/gazeta/dias/1816/10/19/pdfs/GMD-1816-131.pdf#page=6","Abrir facsímil")</f>
        <v>Abrir facsímil</v>
      </c>
      <c r="K5013" s="3" t="s">
        <v>23</v>
      </c>
    </row>
    <row r="5014" spans="1:11" ht="42" customHeight="1">
      <c r="A5014" s="2" t="s">
        <v>11917</v>
      </c>
      <c r="B5014" s="2" t="s">
        <v>11918</v>
      </c>
      <c r="C5014" s="2" t="s">
        <v>26</v>
      </c>
      <c r="D5014" s="2" t="s">
        <v>18</v>
      </c>
      <c r="E5014" s="5">
        <v>-30387</v>
      </c>
      <c r="F5014" s="3" t="s">
        <v>224</v>
      </c>
      <c r="G5014" s="3" t="s">
        <v>72</v>
      </c>
      <c r="H5014" s="2" t="s">
        <v>21</v>
      </c>
      <c r="I5014" s="2" t="s">
        <v>11919</v>
      </c>
      <c r="J5014" s="3" t="str">
        <f>HYPERLINK("https://www.boe.es/gazeta/dias/1816/10/19/pdfs/GMD-1816-131.pdf#page=7","Abrir facsímil")</f>
        <v>Abrir facsímil</v>
      </c>
      <c r="K5014" s="3" t="s">
        <v>23</v>
      </c>
    </row>
    <row r="5015" spans="1:11" ht="42" customHeight="1">
      <c r="A5015" s="2" t="s">
        <v>11920</v>
      </c>
      <c r="B5015" s="2" t="s">
        <v>11921</v>
      </c>
      <c r="C5015" s="2" t="s">
        <v>26</v>
      </c>
      <c r="D5015" s="2" t="s">
        <v>18</v>
      </c>
      <c r="E5015" s="5">
        <v>-30387</v>
      </c>
      <c r="F5015" s="3" t="s">
        <v>224</v>
      </c>
      <c r="G5015" s="3" t="s">
        <v>28</v>
      </c>
      <c r="H5015" s="2" t="s">
        <v>21</v>
      </c>
      <c r="I5015" s="2" t="s">
        <v>11922</v>
      </c>
      <c r="J5015" s="3" t="str">
        <f>HYPERLINK("https://www.boe.es/gazeta/dias/1816/10/19/pdfs/GMD-1816-131.pdf#page=6","Abrir facsímil")</f>
        <v>Abrir facsímil</v>
      </c>
      <c r="K5015" s="3" t="s">
        <v>23</v>
      </c>
    </row>
    <row r="5016" spans="1:11" ht="42" customHeight="1">
      <c r="A5016" s="2" t="s">
        <v>11923</v>
      </c>
      <c r="B5016" s="2" t="s">
        <v>11924</v>
      </c>
      <c r="C5016" s="2" t="s">
        <v>26</v>
      </c>
      <c r="D5016" s="2" t="s">
        <v>18</v>
      </c>
      <c r="E5016" s="5">
        <v>-30387</v>
      </c>
      <c r="F5016" s="3" t="s">
        <v>224</v>
      </c>
      <c r="G5016" s="3" t="s">
        <v>28</v>
      </c>
      <c r="H5016" s="2" t="s">
        <v>21</v>
      </c>
      <c r="I5016" s="2" t="s">
        <v>11925</v>
      </c>
      <c r="J5016" s="3" t="str">
        <f>HYPERLINK("https://www.boe.es/gazeta/dias/1816/10/19/pdfs/GMD-1816-131.pdf#page=6","Abrir facsímil")</f>
        <v>Abrir facsímil</v>
      </c>
      <c r="K5016" s="3" t="s">
        <v>23</v>
      </c>
    </row>
    <row r="5017" spans="1:11" ht="42" customHeight="1">
      <c r="A5017" s="2" t="s">
        <v>11926</v>
      </c>
      <c r="B5017" s="2" t="s">
        <v>11927</v>
      </c>
      <c r="C5017" s="2" t="s">
        <v>26</v>
      </c>
      <c r="D5017" s="2" t="s">
        <v>18</v>
      </c>
      <c r="E5017" s="5">
        <v>-30387</v>
      </c>
      <c r="F5017" s="3" t="s">
        <v>224</v>
      </c>
      <c r="G5017" s="3" t="s">
        <v>28</v>
      </c>
      <c r="H5017" s="2" t="s">
        <v>21</v>
      </c>
      <c r="I5017" s="2" t="s">
        <v>11928</v>
      </c>
      <c r="J5017" s="3" t="str">
        <f>HYPERLINK("https://www.boe.es/gazeta/dias/1816/10/19/pdfs/GMD-1816-131.pdf#page=6","Abrir facsímil")</f>
        <v>Abrir facsímil</v>
      </c>
      <c r="K5017" s="3" t="s">
        <v>23</v>
      </c>
    </row>
    <row r="5018" spans="1:11" ht="42" customHeight="1">
      <c r="A5018" s="2" t="s">
        <v>11929</v>
      </c>
      <c r="B5018" s="2" t="s">
        <v>11930</v>
      </c>
      <c r="C5018" s="2" t="s">
        <v>26</v>
      </c>
      <c r="D5018" s="2" t="s">
        <v>18</v>
      </c>
      <c r="E5018" s="5">
        <v>-30387</v>
      </c>
      <c r="F5018" s="3" t="s">
        <v>224</v>
      </c>
      <c r="G5018" s="3" t="s">
        <v>72</v>
      </c>
      <c r="H5018" s="2" t="s">
        <v>21</v>
      </c>
      <c r="I5018" s="2" t="s">
        <v>11931</v>
      </c>
      <c r="J5018" s="3" t="str">
        <f>HYPERLINK("https://www.boe.es/gazeta/dias/1816/10/19/pdfs/GMD-1816-131.pdf#page=7","Abrir facsímil")</f>
        <v>Abrir facsímil</v>
      </c>
      <c r="K5018" s="3" t="s">
        <v>23</v>
      </c>
    </row>
    <row r="5019" spans="1:11" ht="42" customHeight="1">
      <c r="A5019" s="2" t="s">
        <v>11932</v>
      </c>
      <c r="B5019" s="2" t="s">
        <v>11933</v>
      </c>
      <c r="C5019" s="2" t="s">
        <v>111</v>
      </c>
      <c r="D5019" s="2" t="s">
        <v>112</v>
      </c>
      <c r="E5019" s="5">
        <v>-30382</v>
      </c>
      <c r="F5019" s="3" t="s">
        <v>326</v>
      </c>
      <c r="G5019" s="3" t="s">
        <v>47</v>
      </c>
      <c r="H5019" s="2" t="s">
        <v>21</v>
      </c>
      <c r="I5019" s="2" t="s">
        <v>11934</v>
      </c>
      <c r="J5019" s="3" t="str">
        <f>HYPERLINK("https://www.boe.es/gazeta/dias/1816/10/24/pdfs/GMD-1816-133.pdf#page=5","Abrir facsímil")</f>
        <v>Abrir facsímil</v>
      </c>
      <c r="K5019" s="3" t="s">
        <v>23</v>
      </c>
    </row>
    <row r="5020" spans="1:11" ht="42" customHeight="1">
      <c r="A5020" s="2" t="s">
        <v>11935</v>
      </c>
      <c r="B5020" s="2" t="s">
        <v>11936</v>
      </c>
      <c r="C5020" s="2" t="s">
        <v>26</v>
      </c>
      <c r="D5020" s="2" t="s">
        <v>18</v>
      </c>
      <c r="E5020" s="5">
        <v>-30387</v>
      </c>
      <c r="F5020" s="3" t="s">
        <v>224</v>
      </c>
      <c r="G5020" s="3" t="s">
        <v>72</v>
      </c>
      <c r="H5020" s="2" t="s">
        <v>21</v>
      </c>
      <c r="I5020" s="2" t="s">
        <v>11937</v>
      </c>
      <c r="J5020" s="3" t="str">
        <f>HYPERLINK("https://www.boe.es/gazeta/dias/1816/10/19/pdfs/GMD-1816-131.pdf#page=7","Abrir facsímil")</f>
        <v>Abrir facsímil</v>
      </c>
      <c r="K5020" s="3" t="s">
        <v>23</v>
      </c>
    </row>
    <row r="5021" spans="1:11" ht="42" customHeight="1">
      <c r="A5021" s="2" t="s">
        <v>11938</v>
      </c>
      <c r="B5021" s="2" t="s">
        <v>11939</v>
      </c>
      <c r="C5021" s="2" t="s">
        <v>26</v>
      </c>
      <c r="D5021" s="2" t="s">
        <v>18</v>
      </c>
      <c r="E5021" s="5">
        <v>-30387</v>
      </c>
      <c r="F5021" s="3" t="s">
        <v>224</v>
      </c>
      <c r="G5021" s="3" t="s">
        <v>28</v>
      </c>
      <c r="H5021" s="2" t="s">
        <v>21</v>
      </c>
      <c r="I5021" s="2" t="s">
        <v>11940</v>
      </c>
      <c r="J5021" s="3" t="str">
        <f>HYPERLINK("https://www.boe.es/gazeta/dias/1816/10/19/pdfs/GMD-1816-131.pdf#page=6","Abrir facsímil")</f>
        <v>Abrir facsímil</v>
      </c>
      <c r="K5021" s="3" t="s">
        <v>23</v>
      </c>
    </row>
    <row r="5022" spans="1:11" ht="42" customHeight="1">
      <c r="A5022" s="2" t="s">
        <v>11941</v>
      </c>
      <c r="B5022" s="2" t="s">
        <v>11942</v>
      </c>
      <c r="C5022" s="2" t="s">
        <v>26</v>
      </c>
      <c r="D5022" s="2" t="s">
        <v>18</v>
      </c>
      <c r="E5022" s="5">
        <v>-30592</v>
      </c>
      <c r="F5022" s="3" t="s">
        <v>236</v>
      </c>
      <c r="G5022" s="3" t="s">
        <v>42</v>
      </c>
      <c r="H5022" s="2" t="s">
        <v>21</v>
      </c>
      <c r="I5022" s="2" t="s">
        <v>11943</v>
      </c>
      <c r="J5022" s="3" t="str">
        <f>HYPERLINK("https://www.boe.es/gazeta/dias/1816/03/28/pdfs/GMD-1816-41.pdf#page=8","Abrir facsímil")</f>
        <v>Abrir facsímil</v>
      </c>
      <c r="K5022" s="3" t="s">
        <v>23</v>
      </c>
    </row>
    <row r="5023" spans="1:11" ht="42" customHeight="1">
      <c r="A5023" s="2" t="s">
        <v>11941</v>
      </c>
      <c r="B5023" s="2" t="s">
        <v>11942</v>
      </c>
      <c r="C5023" s="2" t="s">
        <v>26</v>
      </c>
      <c r="D5023" s="2" t="s">
        <v>18</v>
      </c>
      <c r="E5023" s="5">
        <v>-30580</v>
      </c>
      <c r="F5023" s="3" t="s">
        <v>107</v>
      </c>
      <c r="G5023" s="3" t="s">
        <v>72</v>
      </c>
      <c r="H5023" s="2" t="s">
        <v>21</v>
      </c>
      <c r="I5023" s="2" t="s">
        <v>11944</v>
      </c>
      <c r="J5023" s="3" t="str">
        <f>HYPERLINK("https://www.boe.es/gazeta/dias/1816/04/09/pdfs/GMD-1816-46.pdf#page=7","Abrir facsímil")</f>
        <v>Abrir facsímil</v>
      </c>
      <c r="K5023" s="3" t="s">
        <v>23</v>
      </c>
    </row>
    <row r="5024" spans="1:11" ht="42" customHeight="1">
      <c r="A5024" s="2" t="s">
        <v>11945</v>
      </c>
      <c r="B5024" s="2" t="s">
        <v>11946</v>
      </c>
      <c r="C5024" s="2" t="s">
        <v>34</v>
      </c>
      <c r="D5024" s="2" t="s">
        <v>35</v>
      </c>
      <c r="E5024" s="5">
        <v>-30660</v>
      </c>
      <c r="F5024" s="3" t="s">
        <v>809</v>
      </c>
      <c r="G5024" s="3" t="s">
        <v>47</v>
      </c>
      <c r="H5024" s="2" t="s">
        <v>21</v>
      </c>
      <c r="I5024" s="2" t="s">
        <v>11947</v>
      </c>
      <c r="J5024" s="3" t="str">
        <f>HYPERLINK("https://www.boe.es/gazeta/dias/1816/01/20/pdfs/GMD-1816-9.pdf#page=5","Abrir facsímil")</f>
        <v>Abrir facsímil</v>
      </c>
      <c r="K5024" s="3" t="s">
        <v>23</v>
      </c>
    </row>
    <row r="5025" spans="1:11" ht="42" customHeight="1">
      <c r="A5025" s="2" t="s">
        <v>11948</v>
      </c>
      <c r="B5025" s="2" t="s">
        <v>11949</v>
      </c>
      <c r="C5025" s="2" t="s">
        <v>34</v>
      </c>
      <c r="D5025" s="2" t="s">
        <v>56</v>
      </c>
      <c r="E5025" s="5">
        <v>-30393</v>
      </c>
      <c r="F5025" s="3" t="s">
        <v>202</v>
      </c>
      <c r="G5025" s="3" t="s">
        <v>184</v>
      </c>
      <c r="H5025" s="2" t="s">
        <v>21</v>
      </c>
      <c r="I5025" s="2" t="s">
        <v>11950</v>
      </c>
      <c r="J5025" s="3" t="str">
        <f>HYPERLINK("https://www.boe.es/gazeta/dias/1816/10/13/pdfs/GMD-1816-128E.pdf#page=3","Abrir facsímil")</f>
        <v>Abrir facsímil</v>
      </c>
      <c r="K5025" s="3" t="s">
        <v>23</v>
      </c>
    </row>
    <row r="5026" spans="1:11" ht="42" customHeight="1">
      <c r="A5026" s="2" t="s">
        <v>11951</v>
      </c>
      <c r="B5026" s="2" t="s">
        <v>11952</v>
      </c>
      <c r="C5026" s="2" t="s">
        <v>111</v>
      </c>
      <c r="D5026" s="2" t="s">
        <v>112</v>
      </c>
      <c r="E5026" s="5">
        <v>-30655</v>
      </c>
      <c r="F5026" s="3" t="s">
        <v>170</v>
      </c>
      <c r="G5026" s="3" t="s">
        <v>850</v>
      </c>
      <c r="H5026" s="2" t="s">
        <v>21</v>
      </c>
      <c r="I5026" s="2" t="s">
        <v>11953</v>
      </c>
      <c r="J5026" s="3" t="str">
        <f>HYPERLINK("https://www.boe.es/gazeta/dias/1816/01/25/pdfs/GMD-1816-11.pdf#page=6","Abrir facsímil")</f>
        <v>Abrir facsímil</v>
      </c>
      <c r="K5026" s="3" t="s">
        <v>23</v>
      </c>
    </row>
    <row r="5027" spans="1:11" ht="42" customHeight="1">
      <c r="A5027" s="2" t="s">
        <v>11954</v>
      </c>
      <c r="B5027" s="2" t="s">
        <v>11955</v>
      </c>
      <c r="C5027" s="2" t="s">
        <v>34</v>
      </c>
      <c r="D5027" s="2" t="s">
        <v>35</v>
      </c>
      <c r="E5027" s="5">
        <v>-30580</v>
      </c>
      <c r="F5027" s="3" t="s">
        <v>107</v>
      </c>
      <c r="G5027" s="3" t="s">
        <v>28</v>
      </c>
      <c r="H5027" s="2" t="s">
        <v>21</v>
      </c>
      <c r="I5027" s="2" t="s">
        <v>11956</v>
      </c>
      <c r="J5027" s="3" t="str">
        <f>HYPERLINK("https://www.boe.es/gazeta/dias/1816/04/09/pdfs/GMD-1816-46.pdf#page=6","Abrir facsímil")</f>
        <v>Abrir facsímil</v>
      </c>
      <c r="K5027" s="3" t="s">
        <v>23</v>
      </c>
    </row>
    <row r="5028" spans="1:11" ht="42" customHeight="1">
      <c r="A5028" s="2" t="s">
        <v>11957</v>
      </c>
      <c r="B5028" s="2" t="s">
        <v>11958</v>
      </c>
      <c r="C5028" s="2" t="s">
        <v>41</v>
      </c>
      <c r="D5028" s="2" t="s">
        <v>18</v>
      </c>
      <c r="E5028" s="5">
        <v>-30573</v>
      </c>
      <c r="F5028" s="3" t="s">
        <v>840</v>
      </c>
      <c r="G5028" s="3" t="s">
        <v>42</v>
      </c>
      <c r="H5028" s="2" t="s">
        <v>21</v>
      </c>
      <c r="I5028" s="2" t="s">
        <v>11959</v>
      </c>
      <c r="J5028" s="3" t="str">
        <f>HYPERLINK("https://www.boe.es/gazeta/dias/1816/04/16/pdfs/GMD-1816-49.pdf#page=8","Abrir facsímil")</f>
        <v>Abrir facsímil</v>
      </c>
      <c r="K5028" s="3" t="s">
        <v>23</v>
      </c>
    </row>
    <row r="5029" spans="1:11" ht="42" customHeight="1">
      <c r="A5029" s="2" t="s">
        <v>11960</v>
      </c>
      <c r="B5029" s="2" t="s">
        <v>11960</v>
      </c>
      <c r="C5029" s="2" t="s">
        <v>111</v>
      </c>
      <c r="D5029" s="2" t="s">
        <v>112</v>
      </c>
      <c r="E5029" s="5">
        <v>-30445</v>
      </c>
      <c r="F5029" s="3" t="s">
        <v>51</v>
      </c>
      <c r="G5029" s="3" t="s">
        <v>184</v>
      </c>
      <c r="H5029" s="2" t="s">
        <v>21</v>
      </c>
      <c r="I5029" s="2" t="s">
        <v>11961</v>
      </c>
      <c r="J5029" s="3" t="str">
        <f>HYPERLINK("https://www.boe.es/gazeta/dias/1816/08/22/pdfs/GMD-1816-104.pdf#page=3","Abrir facsímil")</f>
        <v>Abrir facsímil</v>
      </c>
      <c r="K5029" s="3" t="s">
        <v>23</v>
      </c>
    </row>
    <row r="5030" spans="1:11" ht="42" customHeight="1">
      <c r="A5030" s="2" t="s">
        <v>11962</v>
      </c>
      <c r="B5030" s="2" t="s">
        <v>11962</v>
      </c>
      <c r="C5030" s="2" t="s">
        <v>34</v>
      </c>
      <c r="D5030" s="2" t="s">
        <v>35</v>
      </c>
      <c r="E5030" s="5">
        <v>-30356</v>
      </c>
      <c r="F5030" s="3" t="s">
        <v>824</v>
      </c>
      <c r="G5030" s="3" t="s">
        <v>58</v>
      </c>
      <c r="H5030" s="2" t="s">
        <v>21</v>
      </c>
      <c r="I5030" s="2" t="s">
        <v>11963</v>
      </c>
      <c r="J5030" s="3" t="str">
        <f>HYPERLINK("https://www.boe.es/gazeta/dias/1816/11/19/pdfs/GMD-1816-144.pdf#page=1","Abrir facsímil")</f>
        <v>Abrir facsímil</v>
      </c>
      <c r="K5030" s="3" t="s">
        <v>23</v>
      </c>
    </row>
    <row r="5031" spans="1:11" ht="42" customHeight="1">
      <c r="A5031" s="2" t="s">
        <v>11964</v>
      </c>
      <c r="B5031" s="2" t="s">
        <v>11964</v>
      </c>
      <c r="C5031" s="2" t="s">
        <v>34</v>
      </c>
      <c r="D5031" s="2" t="s">
        <v>35</v>
      </c>
      <c r="E5031" s="5">
        <v>-30478</v>
      </c>
      <c r="F5031" s="3" t="s">
        <v>123</v>
      </c>
      <c r="G5031" s="3" t="s">
        <v>4140</v>
      </c>
      <c r="H5031" s="2" t="s">
        <v>21</v>
      </c>
      <c r="I5031" s="2" t="s">
        <v>11965</v>
      </c>
      <c r="J5031" s="3" t="str">
        <f>HYPERLINK("https://www.boe.es/gazeta/dias/1816/07/20/pdfs/GMD-1816-90.pdf#page=3","Abrir facsímil")</f>
        <v>Abrir facsímil</v>
      </c>
      <c r="K5031" s="3" t="s">
        <v>23</v>
      </c>
    </row>
    <row r="5032" spans="1:11" ht="42" customHeight="1">
      <c r="A5032" s="2" t="s">
        <v>11966</v>
      </c>
      <c r="B5032" s="2" t="s">
        <v>11967</v>
      </c>
      <c r="C5032" s="2" t="s">
        <v>111</v>
      </c>
      <c r="D5032" s="2" t="s">
        <v>112</v>
      </c>
      <c r="E5032" s="5">
        <v>-30482</v>
      </c>
      <c r="F5032" s="3" t="s">
        <v>370</v>
      </c>
      <c r="G5032" s="3" t="s">
        <v>52</v>
      </c>
      <c r="H5032" s="2" t="s">
        <v>21</v>
      </c>
      <c r="I5032" s="2" t="s">
        <v>11968</v>
      </c>
      <c r="J5032" s="3" t="str">
        <f>HYPERLINK("https://www.boe.es/gazeta/dias/1816/07/16/pdfs/GMD-1816-88.pdf#page=12","Abrir facsímil")</f>
        <v>Abrir facsímil</v>
      </c>
      <c r="K5032" s="3" t="s">
        <v>23</v>
      </c>
    </row>
    <row r="5033" spans="1:11" ht="42" customHeight="1">
      <c r="A5033" s="2" t="s">
        <v>11969</v>
      </c>
      <c r="B5033" s="2" t="s">
        <v>11970</v>
      </c>
      <c r="C5033" s="2" t="s">
        <v>34</v>
      </c>
      <c r="D5033" s="2" t="s">
        <v>35</v>
      </c>
      <c r="E5033" s="5">
        <v>-30436</v>
      </c>
      <c r="F5033" s="3" t="s">
        <v>102</v>
      </c>
      <c r="G5033" s="3" t="s">
        <v>92</v>
      </c>
      <c r="H5033" s="2" t="s">
        <v>21</v>
      </c>
      <c r="I5033" s="2" t="s">
        <v>11971</v>
      </c>
      <c r="J5033" s="3" t="str">
        <f>HYPERLINK("https://www.boe.es/gazeta/dias/1816/08/31/pdfs/GMD-1816-108.pdf#page=9","Abrir facsímil")</f>
        <v>Abrir facsímil</v>
      </c>
      <c r="K5033" s="3" t="s">
        <v>23</v>
      </c>
    </row>
    <row r="5034" spans="1:11" ht="42" customHeight="1">
      <c r="A5034" s="2" t="s">
        <v>11972</v>
      </c>
      <c r="B5034" s="2" t="s">
        <v>11973</v>
      </c>
      <c r="C5034" s="2" t="s">
        <v>34</v>
      </c>
      <c r="D5034" s="2" t="s">
        <v>35</v>
      </c>
      <c r="E5034" s="5">
        <v>-30655</v>
      </c>
      <c r="F5034" s="3" t="s">
        <v>170</v>
      </c>
      <c r="G5034" s="3" t="s">
        <v>72</v>
      </c>
      <c r="H5034" s="2" t="s">
        <v>21</v>
      </c>
      <c r="I5034" s="2" t="s">
        <v>11974</v>
      </c>
      <c r="J5034" s="3" t="str">
        <f>HYPERLINK("https://www.boe.es/gazeta/dias/1816/01/25/pdfs/GMD-1816-11.pdf#page=7","Abrir facsímil")</f>
        <v>Abrir facsímil</v>
      </c>
      <c r="K5034" s="3" t="s">
        <v>23</v>
      </c>
    </row>
    <row r="5035" spans="1:11" ht="42" customHeight="1">
      <c r="A5035" s="2" t="s">
        <v>11975</v>
      </c>
      <c r="B5035" s="2" t="s">
        <v>11976</v>
      </c>
      <c r="C5035" s="2" t="s">
        <v>111</v>
      </c>
      <c r="D5035" s="2" t="s">
        <v>112</v>
      </c>
      <c r="E5035" s="5">
        <v>-30534</v>
      </c>
      <c r="F5035" s="3" t="s">
        <v>274</v>
      </c>
      <c r="G5035" s="3" t="s">
        <v>42</v>
      </c>
      <c r="H5035" s="2" t="s">
        <v>21</v>
      </c>
      <c r="I5035" s="2" t="s">
        <v>11977</v>
      </c>
      <c r="J5035" s="3" t="str">
        <f>HYPERLINK("https://www.boe.es/gazeta/dias/1816/05/25/pdfs/GMD-1816-66.pdf#page=8","Abrir facsímil")</f>
        <v>Abrir facsímil</v>
      </c>
      <c r="K5035" s="3" t="s">
        <v>23</v>
      </c>
    </row>
    <row r="5036" spans="1:11" ht="42" customHeight="1">
      <c r="A5036" s="2" t="s">
        <v>11978</v>
      </c>
      <c r="B5036" s="2" t="s">
        <v>11979</v>
      </c>
      <c r="C5036" s="2" t="s">
        <v>26</v>
      </c>
      <c r="D5036" s="2" t="s">
        <v>18</v>
      </c>
      <c r="E5036" s="5">
        <v>-30601</v>
      </c>
      <c r="F5036" s="3" t="s">
        <v>308</v>
      </c>
      <c r="G5036" s="3" t="s">
        <v>72</v>
      </c>
      <c r="H5036" s="2" t="s">
        <v>29</v>
      </c>
      <c r="I5036" s="2" t="s">
        <v>11980</v>
      </c>
      <c r="J5036" s="3" t="str">
        <f>HYPERLINK("https://www.boe.es/gazeta/dias/1816/03/19/pdfs/GMD-1816-37.pdf#page=7","Abrir facsímil")</f>
        <v>Abrir facsímil</v>
      </c>
      <c r="K5036" s="3" t="s">
        <v>31</v>
      </c>
    </row>
    <row r="5037" spans="1:11" ht="42" customHeight="1">
      <c r="A5037" s="2" t="s">
        <v>11981</v>
      </c>
      <c r="B5037" s="2" t="s">
        <v>11982</v>
      </c>
      <c r="C5037" s="2" t="s">
        <v>34</v>
      </c>
      <c r="D5037" s="2" t="s">
        <v>35</v>
      </c>
      <c r="E5037" s="5">
        <v>-30499</v>
      </c>
      <c r="F5037" s="3" t="s">
        <v>971</v>
      </c>
      <c r="G5037" s="3" t="s">
        <v>2505</v>
      </c>
      <c r="H5037" s="2" t="s">
        <v>21</v>
      </c>
      <c r="I5037" s="2" t="s">
        <v>11983</v>
      </c>
      <c r="J5037" s="3" t="str">
        <f>HYPERLINK("https://www.boe.es/gazeta/dias/1816/06/29/pdfs/GMD-1816-81.pdf#page=4","Abrir facsímil")</f>
        <v>Abrir facsímil</v>
      </c>
      <c r="K5037" s="3" t="s">
        <v>23</v>
      </c>
    </row>
    <row r="5038" spans="1:11" ht="42" customHeight="1">
      <c r="A5038" s="2" t="s">
        <v>11984</v>
      </c>
      <c r="B5038" s="2" t="s">
        <v>11985</v>
      </c>
      <c r="C5038" s="2" t="s">
        <v>67</v>
      </c>
      <c r="D5038" s="2" t="s">
        <v>18</v>
      </c>
      <c r="E5038" s="5">
        <v>-30496</v>
      </c>
      <c r="F5038" s="3" t="s">
        <v>290</v>
      </c>
      <c r="G5038" s="3" t="s">
        <v>42</v>
      </c>
      <c r="H5038" s="2" t="s">
        <v>29</v>
      </c>
      <c r="I5038" s="2" t="s">
        <v>11986</v>
      </c>
      <c r="J5038" s="3" t="str">
        <f>HYPERLINK("https://www.boe.es/gazeta/dias/1816/07/02/pdfs/GMD-1816-82.pdf#page=8","Abrir facsímil")</f>
        <v>Abrir facsímil</v>
      </c>
      <c r="K5038" s="3" t="s">
        <v>31</v>
      </c>
    </row>
    <row r="5039" spans="1:11" ht="42" customHeight="1">
      <c r="A5039" s="2" t="s">
        <v>11987</v>
      </c>
      <c r="B5039" s="2" t="s">
        <v>11988</v>
      </c>
      <c r="C5039" s="2" t="s">
        <v>34</v>
      </c>
      <c r="D5039" s="2" t="s">
        <v>35</v>
      </c>
      <c r="E5039" s="5">
        <v>-30436</v>
      </c>
      <c r="F5039" s="3" t="s">
        <v>102</v>
      </c>
      <c r="G5039" s="3" t="s">
        <v>184</v>
      </c>
      <c r="H5039" s="2" t="s">
        <v>29</v>
      </c>
      <c r="I5039" s="2" t="s">
        <v>11989</v>
      </c>
      <c r="J5039" s="3" t="str">
        <f>HYPERLINK("https://www.boe.es/gazeta/dias/1816/08/31/pdfs/GMD-1816-108.pdf#page=3","Abrir facsímil")</f>
        <v>Abrir facsímil</v>
      </c>
      <c r="K5039" s="3" t="s">
        <v>31</v>
      </c>
    </row>
    <row r="5040" spans="1:11" ht="42" customHeight="1">
      <c r="A5040" s="2" t="s">
        <v>11990</v>
      </c>
      <c r="B5040" s="2" t="s">
        <v>11991</v>
      </c>
      <c r="C5040" s="2" t="s">
        <v>34</v>
      </c>
      <c r="D5040" s="2" t="s">
        <v>35</v>
      </c>
      <c r="E5040" s="5">
        <v>-30580</v>
      </c>
      <c r="F5040" s="3" t="s">
        <v>107</v>
      </c>
      <c r="G5040" s="3" t="s">
        <v>28</v>
      </c>
      <c r="H5040" s="2" t="s">
        <v>21</v>
      </c>
      <c r="I5040" s="2" t="s">
        <v>11992</v>
      </c>
      <c r="J5040" s="3" t="str">
        <f>HYPERLINK("https://www.boe.es/gazeta/dias/1816/04/09/pdfs/GMD-1816-46.pdf#page=6","Abrir facsímil")</f>
        <v>Abrir facsímil</v>
      </c>
      <c r="K5040" s="3" t="s">
        <v>23</v>
      </c>
    </row>
    <row r="5041" spans="1:11" ht="42" customHeight="1">
      <c r="A5041" s="2" t="s">
        <v>11993</v>
      </c>
      <c r="B5041" s="2" t="s">
        <v>11994</v>
      </c>
      <c r="C5041" s="2" t="s">
        <v>26</v>
      </c>
      <c r="D5041" s="2" t="s">
        <v>18</v>
      </c>
      <c r="E5041" s="5">
        <v>-30438</v>
      </c>
      <c r="F5041" s="3" t="s">
        <v>299</v>
      </c>
      <c r="G5041" s="3" t="s">
        <v>300</v>
      </c>
      <c r="H5041" s="2" t="s">
        <v>21</v>
      </c>
      <c r="I5041" s="2" t="s">
        <v>11995</v>
      </c>
      <c r="J5041" s="3" t="str">
        <f>HYPERLINK("https://www.boe.es/gazeta/dias/1816/08/29/pdfs/GMD-1816-107.pdf#page=12","Abrir facsímil")</f>
        <v>Abrir facsímil</v>
      </c>
      <c r="K5041" s="3" t="s">
        <v>23</v>
      </c>
    </row>
    <row r="5042" spans="1:11" ht="42" customHeight="1"/>
    <row r="5043" spans="1:11" ht="42" customHeight="1"/>
    <row r="5044" spans="1:11" ht="42" customHeight="1"/>
    <row r="5045" spans="1:11" ht="42" customHeight="1"/>
    <row r="5046" spans="1:11" ht="42" customHeight="1"/>
    <row r="5047" spans="1:11" ht="42" customHeight="1"/>
    <row r="5048" spans="1:11" ht="42" customHeight="1"/>
    <row r="5049" spans="1:11" ht="42" customHeight="1"/>
    <row r="5050" spans="1:11" ht="42" customHeight="1"/>
    <row r="5051" spans="1:11" ht="42" customHeight="1"/>
    <row r="5052" spans="1:11" ht="42" customHeight="1"/>
    <row r="5053" spans="1:11" ht="42" customHeight="1"/>
    <row r="5054" spans="1:11" ht="42" customHeight="1"/>
    <row r="5055" spans="1:11" ht="42" customHeight="1"/>
    <row r="5056" spans="1:11" ht="42" customHeight="1"/>
    <row r="5057" ht="42" customHeight="1"/>
    <row r="5058" ht="42" customHeight="1"/>
    <row r="5059" ht="42" customHeight="1"/>
    <row r="5060" ht="42" customHeight="1"/>
    <row r="5061" ht="42" customHeight="1"/>
    <row r="5062" ht="42" customHeight="1"/>
    <row r="5063" ht="42" customHeight="1"/>
    <row r="5064" ht="42" customHeight="1"/>
    <row r="5065" ht="42" customHeight="1"/>
    <row r="5066" ht="42" customHeight="1"/>
    <row r="5067" ht="42" customHeight="1"/>
    <row r="5068" ht="42" customHeight="1"/>
    <row r="5069" ht="42" customHeight="1"/>
    <row r="5070" ht="42" customHeight="1"/>
    <row r="5071" ht="42" customHeight="1"/>
    <row r="5072" ht="42" customHeight="1"/>
    <row r="5073" ht="42" customHeight="1"/>
    <row r="5074" ht="42" customHeight="1"/>
    <row r="5075" ht="42" customHeight="1"/>
    <row r="5076" ht="42" customHeight="1"/>
    <row r="5077" ht="42" customHeight="1"/>
    <row r="5078" ht="42" customHeight="1"/>
    <row r="5079" ht="42" customHeight="1"/>
    <row r="5080" ht="42" customHeight="1"/>
    <row r="5081" ht="42" customHeight="1"/>
    <row r="5082" ht="42" customHeight="1"/>
    <row r="5083" ht="42" customHeight="1"/>
    <row r="5084" ht="42" customHeight="1"/>
    <row r="5085" ht="42" customHeight="1"/>
    <row r="5086" ht="42" customHeight="1"/>
    <row r="5087" ht="42" customHeight="1"/>
    <row r="5088" ht="42" customHeight="1"/>
    <row r="5089" ht="42" customHeight="1"/>
    <row r="5090" ht="42" customHeight="1"/>
    <row r="5091" ht="42" customHeight="1"/>
    <row r="5092" ht="42" customHeight="1"/>
    <row r="5093" ht="42" customHeight="1"/>
    <row r="5094" ht="42" customHeight="1"/>
    <row r="5095" ht="42" customHeight="1"/>
    <row r="5096" ht="42" customHeight="1"/>
    <row r="5097" ht="42" customHeight="1"/>
    <row r="5098" ht="42" customHeight="1"/>
    <row r="5099" ht="42" customHeight="1"/>
    <row r="5100" ht="42" customHeight="1"/>
    <row r="5101" ht="42" customHeight="1"/>
    <row r="5102" ht="42" customHeight="1"/>
    <row r="5103" ht="42" customHeight="1"/>
    <row r="5104" ht="42" customHeight="1"/>
    <row r="5105" ht="42" customHeight="1"/>
    <row r="5106" ht="42" customHeight="1"/>
    <row r="5107" ht="42" customHeight="1"/>
    <row r="5108" ht="42" customHeight="1"/>
    <row r="5109" ht="42" customHeight="1"/>
    <row r="5110" ht="42" customHeight="1"/>
    <row r="5111" ht="42" customHeight="1"/>
    <row r="5112" ht="42" customHeight="1"/>
    <row r="5113" ht="42" customHeight="1"/>
    <row r="5114" ht="42" customHeight="1"/>
    <row r="5115" ht="42" customHeight="1"/>
    <row r="5116" ht="42" customHeight="1"/>
    <row r="5117" ht="42" customHeight="1"/>
    <row r="5118" ht="42" customHeight="1"/>
    <row r="5119" ht="42" customHeight="1"/>
    <row r="5120" ht="42" customHeight="1"/>
    <row r="5121" ht="42" customHeight="1"/>
    <row r="5122" ht="42" customHeight="1"/>
    <row r="5123" ht="42" customHeight="1"/>
    <row r="5124" ht="42" customHeight="1"/>
    <row r="5125" ht="42" customHeight="1"/>
    <row r="5126" ht="42" customHeight="1"/>
    <row r="5127" ht="42" customHeight="1"/>
    <row r="5128" ht="42" customHeight="1"/>
    <row r="5129" ht="42" customHeight="1"/>
    <row r="5130" ht="42" customHeight="1"/>
    <row r="5131" ht="42" customHeight="1"/>
    <row r="5132" ht="42" customHeight="1"/>
    <row r="5133" ht="42" customHeight="1"/>
    <row r="5134" ht="42" customHeight="1"/>
    <row r="5135" ht="42" customHeight="1"/>
    <row r="5136" ht="42" customHeight="1"/>
    <row r="5137" ht="42" customHeight="1"/>
    <row r="5138" ht="42" customHeight="1"/>
    <row r="5139" ht="42" customHeight="1"/>
    <row r="5140" ht="42" customHeight="1"/>
    <row r="5141" ht="42" customHeight="1"/>
    <row r="5142" ht="42" customHeight="1"/>
    <row r="5143" ht="42" customHeight="1"/>
    <row r="5144" ht="42" customHeight="1"/>
    <row r="5145" ht="42" customHeight="1"/>
    <row r="5146" ht="42" customHeight="1"/>
    <row r="5147" ht="42" customHeight="1"/>
    <row r="5148" ht="42" customHeight="1"/>
    <row r="5149" ht="42" customHeight="1"/>
    <row r="5150" ht="42" customHeight="1"/>
    <row r="5151" ht="42" customHeight="1"/>
    <row r="5152" ht="42" customHeight="1"/>
    <row r="5153" ht="42" customHeight="1"/>
    <row r="5154" ht="42" customHeight="1"/>
    <row r="5155" ht="42" customHeight="1"/>
    <row r="5156" ht="42" customHeight="1"/>
    <row r="5157" ht="42" customHeight="1"/>
    <row r="5158" ht="42" customHeight="1"/>
    <row r="5159" ht="42" customHeight="1"/>
    <row r="5160" ht="42" customHeight="1"/>
    <row r="5161" ht="42" customHeight="1"/>
    <row r="5162" ht="42" customHeight="1"/>
    <row r="5163" ht="42" customHeight="1"/>
    <row r="5164" ht="42" customHeight="1"/>
    <row r="5165" ht="42" customHeight="1"/>
    <row r="5166" ht="42" customHeight="1"/>
    <row r="5167" ht="42" customHeight="1"/>
    <row r="5168" ht="42" customHeight="1"/>
    <row r="5169" ht="42" customHeight="1"/>
    <row r="5170" ht="42" customHeight="1"/>
    <row r="5171" ht="42" customHeight="1"/>
    <row r="5172" ht="42" customHeight="1"/>
    <row r="5173" ht="42" customHeight="1"/>
    <row r="5174" ht="42" customHeight="1"/>
    <row r="5175" ht="42" customHeight="1"/>
    <row r="5176" ht="42" customHeight="1"/>
    <row r="5177" ht="42" customHeight="1"/>
    <row r="5178" ht="42" customHeight="1"/>
    <row r="5179" ht="42" customHeight="1"/>
    <row r="5180" ht="42" customHeight="1"/>
    <row r="5181" ht="42" customHeight="1"/>
    <row r="5182" ht="42" customHeight="1"/>
    <row r="5183" ht="42" customHeight="1"/>
    <row r="5184" ht="42" customHeight="1"/>
    <row r="5185" ht="42" customHeight="1"/>
    <row r="5186" ht="42" customHeight="1"/>
    <row r="5187" ht="42" customHeight="1"/>
    <row r="5188" ht="42" customHeight="1"/>
    <row r="5189" ht="42" customHeight="1"/>
    <row r="5190" ht="42" customHeight="1"/>
    <row r="5191" ht="42" customHeight="1"/>
    <row r="5192" ht="42" customHeight="1"/>
    <row r="5193" ht="42" customHeight="1"/>
    <row r="5194" ht="42" customHeight="1"/>
    <row r="5195" ht="42" customHeight="1"/>
    <row r="5196" ht="42" customHeight="1"/>
    <row r="5197" ht="42" customHeight="1"/>
    <row r="5198" ht="42" customHeight="1"/>
    <row r="5199" ht="42" customHeight="1"/>
    <row r="5200" ht="42" customHeight="1"/>
    <row r="5201" ht="42" customHeight="1"/>
    <row r="5202" ht="42" customHeight="1"/>
    <row r="5203" ht="42" customHeight="1"/>
    <row r="5204" ht="42" customHeight="1"/>
    <row r="5205" ht="42" customHeight="1"/>
    <row r="5206" ht="42" customHeight="1"/>
    <row r="5207" ht="42" customHeight="1"/>
    <row r="5208" ht="42" customHeight="1"/>
    <row r="5209" ht="42" customHeight="1"/>
    <row r="5210" ht="42" customHeight="1"/>
    <row r="5211" ht="42" customHeight="1"/>
    <row r="5212" ht="42" customHeight="1"/>
    <row r="5213" ht="42" customHeight="1"/>
    <row r="5214" ht="42" customHeight="1"/>
    <row r="5215" ht="42" customHeight="1"/>
    <row r="5216" ht="42" customHeight="1"/>
    <row r="5217" ht="42" customHeight="1"/>
    <row r="5218" ht="42" customHeight="1"/>
    <row r="5219" ht="42" customHeight="1"/>
    <row r="5220" ht="42" customHeight="1"/>
    <row r="5221" ht="42" customHeight="1"/>
    <row r="5222" ht="42" customHeight="1"/>
    <row r="5223" ht="42" customHeight="1"/>
    <row r="5224" ht="42" customHeight="1"/>
    <row r="5225" ht="42" customHeight="1"/>
    <row r="5226" ht="42" customHeight="1"/>
    <row r="5227" ht="42" customHeight="1"/>
    <row r="5228" ht="42" customHeight="1"/>
    <row r="5229" ht="42" customHeight="1"/>
    <row r="5230" ht="42" customHeight="1"/>
    <row r="5231" ht="42" customHeight="1"/>
    <row r="5232" ht="42" customHeight="1"/>
    <row r="5233" ht="42" customHeight="1"/>
    <row r="5234" ht="42" customHeight="1"/>
    <row r="5235" ht="42" customHeight="1"/>
    <row r="5236" ht="42" customHeight="1"/>
    <row r="5237" ht="42" customHeight="1"/>
    <row r="5238" ht="42" customHeight="1"/>
    <row r="5239" ht="42" customHeight="1"/>
    <row r="5240" ht="42" customHeight="1"/>
    <row r="5241" ht="42" customHeight="1"/>
    <row r="5242" ht="42" customHeight="1"/>
    <row r="5243" ht="42" customHeight="1"/>
    <row r="5244" ht="42" customHeight="1"/>
    <row r="5245" ht="42" customHeight="1"/>
    <row r="5246" ht="42" customHeight="1"/>
    <row r="5247" ht="42" customHeight="1"/>
    <row r="5248" ht="42" customHeight="1"/>
    <row r="5249" ht="42" customHeight="1"/>
    <row r="5250" ht="42" customHeight="1"/>
    <row r="5251" ht="42" customHeight="1"/>
    <row r="5252" ht="42" customHeight="1"/>
    <row r="5253" ht="42" customHeight="1"/>
    <row r="5254" ht="42" customHeight="1"/>
    <row r="5255" ht="42" customHeight="1"/>
    <row r="5256" ht="42" customHeight="1"/>
    <row r="5257" ht="42" customHeight="1"/>
    <row r="5258" ht="42" customHeight="1"/>
    <row r="5259" ht="42" customHeight="1"/>
    <row r="5260" ht="42" customHeight="1"/>
    <row r="5261" ht="42" customHeight="1"/>
    <row r="5262" ht="42" customHeight="1"/>
    <row r="5263" ht="42" customHeight="1"/>
    <row r="5264" ht="42" customHeight="1"/>
    <row r="5265" ht="42" customHeight="1"/>
    <row r="5266" ht="42" customHeight="1"/>
    <row r="5267" ht="42" customHeight="1"/>
    <row r="5268" ht="42" customHeight="1"/>
    <row r="5269" ht="42" customHeight="1"/>
    <row r="5270" ht="42" customHeight="1"/>
    <row r="5271" ht="42" customHeight="1"/>
    <row r="5272" ht="42" customHeight="1"/>
    <row r="5273" ht="42" customHeight="1"/>
    <row r="5274" ht="42" customHeight="1"/>
    <row r="5275" ht="42" customHeight="1"/>
    <row r="5276" ht="42" customHeight="1"/>
    <row r="5277" ht="42" customHeight="1"/>
    <row r="5278" ht="42" customHeight="1"/>
    <row r="5279" ht="42" customHeight="1"/>
    <row r="5280" ht="42" customHeight="1"/>
    <row r="5281" ht="42" customHeight="1"/>
    <row r="5282" ht="42" customHeight="1"/>
    <row r="5283" ht="42" customHeight="1"/>
    <row r="5284" ht="42" customHeight="1"/>
    <row r="5285" ht="42" customHeight="1"/>
    <row r="5286" ht="42" customHeight="1"/>
    <row r="5287" ht="42" customHeight="1"/>
    <row r="5288" ht="42" customHeight="1"/>
    <row r="5289" ht="42" customHeight="1"/>
    <row r="5290" ht="42" customHeight="1"/>
    <row r="5291" ht="42" customHeight="1"/>
    <row r="5292" ht="42" customHeight="1"/>
    <row r="5293" ht="42" customHeight="1"/>
    <row r="5294" ht="42" customHeight="1"/>
    <row r="5295" ht="42" customHeight="1"/>
    <row r="5296" ht="42" customHeight="1"/>
    <row r="5297" ht="42" customHeight="1"/>
    <row r="5298" ht="42" customHeight="1"/>
    <row r="5299" ht="42" customHeight="1"/>
    <row r="5300" ht="42" customHeight="1"/>
    <row r="5301" ht="42" customHeight="1"/>
    <row r="5302" ht="42" customHeight="1"/>
    <row r="5303" ht="42" customHeight="1"/>
    <row r="5304" ht="42" customHeight="1"/>
    <row r="5305" ht="42" customHeight="1"/>
    <row r="5306" ht="42" customHeight="1"/>
    <row r="5307" ht="42" customHeight="1"/>
    <row r="5308" ht="42" customHeight="1"/>
    <row r="5309" ht="42" customHeight="1"/>
    <row r="5310" ht="42" customHeight="1"/>
    <row r="5311" ht="42" customHeight="1"/>
    <row r="5312" ht="42" customHeight="1"/>
    <row r="5313" ht="42" customHeight="1"/>
    <row r="5314" ht="42" customHeight="1"/>
    <row r="5315" ht="42" customHeight="1"/>
    <row r="5316" ht="42" customHeight="1"/>
    <row r="5317" ht="42" customHeight="1"/>
    <row r="5318" ht="42" customHeight="1"/>
    <row r="5319" ht="42" customHeight="1"/>
    <row r="5320" ht="42" customHeight="1"/>
    <row r="5321" ht="42" customHeight="1"/>
    <row r="5322" ht="42" customHeight="1"/>
    <row r="5323" ht="42" customHeight="1"/>
    <row r="5324" ht="42" customHeight="1"/>
    <row r="5325" ht="42" customHeight="1"/>
    <row r="5326" ht="42" customHeight="1"/>
    <row r="5327" ht="42" customHeight="1"/>
    <row r="5328" ht="42" customHeight="1"/>
    <row r="5329" ht="42" customHeight="1"/>
    <row r="5330" ht="42" customHeight="1"/>
    <row r="5331" ht="42" customHeight="1"/>
    <row r="5332" ht="42" customHeight="1"/>
    <row r="5333" ht="42" customHeight="1"/>
    <row r="5334" ht="42" customHeight="1"/>
    <row r="5335" ht="42" customHeight="1"/>
    <row r="5336" ht="42" customHeight="1"/>
    <row r="5337" ht="42" customHeight="1"/>
    <row r="5338" ht="42" customHeight="1"/>
    <row r="5339" ht="42" customHeight="1"/>
    <row r="5340" ht="42" customHeight="1"/>
    <row r="5341" ht="42" customHeight="1"/>
    <row r="5342" ht="42" customHeight="1"/>
    <row r="5343" ht="42" customHeight="1"/>
    <row r="5344" ht="42" customHeight="1"/>
    <row r="5345" ht="42" customHeight="1"/>
    <row r="5346" ht="42" customHeight="1"/>
    <row r="5347" ht="42" customHeight="1"/>
    <row r="5348" ht="42" customHeight="1"/>
    <row r="5349" ht="42" customHeight="1"/>
    <row r="5350" ht="42" customHeight="1"/>
    <row r="5351" ht="42" customHeight="1"/>
    <row r="5352" ht="42" customHeight="1"/>
    <row r="5353" ht="42" customHeight="1"/>
    <row r="5354" ht="42" customHeight="1"/>
    <row r="5355" ht="42" customHeight="1"/>
    <row r="5356" ht="42" customHeight="1"/>
    <row r="5357" ht="42" customHeight="1"/>
    <row r="5358" ht="42" customHeight="1"/>
    <row r="5359" ht="42" customHeight="1"/>
    <row r="5360" ht="42" customHeight="1"/>
    <row r="5361" ht="42" customHeight="1"/>
    <row r="5362" ht="42" customHeight="1"/>
    <row r="5363" ht="42" customHeight="1"/>
    <row r="5364" ht="42" customHeight="1"/>
    <row r="5365" ht="42" customHeight="1"/>
    <row r="5366" ht="42" customHeight="1"/>
    <row r="5367" ht="42" customHeight="1"/>
    <row r="5368" ht="42" customHeight="1"/>
    <row r="5369" ht="42" customHeight="1"/>
    <row r="5370" ht="42" customHeight="1"/>
    <row r="5371" ht="42" customHeight="1"/>
    <row r="5372" ht="42" customHeight="1"/>
    <row r="5373" ht="42" customHeight="1"/>
    <row r="5374" ht="42" customHeight="1"/>
    <row r="5375" ht="42" customHeight="1"/>
    <row r="5376" ht="42" customHeight="1"/>
    <row r="5377" ht="42" customHeight="1"/>
    <row r="5378" ht="42" customHeight="1"/>
    <row r="5379" ht="42" customHeight="1"/>
    <row r="5380" ht="42" customHeight="1"/>
    <row r="5381" ht="42" customHeight="1"/>
    <row r="5382" ht="42" customHeight="1"/>
    <row r="5383" ht="42" customHeight="1"/>
    <row r="5384" ht="42" customHeight="1"/>
    <row r="5385" ht="42" customHeight="1"/>
    <row r="5386" ht="42" customHeight="1"/>
    <row r="5387" ht="42" customHeight="1"/>
    <row r="5388" ht="42" customHeight="1"/>
    <row r="5389" ht="42" customHeight="1"/>
    <row r="5390" ht="42" customHeight="1"/>
    <row r="5391" ht="42" customHeight="1"/>
    <row r="5392" ht="42" customHeight="1"/>
    <row r="5393" ht="42" customHeight="1"/>
    <row r="5394" ht="42" customHeight="1"/>
    <row r="5395" ht="42" customHeight="1"/>
    <row r="5396" ht="42" customHeight="1"/>
    <row r="5397" ht="42" customHeight="1"/>
    <row r="5398" ht="42" customHeight="1"/>
    <row r="5399" ht="42" customHeight="1"/>
    <row r="5400" ht="42" customHeight="1"/>
    <row r="5401" ht="42" customHeight="1"/>
    <row r="5402" ht="42" customHeight="1"/>
    <row r="5403" ht="42" customHeight="1"/>
    <row r="5404" ht="42" customHeight="1"/>
    <row r="5405" ht="42" customHeight="1"/>
    <row r="5406" ht="42" customHeight="1"/>
    <row r="5407" ht="42" customHeight="1"/>
    <row r="5408" ht="42" customHeight="1"/>
    <row r="5409" ht="42" customHeight="1"/>
    <row r="5410" ht="42" customHeight="1"/>
    <row r="5411" ht="42" customHeight="1"/>
    <row r="5412" ht="42" customHeight="1"/>
    <row r="5413" ht="42" customHeight="1"/>
    <row r="5414" ht="42" customHeight="1"/>
    <row r="5415" ht="42" customHeight="1"/>
    <row r="5416" ht="42" customHeight="1"/>
    <row r="5417" ht="42" customHeight="1"/>
    <row r="5418" ht="42" customHeight="1"/>
    <row r="5419" ht="42" customHeight="1"/>
    <row r="5420" ht="42" customHeight="1"/>
    <row r="5421" ht="42" customHeight="1"/>
    <row r="5422" ht="42" customHeight="1"/>
    <row r="5423" ht="42" customHeight="1"/>
    <row r="5424" ht="42" customHeight="1"/>
    <row r="5425" ht="42" customHeight="1"/>
    <row r="5426" ht="42" customHeight="1"/>
    <row r="5427" ht="42" customHeight="1"/>
    <row r="5428" ht="42" customHeight="1"/>
    <row r="5429" ht="42" customHeight="1"/>
    <row r="5430" ht="42" customHeight="1"/>
    <row r="5431" ht="42" customHeight="1"/>
    <row r="5432" ht="42" customHeight="1"/>
    <row r="5433" ht="42" customHeight="1"/>
    <row r="5434" ht="42" customHeight="1"/>
    <row r="5435" ht="42" customHeight="1"/>
    <row r="5436" ht="42" customHeight="1"/>
    <row r="5437" ht="42" customHeight="1"/>
    <row r="5438" ht="42" customHeight="1"/>
    <row r="5439" ht="42" customHeight="1"/>
    <row r="5440" ht="42" customHeight="1"/>
    <row r="5441" ht="42" customHeight="1"/>
    <row r="5442" ht="42" customHeight="1"/>
    <row r="5443" ht="42" customHeight="1"/>
    <row r="5444" ht="42" customHeight="1"/>
    <row r="5445" ht="42" customHeight="1"/>
    <row r="5446" ht="42" customHeight="1"/>
    <row r="5447" ht="42" customHeight="1"/>
    <row r="5448" ht="42" customHeight="1"/>
    <row r="5449" ht="42" customHeight="1"/>
    <row r="5450" ht="42" customHeight="1"/>
    <row r="5451" ht="42" customHeight="1"/>
    <row r="5452" ht="42" customHeight="1"/>
    <row r="5453" ht="42" customHeight="1"/>
    <row r="5454" ht="42" customHeight="1"/>
    <row r="5455" ht="42" customHeight="1"/>
    <row r="5456" ht="42" customHeight="1"/>
    <row r="5457" ht="42" customHeight="1"/>
    <row r="5458" ht="42" customHeight="1"/>
    <row r="5459" ht="42" customHeight="1"/>
    <row r="5460" ht="42" customHeight="1"/>
    <row r="5461" ht="42" customHeight="1"/>
    <row r="5462" ht="42" customHeight="1"/>
    <row r="5463" ht="42" customHeight="1"/>
    <row r="5464" ht="42" customHeight="1"/>
    <row r="5465" ht="42" customHeight="1"/>
    <row r="5466" ht="42" customHeight="1"/>
    <row r="5467" ht="42" customHeight="1"/>
    <row r="5468" ht="42" customHeight="1"/>
    <row r="5469" ht="42" customHeight="1"/>
    <row r="5470" ht="42" customHeight="1"/>
    <row r="5471" ht="42" customHeight="1"/>
    <row r="5472" ht="42" customHeight="1"/>
    <row r="5473" ht="42" customHeight="1"/>
    <row r="5474" ht="42" customHeight="1"/>
    <row r="5475" ht="42" customHeight="1"/>
    <row r="5476" ht="42" customHeight="1"/>
    <row r="5477" ht="42" customHeight="1"/>
    <row r="5478" ht="42" customHeight="1"/>
    <row r="5479" ht="42" customHeight="1"/>
    <row r="5480" ht="42" customHeight="1"/>
    <row r="5481" ht="42" customHeight="1"/>
    <row r="5482" ht="42" customHeight="1"/>
    <row r="5483" ht="42" customHeight="1"/>
    <row r="5484" ht="42" customHeight="1"/>
    <row r="5485" ht="42" customHeight="1"/>
    <row r="5486" ht="42" customHeight="1"/>
    <row r="5487" ht="42" customHeight="1"/>
    <row r="5488" ht="42" customHeight="1"/>
    <row r="5489" ht="42" customHeight="1"/>
    <row r="5490" ht="42" customHeight="1"/>
    <row r="5491" ht="42" customHeight="1"/>
    <row r="5492" ht="42" customHeight="1"/>
    <row r="5493" ht="42" customHeight="1"/>
    <row r="5494" ht="42" customHeight="1"/>
    <row r="5495" ht="42" customHeight="1"/>
    <row r="5496" ht="42" customHeight="1"/>
    <row r="5497" ht="42" customHeight="1"/>
    <row r="5498" ht="42" customHeight="1"/>
    <row r="5499" ht="42" customHeight="1"/>
    <row r="5500" ht="42" customHeight="1"/>
    <row r="5501" ht="42" customHeight="1"/>
    <row r="5502" ht="42" customHeight="1"/>
    <row r="5503" ht="42" customHeight="1"/>
    <row r="5504" ht="42" customHeight="1"/>
    <row r="5505" ht="42" customHeight="1"/>
    <row r="5506" ht="42" customHeight="1"/>
    <row r="5507" ht="42" customHeight="1"/>
    <row r="5508" ht="42" customHeight="1"/>
    <row r="5509" ht="42" customHeight="1"/>
    <row r="5510" ht="42" customHeight="1"/>
    <row r="5511" ht="42" customHeight="1"/>
    <row r="5512" ht="42" customHeight="1"/>
    <row r="5513" ht="42" customHeight="1"/>
    <row r="5514" ht="42" customHeight="1"/>
    <row r="5515" ht="42" customHeight="1"/>
    <row r="5516" ht="42" customHeight="1"/>
    <row r="5517" ht="42" customHeight="1"/>
    <row r="5518" ht="42" customHeight="1"/>
    <row r="5519" ht="42" customHeight="1"/>
    <row r="5520" ht="42" customHeight="1"/>
    <row r="5521" ht="42" customHeight="1"/>
    <row r="5522" ht="42" customHeight="1"/>
    <row r="5523" ht="42" customHeight="1"/>
    <row r="5524" ht="42" customHeight="1"/>
    <row r="5525" ht="42" customHeight="1"/>
    <row r="5526" ht="42" customHeight="1"/>
    <row r="5527" ht="42" customHeight="1"/>
    <row r="5528" ht="42" customHeight="1"/>
    <row r="5529" ht="42" customHeight="1"/>
    <row r="5530" ht="42" customHeight="1"/>
    <row r="5531" ht="42" customHeight="1"/>
    <row r="5532" ht="42" customHeight="1"/>
    <row r="5533" ht="42" customHeight="1"/>
    <row r="5534" ht="42" customHeight="1"/>
    <row r="5535" ht="42" customHeight="1"/>
    <row r="5536" ht="42" customHeight="1"/>
    <row r="5537" ht="42" customHeight="1"/>
    <row r="5538" ht="42" customHeight="1"/>
    <row r="5539" ht="42" customHeight="1"/>
    <row r="5540" ht="42" customHeight="1"/>
    <row r="5541" ht="42" customHeight="1"/>
    <row r="5542" ht="42" customHeight="1"/>
    <row r="5543" ht="42" customHeight="1"/>
    <row r="5544" ht="42" customHeight="1"/>
    <row r="5545" ht="42" customHeight="1"/>
    <row r="5546" ht="42" customHeight="1"/>
    <row r="5547" ht="42" customHeight="1"/>
    <row r="5548" ht="42" customHeight="1"/>
    <row r="5549" ht="42" customHeight="1"/>
    <row r="5550" ht="42" customHeight="1"/>
    <row r="5551" ht="42" customHeight="1"/>
    <row r="5552" ht="42" customHeight="1"/>
    <row r="5553" ht="42" customHeight="1"/>
    <row r="5554" ht="42" customHeight="1"/>
    <row r="5555" ht="42" customHeight="1"/>
    <row r="5556" ht="42" customHeight="1"/>
    <row r="5557" ht="42" customHeight="1"/>
    <row r="5558" ht="42" customHeight="1"/>
    <row r="5559" ht="42" customHeight="1"/>
    <row r="5560" ht="42" customHeight="1"/>
    <row r="5561" ht="42" customHeight="1"/>
    <row r="5562" ht="42" customHeight="1"/>
    <row r="5563" ht="42" customHeight="1"/>
    <row r="5564" ht="42" customHeight="1"/>
    <row r="5565" ht="42" customHeight="1"/>
    <row r="5566" ht="42" customHeight="1"/>
    <row r="5567" ht="42" customHeight="1"/>
    <row r="5568" ht="42" customHeight="1"/>
    <row r="5569" ht="42" customHeight="1"/>
    <row r="5570" ht="42" customHeight="1"/>
    <row r="5571" ht="42" customHeight="1"/>
    <row r="5572" ht="42" customHeight="1"/>
    <row r="5573" ht="42" customHeight="1"/>
    <row r="5574" ht="42" customHeight="1"/>
    <row r="5575" ht="42" customHeight="1"/>
    <row r="5576" ht="42" customHeight="1"/>
    <row r="5577" ht="42" customHeight="1"/>
    <row r="5578" ht="42" customHeight="1"/>
    <row r="5579" ht="42" customHeight="1"/>
    <row r="5580" ht="42" customHeight="1"/>
    <row r="5581" ht="42" customHeight="1"/>
    <row r="5582" ht="42" customHeight="1"/>
    <row r="5583" ht="42" customHeight="1"/>
    <row r="5584" ht="42" customHeight="1"/>
    <row r="5585" ht="42" customHeight="1"/>
    <row r="5586" ht="42" customHeight="1"/>
    <row r="5587" ht="42" customHeight="1"/>
    <row r="5588" ht="42" customHeight="1"/>
    <row r="5589" ht="42" customHeight="1"/>
    <row r="5590" ht="42" customHeight="1"/>
    <row r="5591" ht="42" customHeight="1"/>
    <row r="5592" ht="42" customHeight="1"/>
    <row r="5593" ht="42" customHeight="1"/>
    <row r="5594" ht="42" customHeight="1"/>
    <row r="5595" ht="42" customHeight="1"/>
    <row r="5596" ht="42" customHeight="1"/>
    <row r="5597" ht="42" customHeight="1"/>
    <row r="5598" ht="42" customHeight="1"/>
    <row r="5599" ht="42" customHeight="1"/>
    <row r="5600" ht="42" customHeight="1"/>
    <row r="5601" ht="42" customHeight="1"/>
    <row r="5602" ht="42" customHeight="1"/>
    <row r="5603" ht="42" customHeight="1"/>
    <row r="5604" ht="42" customHeight="1"/>
    <row r="5605" ht="42" customHeight="1"/>
    <row r="5606" ht="42" customHeight="1"/>
    <row r="5607" ht="42" customHeight="1"/>
    <row r="5608" ht="42" customHeight="1"/>
    <row r="5609" ht="42" customHeight="1"/>
    <row r="5610" ht="42" customHeight="1"/>
    <row r="5611" ht="42" customHeight="1"/>
    <row r="5612" ht="42" customHeight="1"/>
    <row r="5613" ht="42" customHeight="1"/>
    <row r="5614" ht="42" customHeight="1"/>
    <row r="5615" ht="42" customHeight="1"/>
    <row r="5616" ht="42" customHeight="1"/>
    <row r="5617" ht="42" customHeight="1"/>
    <row r="5618" ht="42" customHeight="1"/>
    <row r="5619" ht="42" customHeight="1"/>
    <row r="5620" ht="42" customHeight="1"/>
    <row r="5621" ht="42" customHeight="1"/>
    <row r="5622" ht="42" customHeight="1"/>
    <row r="5623" ht="42" customHeight="1"/>
    <row r="5624" ht="42" customHeight="1"/>
    <row r="5625" ht="42" customHeight="1"/>
    <row r="5626" ht="42" customHeight="1"/>
    <row r="5627" ht="42" customHeight="1"/>
    <row r="5628" ht="42" customHeight="1"/>
    <row r="5629" ht="42" customHeight="1"/>
    <row r="5630" ht="42" customHeight="1"/>
    <row r="5631" ht="42" customHeight="1"/>
    <row r="5632" ht="42" customHeight="1"/>
    <row r="5633" ht="42" customHeight="1"/>
    <row r="5634" ht="42" customHeight="1"/>
    <row r="5635" ht="42" customHeight="1"/>
    <row r="5636" ht="42" customHeight="1"/>
    <row r="5637" ht="42" customHeight="1"/>
    <row r="5638" ht="42" customHeight="1"/>
    <row r="5639" ht="42" customHeight="1"/>
    <row r="5640" ht="42" customHeight="1"/>
    <row r="5641" ht="42" customHeight="1"/>
    <row r="5642" ht="42" customHeight="1"/>
    <row r="5643" ht="42" customHeight="1"/>
    <row r="5644" ht="42" customHeight="1"/>
    <row r="5645" ht="42" customHeight="1"/>
    <row r="5646" ht="42" customHeight="1"/>
    <row r="5647" ht="42" customHeight="1"/>
    <row r="5648" ht="42" customHeight="1"/>
    <row r="5649" ht="42" customHeight="1"/>
    <row r="5650" ht="42" customHeight="1"/>
    <row r="5651" ht="42" customHeight="1"/>
    <row r="5652" ht="42" customHeight="1"/>
    <row r="5653" ht="42" customHeight="1"/>
    <row r="5654" ht="42" customHeight="1"/>
    <row r="5655" ht="42" customHeight="1"/>
    <row r="5656" ht="42" customHeight="1"/>
    <row r="5657" ht="42" customHeight="1"/>
    <row r="5658" ht="42" customHeight="1"/>
    <row r="5659" ht="42" customHeight="1"/>
    <row r="5660" ht="42" customHeight="1"/>
    <row r="5661" ht="42" customHeight="1"/>
    <row r="5662" ht="42" customHeight="1"/>
    <row r="5663" ht="42" customHeight="1"/>
    <row r="5664" ht="42" customHeight="1"/>
    <row r="5665" ht="42" customHeight="1"/>
    <row r="5666" ht="42" customHeight="1"/>
    <row r="5667" ht="42" customHeight="1"/>
    <row r="5668" ht="42" customHeight="1"/>
    <row r="5669" ht="42" customHeight="1"/>
    <row r="5670" ht="42" customHeight="1"/>
    <row r="5671" ht="42" customHeight="1"/>
    <row r="5672" ht="42" customHeight="1"/>
    <row r="5673" ht="42" customHeight="1"/>
    <row r="5674" ht="42" customHeight="1"/>
    <row r="5675" ht="42" customHeight="1"/>
    <row r="5676" ht="42" customHeight="1"/>
    <row r="5677" ht="42" customHeight="1"/>
    <row r="5678" ht="42" customHeight="1"/>
    <row r="5679" ht="42" customHeight="1"/>
    <row r="5680" ht="42" customHeight="1"/>
    <row r="5681" ht="42" customHeight="1"/>
    <row r="5682" ht="42" customHeight="1"/>
    <row r="5683" ht="42" customHeight="1"/>
    <row r="5684" ht="42" customHeight="1"/>
    <row r="5685" ht="42" customHeight="1"/>
    <row r="5686" ht="42" customHeight="1"/>
    <row r="5687" ht="42" customHeight="1"/>
    <row r="5688" ht="42" customHeight="1"/>
    <row r="5689" ht="42" customHeight="1"/>
    <row r="5690" ht="42" customHeight="1"/>
    <row r="5691" ht="42" customHeight="1"/>
    <row r="5692" ht="42" customHeight="1"/>
    <row r="5693" ht="42" customHeight="1"/>
    <row r="5694" ht="42" customHeight="1"/>
    <row r="5695" ht="42" customHeight="1"/>
    <row r="5696" ht="42" customHeight="1"/>
    <row r="5697" ht="42" customHeight="1"/>
    <row r="5698" ht="42" customHeight="1"/>
    <row r="5699" ht="42" customHeight="1"/>
    <row r="5700" ht="42" customHeight="1"/>
    <row r="5701" ht="42" customHeight="1"/>
    <row r="5702" ht="42" customHeight="1"/>
    <row r="5703" ht="42" customHeight="1"/>
    <row r="5704" ht="42" customHeight="1"/>
    <row r="5705" ht="42" customHeight="1"/>
    <row r="5706" ht="42" customHeight="1"/>
    <row r="5707" ht="42" customHeight="1"/>
    <row r="5708" ht="42" customHeight="1"/>
    <row r="5709" ht="42" customHeight="1"/>
    <row r="5710" ht="42" customHeight="1"/>
    <row r="5711" ht="42" customHeight="1"/>
    <row r="5712" ht="42" customHeight="1"/>
    <row r="5713" ht="42" customHeight="1"/>
    <row r="5714" ht="42" customHeight="1"/>
    <row r="5715" ht="42" customHeight="1"/>
    <row r="5716" ht="42" customHeight="1"/>
    <row r="5717" ht="42" customHeight="1"/>
    <row r="5718" ht="42" customHeight="1"/>
    <row r="5719" ht="42" customHeight="1"/>
    <row r="5720" ht="42" customHeight="1"/>
    <row r="5721" ht="42" customHeight="1"/>
    <row r="5722" ht="42" customHeight="1"/>
    <row r="5723" ht="42" customHeight="1"/>
    <row r="5724" ht="42" customHeight="1"/>
    <row r="5725" ht="42" customHeight="1"/>
    <row r="5726" ht="42" customHeight="1"/>
    <row r="5727" ht="42" customHeight="1"/>
    <row r="5728" ht="42" customHeight="1"/>
    <row r="5729" ht="42" customHeight="1"/>
    <row r="5730" ht="42" customHeight="1"/>
    <row r="5731" ht="42" customHeight="1"/>
    <row r="5732" ht="42" customHeight="1"/>
    <row r="5733" ht="42" customHeight="1"/>
    <row r="5734" ht="42" customHeight="1"/>
    <row r="5735" ht="42" customHeight="1"/>
    <row r="5736" ht="42" customHeight="1"/>
    <row r="5737" ht="42" customHeight="1"/>
    <row r="5738" ht="42" customHeight="1"/>
    <row r="5739" ht="42" customHeight="1"/>
    <row r="5740" ht="42" customHeight="1"/>
    <row r="5741" ht="42" customHeight="1"/>
    <row r="5742" ht="42" customHeight="1"/>
    <row r="5743" ht="42" customHeight="1"/>
    <row r="5744" ht="42" customHeight="1"/>
    <row r="5745" ht="42" customHeight="1"/>
    <row r="5746" ht="42" customHeight="1"/>
    <row r="5747" ht="42" customHeight="1"/>
    <row r="5748" ht="42" customHeight="1"/>
    <row r="5749" ht="42" customHeight="1"/>
    <row r="5750" ht="42" customHeight="1"/>
    <row r="5751" ht="42" customHeight="1"/>
    <row r="5752" ht="42" customHeight="1"/>
    <row r="5753" ht="42" customHeight="1"/>
    <row r="5754" ht="42" customHeight="1"/>
    <row r="5755" ht="42" customHeight="1"/>
    <row r="5756" ht="42" customHeight="1"/>
    <row r="5757" ht="42" customHeight="1"/>
    <row r="5758" ht="42" customHeight="1"/>
    <row r="5759" ht="42" customHeight="1"/>
    <row r="5760" ht="42" customHeight="1"/>
    <row r="5761" ht="42" customHeight="1"/>
    <row r="5762" ht="42" customHeight="1"/>
    <row r="5763" ht="42" customHeight="1"/>
    <row r="5764" ht="42" customHeight="1"/>
    <row r="5765" ht="42" customHeight="1"/>
    <row r="5766" ht="42" customHeight="1"/>
    <row r="5767" ht="42" customHeight="1"/>
    <row r="5768" ht="42" customHeight="1"/>
    <row r="5769" ht="42" customHeight="1"/>
    <row r="5770" ht="42" customHeight="1"/>
    <row r="5771" ht="42" customHeight="1"/>
    <row r="5772" ht="42" customHeight="1"/>
    <row r="5773" ht="42" customHeight="1"/>
    <row r="5774" ht="42" customHeight="1"/>
    <row r="5775" ht="42" customHeight="1"/>
    <row r="5776" ht="42" customHeight="1"/>
    <row r="5777" ht="42" customHeight="1"/>
    <row r="5778" ht="42" customHeight="1"/>
    <row r="5779" ht="42" customHeight="1"/>
    <row r="5780" ht="42" customHeight="1"/>
    <row r="5781" ht="42" customHeight="1"/>
    <row r="5782" ht="42" customHeight="1"/>
    <row r="5783" ht="42" customHeight="1"/>
    <row r="5784" ht="42" customHeight="1"/>
    <row r="5785" ht="42" customHeight="1"/>
    <row r="5786" ht="42" customHeight="1"/>
    <row r="5787" ht="42" customHeight="1"/>
    <row r="5788" ht="42" customHeight="1"/>
    <row r="5789" ht="42" customHeight="1"/>
    <row r="5790" ht="42" customHeight="1"/>
    <row r="5791" ht="42" customHeight="1"/>
    <row r="5792" ht="42" customHeight="1"/>
    <row r="5793" ht="42" customHeight="1"/>
    <row r="5794" ht="42" customHeight="1"/>
    <row r="5795" ht="42" customHeight="1"/>
    <row r="5796" ht="42" customHeight="1"/>
    <row r="5797" ht="42" customHeight="1"/>
    <row r="5798" ht="42" customHeight="1"/>
    <row r="5799" ht="42" customHeight="1"/>
    <row r="5800" ht="42" customHeight="1"/>
    <row r="5801" ht="42" customHeight="1"/>
    <row r="5802" ht="42" customHeight="1"/>
    <row r="5803" ht="42" customHeight="1"/>
    <row r="5804" ht="42" customHeight="1"/>
    <row r="5805" ht="42" customHeight="1"/>
    <row r="5806" ht="42" customHeight="1"/>
    <row r="5807" ht="42" customHeight="1"/>
    <row r="5808" ht="42" customHeight="1"/>
    <row r="5809" ht="42" customHeight="1"/>
    <row r="5810" ht="42" customHeight="1"/>
    <row r="5811" ht="42" customHeight="1"/>
    <row r="5812" ht="42" customHeight="1"/>
    <row r="5813" ht="42" customHeight="1"/>
    <row r="5814" ht="42" customHeight="1"/>
    <row r="5815" ht="42" customHeight="1"/>
    <row r="5816" ht="42" customHeight="1"/>
    <row r="5817" ht="42" customHeight="1"/>
    <row r="5818" ht="42" customHeight="1"/>
    <row r="5819" ht="42" customHeight="1"/>
    <row r="5820" ht="42" customHeight="1"/>
    <row r="5821" ht="42" customHeight="1"/>
    <row r="5822" ht="42" customHeight="1"/>
    <row r="5823" ht="42" customHeight="1"/>
    <row r="5824" ht="42" customHeight="1"/>
    <row r="5825" ht="42" customHeight="1"/>
    <row r="5826" ht="42" customHeight="1"/>
    <row r="5827" ht="42" customHeight="1"/>
    <row r="5828" ht="42" customHeight="1"/>
    <row r="5829" ht="42" customHeight="1"/>
    <row r="5830" ht="42" customHeight="1"/>
    <row r="5831" ht="42" customHeight="1"/>
    <row r="5832" ht="42" customHeight="1"/>
    <row r="5833" ht="42" customHeight="1"/>
    <row r="5834" ht="42" customHeight="1"/>
    <row r="5835" ht="42" customHeight="1"/>
    <row r="5836" ht="42" customHeight="1"/>
    <row r="5837" ht="42" customHeight="1"/>
    <row r="5838" ht="42" customHeight="1"/>
    <row r="5839" ht="42" customHeight="1"/>
    <row r="5840" ht="42" customHeight="1"/>
    <row r="5841" ht="42" customHeight="1"/>
    <row r="5842" ht="42" customHeight="1"/>
    <row r="5843" ht="42" customHeight="1"/>
    <row r="5844" ht="42" customHeight="1"/>
    <row r="5845" ht="42" customHeight="1"/>
    <row r="5846" ht="42" customHeight="1"/>
    <row r="5847" ht="42" customHeight="1"/>
    <row r="5848" ht="42" customHeight="1"/>
    <row r="5849" ht="42" customHeight="1"/>
    <row r="5850" ht="42" customHeight="1"/>
    <row r="5851" ht="42" customHeight="1"/>
    <row r="5852" ht="42" customHeight="1"/>
    <row r="5853" ht="42" customHeight="1"/>
    <row r="5854" ht="42" customHeight="1"/>
    <row r="5855" ht="42" customHeight="1"/>
    <row r="5856" ht="42" customHeight="1"/>
    <row r="5857" ht="42" customHeight="1"/>
    <row r="5858" ht="42" customHeight="1"/>
    <row r="5859" ht="42" customHeight="1"/>
    <row r="5860" ht="42" customHeight="1"/>
    <row r="5861" ht="42" customHeight="1"/>
    <row r="5862" ht="42" customHeight="1"/>
    <row r="5863" ht="42" customHeight="1"/>
    <row r="5864" ht="42" customHeight="1"/>
    <row r="5865" ht="42" customHeight="1"/>
    <row r="5866" ht="42" customHeight="1"/>
    <row r="5867" ht="42" customHeight="1"/>
    <row r="5868" ht="42" customHeight="1"/>
    <row r="5869" ht="42" customHeight="1"/>
    <row r="5870" ht="42" customHeight="1"/>
    <row r="5871" ht="42" customHeight="1"/>
    <row r="5872" ht="42" customHeight="1"/>
    <row r="5873" ht="42" customHeight="1"/>
    <row r="5874" ht="42" customHeight="1"/>
    <row r="5875" ht="42" customHeight="1"/>
    <row r="5876" ht="42" customHeight="1"/>
    <row r="5877" ht="42" customHeight="1"/>
    <row r="5878" ht="42" customHeight="1"/>
    <row r="5879" ht="42" customHeight="1"/>
    <row r="5880" ht="42" customHeight="1"/>
    <row r="5881" ht="42" customHeight="1"/>
    <row r="5882" ht="42" customHeight="1"/>
    <row r="5883" ht="42" customHeight="1"/>
    <row r="5884" ht="42" customHeight="1"/>
    <row r="5885" ht="42" customHeight="1"/>
    <row r="5886" ht="42" customHeight="1"/>
    <row r="5887" ht="42" customHeight="1"/>
    <row r="5888" ht="42" customHeight="1"/>
    <row r="5889" ht="42" customHeight="1"/>
    <row r="5890" ht="42" customHeight="1"/>
    <row r="5891" ht="42" customHeight="1"/>
    <row r="5892" ht="42" customHeight="1"/>
    <row r="5893" ht="42" customHeight="1"/>
    <row r="5894" ht="42" customHeight="1"/>
    <row r="5895" ht="42" customHeight="1"/>
    <row r="5896" ht="42" customHeight="1"/>
    <row r="5897" ht="42" customHeight="1"/>
    <row r="5898" ht="42" customHeight="1"/>
    <row r="5899" ht="42" customHeight="1"/>
    <row r="5900" ht="42" customHeight="1"/>
    <row r="5901" ht="42" customHeight="1"/>
    <row r="5902" ht="42" customHeight="1"/>
    <row r="5903" ht="42" customHeight="1"/>
    <row r="5904" ht="42" customHeight="1"/>
    <row r="5905" ht="42" customHeight="1"/>
    <row r="5906" ht="42" customHeight="1"/>
    <row r="5907" ht="42" customHeight="1"/>
    <row r="5908" ht="42" customHeight="1"/>
    <row r="5909" ht="42" customHeight="1"/>
    <row r="5910" ht="42" customHeight="1"/>
    <row r="5911" ht="42" customHeight="1"/>
    <row r="5912" ht="42" customHeight="1"/>
    <row r="5913" ht="42" customHeight="1"/>
    <row r="5914" ht="42" customHeight="1"/>
    <row r="5915" ht="42" customHeight="1"/>
    <row r="5916" ht="42" customHeight="1"/>
    <row r="5917" ht="42" customHeight="1"/>
    <row r="5918" ht="42" customHeight="1"/>
    <row r="5919" ht="42" customHeight="1"/>
    <row r="5920" ht="42" customHeight="1"/>
    <row r="5921" ht="42" customHeight="1"/>
    <row r="5922" ht="42" customHeight="1"/>
    <row r="5923" ht="42" customHeight="1"/>
    <row r="5924" ht="42" customHeight="1"/>
    <row r="5925" ht="42" customHeight="1"/>
    <row r="5926" ht="42" customHeight="1"/>
    <row r="5927" ht="42" customHeight="1"/>
    <row r="5928" ht="42" customHeight="1"/>
    <row r="5929" ht="42" customHeight="1"/>
    <row r="5930" ht="42" customHeight="1"/>
    <row r="5931" ht="42" customHeight="1"/>
    <row r="5932" ht="42" customHeight="1"/>
    <row r="5933" ht="42" customHeight="1"/>
    <row r="5934" ht="42" customHeight="1"/>
    <row r="5935" ht="42" customHeight="1"/>
    <row r="5936" ht="42" customHeight="1"/>
    <row r="5937" ht="42" customHeight="1"/>
    <row r="5938" ht="42" customHeight="1"/>
    <row r="5939" ht="42" customHeight="1"/>
    <row r="5940" ht="42" customHeight="1"/>
    <row r="5941" ht="42" customHeight="1"/>
    <row r="5942" ht="42" customHeight="1"/>
    <row r="5943" ht="42" customHeight="1"/>
    <row r="5944" ht="42" customHeight="1"/>
    <row r="5945" ht="42" customHeight="1"/>
    <row r="5946" ht="42" customHeight="1"/>
    <row r="5947" ht="42" customHeight="1"/>
    <row r="5948" ht="42" customHeight="1"/>
    <row r="5949" ht="42" customHeight="1"/>
    <row r="5950" ht="42" customHeight="1"/>
    <row r="5951" ht="42" customHeight="1"/>
    <row r="5952" ht="42" customHeight="1"/>
    <row r="5953" ht="42" customHeight="1"/>
    <row r="5954" ht="42" customHeight="1"/>
    <row r="5955" ht="42" customHeight="1"/>
    <row r="5956" ht="42" customHeight="1"/>
    <row r="5957" ht="42" customHeight="1"/>
    <row r="5958" ht="42" customHeight="1"/>
    <row r="5959" ht="42" customHeight="1"/>
    <row r="5960" ht="42" customHeight="1"/>
    <row r="5961" ht="42" customHeight="1"/>
    <row r="5962" ht="42" customHeight="1"/>
    <row r="5963" ht="42" customHeight="1"/>
    <row r="5964" ht="42" customHeight="1"/>
    <row r="5965" ht="42" customHeight="1"/>
    <row r="5966" ht="42" customHeight="1"/>
    <row r="5967" ht="42" customHeight="1"/>
    <row r="5968" ht="42" customHeight="1"/>
    <row r="5969" ht="42" customHeight="1"/>
    <row r="5970" ht="42" customHeight="1"/>
    <row r="5971" ht="42" customHeight="1"/>
    <row r="5972" ht="42" customHeight="1"/>
    <row r="5973" ht="42" customHeight="1"/>
    <row r="5974" ht="42" customHeight="1"/>
    <row r="5975" ht="42" customHeight="1"/>
    <row r="5976" ht="42" customHeight="1"/>
    <row r="5977" ht="42" customHeight="1"/>
    <row r="5978" ht="42" customHeight="1"/>
    <row r="5979" ht="42" customHeight="1"/>
    <row r="5980" ht="42" customHeight="1"/>
    <row r="5981" ht="42" customHeight="1"/>
    <row r="5982" ht="42" customHeight="1"/>
    <row r="5983" ht="42" customHeight="1"/>
    <row r="5984" ht="42" customHeight="1"/>
    <row r="5985" ht="42" customHeight="1"/>
    <row r="5986" ht="42" customHeight="1"/>
    <row r="5987" ht="42" customHeight="1"/>
    <row r="5988" ht="42" customHeight="1"/>
    <row r="5989" ht="42" customHeight="1"/>
    <row r="5990" ht="42" customHeight="1"/>
    <row r="5991" ht="42" customHeight="1"/>
    <row r="5992" ht="42" customHeight="1"/>
    <row r="5993" ht="42" customHeight="1"/>
    <row r="5994" ht="42" customHeight="1"/>
    <row r="5995" ht="42" customHeight="1"/>
    <row r="5996" ht="42" customHeight="1"/>
    <row r="5997" ht="42" customHeight="1"/>
    <row r="5998" ht="42" customHeight="1"/>
    <row r="5999" ht="42" customHeight="1"/>
    <row r="6000" ht="42" customHeight="1"/>
    <row r="6001" ht="42" customHeight="1"/>
    <row r="6002" ht="42" customHeight="1"/>
    <row r="6003" ht="42" customHeight="1"/>
    <row r="6004" ht="42" customHeight="1"/>
    <row r="6005" ht="42" customHeight="1"/>
    <row r="6006" ht="42" customHeight="1"/>
    <row r="6007" ht="42" customHeight="1"/>
    <row r="6008" ht="42" customHeight="1"/>
    <row r="6009" ht="42" customHeight="1"/>
    <row r="6010" ht="42" customHeight="1"/>
    <row r="6011" ht="42" customHeight="1"/>
    <row r="6012" ht="42" customHeight="1"/>
    <row r="6013" ht="42" customHeight="1"/>
    <row r="6014" ht="42" customHeight="1"/>
    <row r="6015" ht="42" customHeight="1"/>
    <row r="6016" ht="42" customHeight="1"/>
    <row r="6017" ht="42" customHeight="1"/>
    <row r="6018" ht="42" customHeight="1"/>
    <row r="6019" ht="42" customHeight="1"/>
    <row r="6020" ht="42" customHeight="1"/>
    <row r="6021" ht="42" customHeight="1"/>
    <row r="6022" ht="42" customHeight="1"/>
    <row r="6023" ht="42" customHeight="1"/>
    <row r="6024" ht="42" customHeight="1"/>
    <row r="6025" ht="42" customHeight="1"/>
    <row r="6026" ht="42" customHeight="1"/>
    <row r="6027" ht="42" customHeight="1"/>
    <row r="6028" ht="42" customHeight="1"/>
    <row r="6029" ht="42" customHeight="1"/>
    <row r="6030" ht="42" customHeight="1"/>
    <row r="6031" ht="42" customHeight="1"/>
    <row r="6032" ht="42" customHeight="1"/>
    <row r="6033" ht="42" customHeight="1"/>
    <row r="6034" ht="42" customHeight="1"/>
    <row r="6035" ht="42" customHeight="1"/>
    <row r="6036" ht="42" customHeight="1"/>
    <row r="6037" ht="42" customHeight="1"/>
    <row r="6038" ht="42" customHeight="1"/>
    <row r="6039" ht="42" customHeight="1"/>
    <row r="6040" ht="42" customHeight="1"/>
    <row r="6041" ht="42" customHeight="1"/>
    <row r="6042" ht="42" customHeight="1"/>
    <row r="6043" ht="42" customHeight="1"/>
    <row r="6044" ht="42" customHeight="1"/>
    <row r="6045" ht="42" customHeight="1"/>
    <row r="6046" ht="42" customHeight="1"/>
    <row r="6047" ht="42" customHeight="1"/>
    <row r="6048" ht="42" customHeight="1"/>
    <row r="6049" ht="42" customHeight="1"/>
    <row r="6050" ht="42" customHeight="1"/>
    <row r="6051" ht="42" customHeight="1"/>
    <row r="6052" ht="42" customHeight="1"/>
    <row r="6053" ht="42" customHeight="1"/>
    <row r="6054" ht="42" customHeight="1"/>
    <row r="6055" ht="42" customHeight="1"/>
    <row r="6056" ht="42" customHeight="1"/>
    <row r="6057" ht="42" customHeight="1"/>
    <row r="6058" ht="42" customHeight="1"/>
    <row r="6059" ht="42" customHeight="1"/>
    <row r="6060" ht="42" customHeight="1"/>
    <row r="6061" ht="42" customHeight="1"/>
    <row r="6062" ht="42" customHeight="1"/>
    <row r="6063" ht="42" customHeight="1"/>
    <row r="6064" ht="42" customHeight="1"/>
    <row r="6065" ht="42" customHeight="1"/>
    <row r="6066" ht="42" customHeight="1"/>
    <row r="6067" ht="42" customHeight="1"/>
    <row r="6068" ht="42" customHeight="1"/>
    <row r="6069" ht="42" customHeight="1"/>
    <row r="6070" ht="42" customHeight="1"/>
    <row r="6071" ht="42" customHeight="1"/>
    <row r="6072" ht="42" customHeight="1"/>
    <row r="6073" ht="42" customHeight="1"/>
    <row r="6074" ht="42" customHeight="1"/>
    <row r="6075" ht="42" customHeight="1"/>
    <row r="6076" ht="42" customHeight="1"/>
    <row r="6077" ht="42" customHeight="1"/>
    <row r="6078" ht="42" customHeight="1"/>
    <row r="6079" ht="42" customHeight="1"/>
    <row r="6080" ht="42" customHeight="1"/>
    <row r="6081" ht="42" customHeight="1"/>
    <row r="6082" ht="42" customHeight="1"/>
    <row r="6083" ht="42" customHeight="1"/>
    <row r="6084" ht="42" customHeight="1"/>
    <row r="6085" ht="42" customHeight="1"/>
    <row r="6086" ht="42" customHeight="1"/>
    <row r="6087" ht="42" customHeight="1"/>
    <row r="6088" ht="42" customHeight="1"/>
    <row r="6089" ht="42" customHeight="1"/>
    <row r="6090" ht="42" customHeight="1"/>
    <row r="6091" ht="42" customHeight="1"/>
    <row r="6092" ht="42" customHeight="1"/>
    <row r="6093" ht="42" customHeight="1"/>
    <row r="6094" ht="42" customHeight="1"/>
    <row r="6095" ht="42" customHeight="1"/>
    <row r="6096" ht="42" customHeight="1"/>
    <row r="6097" ht="42" customHeight="1"/>
    <row r="6098" ht="42" customHeight="1"/>
    <row r="6099" ht="42" customHeight="1"/>
    <row r="6100" ht="42" customHeight="1"/>
    <row r="6101" ht="42" customHeight="1"/>
    <row r="6102" ht="42" customHeight="1"/>
    <row r="6103" ht="42" customHeight="1"/>
    <row r="6104" ht="42" customHeight="1"/>
    <row r="6105" ht="42" customHeight="1"/>
    <row r="6106" ht="42" customHeight="1"/>
    <row r="6107" ht="42" customHeight="1"/>
    <row r="6108" ht="42" customHeight="1"/>
    <row r="6109" ht="42" customHeight="1"/>
    <row r="6110" ht="42" customHeight="1"/>
    <row r="6111" ht="42" customHeight="1"/>
    <row r="6112" ht="42" customHeight="1"/>
    <row r="6113" ht="42" customHeight="1"/>
    <row r="6114" ht="42" customHeight="1"/>
    <row r="6115" ht="42" customHeight="1"/>
    <row r="6116" ht="42" customHeight="1"/>
    <row r="6117" ht="42" customHeight="1"/>
    <row r="6118" ht="42" customHeight="1"/>
    <row r="6119" ht="42" customHeight="1"/>
    <row r="6120" ht="42" customHeight="1"/>
    <row r="6121" ht="42" customHeight="1"/>
    <row r="6122" ht="42" customHeight="1"/>
    <row r="6123" ht="42" customHeight="1"/>
    <row r="6124" ht="42" customHeight="1"/>
    <row r="6125" ht="42" customHeight="1"/>
    <row r="6126" ht="42" customHeight="1"/>
    <row r="6127" ht="42" customHeight="1"/>
    <row r="6128" ht="42" customHeight="1"/>
    <row r="6129" ht="42" customHeight="1"/>
    <row r="6130" ht="42" customHeight="1"/>
    <row r="6131" ht="42" customHeight="1"/>
    <row r="6132" ht="42" customHeight="1"/>
    <row r="6133" ht="42" customHeight="1"/>
    <row r="6134" ht="42" customHeight="1"/>
    <row r="6135" ht="42" customHeight="1"/>
    <row r="6136" ht="42" customHeight="1"/>
    <row r="6137" ht="42" customHeight="1"/>
    <row r="6138" ht="42" customHeight="1"/>
    <row r="6139" ht="42" customHeight="1"/>
    <row r="6140" ht="42" customHeight="1"/>
    <row r="6141" ht="42" customHeight="1"/>
    <row r="6142" ht="42" customHeight="1"/>
    <row r="6143" ht="42" customHeight="1"/>
    <row r="6144" ht="42" customHeight="1"/>
    <row r="6145" ht="42" customHeight="1"/>
    <row r="6146" ht="42" customHeight="1"/>
    <row r="6147" ht="42" customHeight="1"/>
    <row r="6148" ht="42" customHeight="1"/>
    <row r="6149" ht="42" customHeight="1"/>
    <row r="6150" ht="42" customHeight="1"/>
    <row r="6151" ht="42" customHeight="1"/>
    <row r="6152" ht="42" customHeight="1"/>
    <row r="6153" ht="42" customHeight="1"/>
    <row r="6154" ht="42" customHeight="1"/>
    <row r="6155" ht="42" customHeight="1"/>
    <row r="6156" ht="42" customHeight="1"/>
    <row r="6157" ht="42" customHeight="1"/>
    <row r="6158" ht="42" customHeight="1"/>
    <row r="6159" ht="42" customHeight="1"/>
    <row r="6160" ht="42" customHeight="1"/>
    <row r="6161" ht="42" customHeight="1"/>
    <row r="6162" ht="42" customHeight="1"/>
    <row r="6163" ht="42" customHeight="1"/>
    <row r="6164" ht="42" customHeight="1"/>
    <row r="6165" ht="42" customHeight="1"/>
    <row r="6166" ht="42" customHeight="1"/>
    <row r="6167" ht="42" customHeight="1"/>
    <row r="6168" ht="42" customHeight="1"/>
    <row r="6169" ht="42" customHeight="1"/>
    <row r="6170" ht="42" customHeight="1"/>
    <row r="6171" ht="42" customHeight="1"/>
    <row r="6172" ht="42" customHeight="1"/>
    <row r="6173" ht="42" customHeight="1"/>
    <row r="6174" ht="42" customHeight="1"/>
    <row r="6175" ht="42" customHeight="1"/>
    <row r="6176" ht="42" customHeight="1"/>
    <row r="6177" ht="42" customHeight="1"/>
    <row r="6178" ht="42" customHeight="1"/>
    <row r="6179" ht="42" customHeight="1"/>
    <row r="6180" ht="42" customHeight="1"/>
    <row r="6181" ht="42" customHeight="1"/>
    <row r="6182" ht="42" customHeight="1"/>
    <row r="6183" ht="42" customHeight="1"/>
    <row r="6184" ht="42" customHeight="1"/>
    <row r="6185" ht="42" customHeight="1"/>
    <row r="6186" ht="42" customHeight="1"/>
    <row r="6187" ht="42" customHeight="1"/>
    <row r="6188" ht="42" customHeight="1"/>
    <row r="6189" ht="42" customHeight="1"/>
    <row r="6190" ht="42" customHeight="1"/>
    <row r="6191" ht="42" customHeight="1"/>
    <row r="6192" ht="42" customHeight="1"/>
    <row r="6193" ht="42" customHeight="1"/>
    <row r="6194" ht="42" customHeight="1"/>
    <row r="6195" ht="42" customHeight="1"/>
    <row r="6196" ht="42" customHeight="1"/>
    <row r="6197" ht="42" customHeight="1"/>
    <row r="6198" ht="42" customHeight="1"/>
    <row r="6199" ht="42" customHeight="1"/>
    <row r="6200" ht="42" customHeight="1"/>
    <row r="6201" ht="42" customHeight="1"/>
    <row r="6202" ht="42" customHeight="1"/>
    <row r="6203" ht="42" customHeight="1"/>
    <row r="6204" ht="42" customHeight="1"/>
    <row r="6205" ht="42" customHeight="1"/>
    <row r="6206" ht="42" customHeight="1"/>
    <row r="6207" ht="42" customHeight="1"/>
    <row r="6208" ht="42" customHeight="1"/>
    <row r="6209" ht="42" customHeight="1"/>
    <row r="6210" ht="42" customHeight="1"/>
    <row r="6211" ht="42" customHeight="1"/>
    <row r="6212" ht="42" customHeight="1"/>
    <row r="6213" ht="42" customHeight="1"/>
    <row r="6214" ht="42" customHeight="1"/>
    <row r="6215" ht="42" customHeight="1"/>
    <row r="6216" ht="42" customHeight="1"/>
    <row r="6217" ht="42" customHeight="1"/>
    <row r="6218" ht="42" customHeight="1"/>
    <row r="6219" ht="42" customHeight="1"/>
    <row r="6220" ht="42" customHeight="1"/>
    <row r="6221" ht="42" customHeight="1"/>
    <row r="6222" ht="42" customHeight="1"/>
    <row r="6223" ht="42" customHeight="1"/>
    <row r="6224" ht="42" customHeight="1"/>
    <row r="6225" ht="42" customHeight="1"/>
    <row r="6226" ht="42" customHeight="1"/>
    <row r="6227" ht="42" customHeight="1"/>
    <row r="6228" ht="42" customHeight="1"/>
    <row r="6229" ht="42" customHeight="1"/>
    <row r="6230" ht="42" customHeight="1"/>
    <row r="6231" ht="42" customHeight="1"/>
    <row r="6232" ht="42" customHeight="1"/>
    <row r="6233" ht="42" customHeight="1"/>
    <row r="6234" ht="42" customHeight="1"/>
    <row r="6235" ht="42" customHeight="1"/>
    <row r="6236" ht="42" customHeight="1"/>
    <row r="6237" ht="42" customHeight="1"/>
    <row r="6238" ht="42" customHeight="1"/>
    <row r="6239" ht="42" customHeight="1"/>
    <row r="6240" ht="42" customHeight="1"/>
    <row r="6241" ht="42" customHeight="1"/>
    <row r="6242" ht="42" customHeight="1"/>
    <row r="6243" ht="42" customHeight="1"/>
    <row r="6244" ht="42" customHeight="1"/>
    <row r="6245" ht="42" customHeight="1"/>
    <row r="6246" ht="42" customHeight="1"/>
    <row r="6247" ht="42" customHeight="1"/>
    <row r="6248" ht="42" customHeight="1"/>
    <row r="6249" ht="42" customHeight="1"/>
    <row r="6250" ht="42" customHeight="1"/>
    <row r="6251" ht="42" customHeight="1"/>
    <row r="6252" ht="42" customHeight="1"/>
    <row r="6253" ht="42" customHeight="1"/>
    <row r="6254" ht="42" customHeight="1"/>
    <row r="6255" ht="42" customHeight="1"/>
    <row r="6256" ht="42" customHeight="1"/>
    <row r="6257" ht="42" customHeight="1"/>
    <row r="6258" ht="42" customHeight="1"/>
    <row r="6259" ht="42" customHeight="1"/>
    <row r="6260" ht="42" customHeight="1"/>
    <row r="6261" ht="42" customHeight="1"/>
    <row r="6262" ht="42" customHeight="1"/>
    <row r="6263" ht="42" customHeight="1"/>
    <row r="6264" ht="42" customHeight="1"/>
    <row r="6265" ht="42" customHeight="1"/>
    <row r="6266" ht="42" customHeight="1"/>
    <row r="6267" ht="42" customHeight="1"/>
    <row r="6268" ht="42" customHeight="1"/>
    <row r="6269" ht="42" customHeight="1"/>
    <row r="6270" ht="42" customHeight="1"/>
    <row r="6271" ht="42" customHeight="1"/>
    <row r="6272" ht="42" customHeight="1"/>
    <row r="6273" ht="42" customHeight="1"/>
    <row r="6274" ht="42" customHeight="1"/>
    <row r="6275" ht="42" customHeight="1"/>
    <row r="6276" ht="42" customHeight="1"/>
    <row r="6277" ht="42" customHeight="1"/>
    <row r="6278" ht="42" customHeight="1"/>
    <row r="6279" ht="42" customHeight="1"/>
    <row r="6280" ht="42" customHeight="1"/>
    <row r="6281" ht="42" customHeight="1"/>
    <row r="6282" ht="42" customHeight="1"/>
    <row r="6283" ht="42" customHeight="1"/>
    <row r="6284" ht="42" customHeight="1"/>
    <row r="6285" ht="42" customHeight="1"/>
    <row r="6286" ht="42" customHeight="1"/>
    <row r="6287" ht="42" customHeight="1"/>
    <row r="6288" ht="42" customHeight="1"/>
    <row r="6289" ht="42" customHeight="1"/>
    <row r="6290" ht="42" customHeight="1"/>
    <row r="6291" ht="42" customHeight="1"/>
    <row r="6292" ht="42" customHeight="1"/>
    <row r="6293" ht="42" customHeight="1"/>
    <row r="6294" ht="42" customHeight="1"/>
    <row r="6295" ht="42" customHeight="1"/>
    <row r="6296" ht="42" customHeight="1"/>
    <row r="6297" ht="42" customHeight="1"/>
    <row r="6298" ht="42" customHeight="1"/>
    <row r="6299" ht="42" customHeight="1"/>
    <row r="6300" ht="42" customHeight="1"/>
    <row r="6301" ht="42" customHeight="1"/>
    <row r="6302" ht="42" customHeight="1"/>
    <row r="6303" ht="42" customHeight="1"/>
    <row r="6304" ht="42" customHeight="1"/>
    <row r="6305" ht="42" customHeight="1"/>
    <row r="6306" ht="42" customHeight="1"/>
    <row r="6307" ht="42" customHeight="1"/>
    <row r="6308" ht="42" customHeight="1"/>
    <row r="6309" ht="42" customHeight="1"/>
    <row r="6310" ht="42" customHeight="1"/>
    <row r="6311" ht="42" customHeight="1"/>
    <row r="6312" ht="42" customHeight="1"/>
    <row r="6313" ht="42" customHeight="1"/>
    <row r="6314" ht="42" customHeight="1"/>
    <row r="6315" ht="42" customHeight="1"/>
    <row r="6316" ht="42" customHeight="1"/>
    <row r="6317" ht="42" customHeight="1"/>
    <row r="6318" ht="42" customHeight="1"/>
    <row r="6319" ht="42" customHeight="1"/>
    <row r="6320" ht="42" customHeight="1"/>
    <row r="6321" ht="42" customHeight="1"/>
    <row r="6322" ht="42" customHeight="1"/>
    <row r="6323" ht="42" customHeight="1"/>
    <row r="6324" ht="42" customHeight="1"/>
    <row r="6325" ht="42" customHeight="1"/>
    <row r="6326" ht="42" customHeight="1"/>
    <row r="6327" ht="42" customHeight="1"/>
    <row r="6328" ht="42" customHeight="1"/>
    <row r="6329" ht="42" customHeight="1"/>
    <row r="6330" ht="42" customHeight="1"/>
    <row r="6331" ht="42" customHeight="1"/>
    <row r="6332" ht="42" customHeight="1"/>
    <row r="6333" ht="42" customHeight="1"/>
    <row r="6334" ht="42" customHeight="1"/>
    <row r="6335" ht="42" customHeight="1"/>
    <row r="6336" ht="42" customHeight="1"/>
    <row r="6337" ht="42" customHeight="1"/>
    <row r="6338" ht="42" customHeight="1"/>
    <row r="6339" ht="42" customHeight="1"/>
    <row r="6340" ht="42" customHeight="1"/>
    <row r="6341" ht="42" customHeight="1"/>
    <row r="6342" ht="42" customHeight="1"/>
    <row r="6343" ht="42" customHeight="1"/>
    <row r="6344" ht="42" customHeight="1"/>
    <row r="6345" ht="42" customHeight="1"/>
    <row r="6346" ht="42" customHeight="1"/>
    <row r="6347" ht="42" customHeight="1"/>
    <row r="6348" ht="42" customHeight="1"/>
    <row r="6349" ht="42" customHeight="1"/>
    <row r="6350" ht="42" customHeight="1"/>
    <row r="6351" ht="42" customHeight="1"/>
    <row r="6352" ht="42" customHeight="1"/>
    <row r="6353" ht="42" customHeight="1"/>
    <row r="6354" ht="42" customHeight="1"/>
    <row r="6355" ht="42" customHeight="1"/>
    <row r="6356" ht="42" customHeight="1"/>
    <row r="6357" ht="42" customHeight="1"/>
    <row r="6358" ht="42" customHeight="1"/>
    <row r="6359" ht="42" customHeight="1"/>
    <row r="6360" ht="42" customHeight="1"/>
    <row r="6361" ht="42" customHeight="1"/>
    <row r="6362" ht="42" customHeight="1"/>
    <row r="6363" ht="42" customHeight="1"/>
    <row r="6364" ht="42" customHeight="1"/>
    <row r="6365" ht="42" customHeight="1"/>
    <row r="6366" ht="42" customHeight="1"/>
    <row r="6367" ht="42" customHeight="1"/>
    <row r="6368" ht="42" customHeight="1"/>
    <row r="6369" ht="42" customHeight="1"/>
    <row r="6370" ht="42" customHeight="1"/>
    <row r="6371" ht="42" customHeight="1"/>
    <row r="6372" ht="42" customHeight="1"/>
    <row r="6373" ht="42" customHeight="1"/>
    <row r="6374" ht="42" customHeight="1"/>
    <row r="6375" ht="42" customHeight="1"/>
    <row r="6376" ht="42" customHeight="1"/>
    <row r="6377" ht="42" customHeight="1"/>
    <row r="6378" ht="42" customHeight="1"/>
    <row r="6379" ht="42" customHeight="1"/>
    <row r="6380" ht="42" customHeight="1"/>
    <row r="6381" ht="42" customHeight="1"/>
    <row r="6382" ht="42" customHeight="1"/>
    <row r="6383" ht="42" customHeight="1"/>
    <row r="6384" ht="42" customHeight="1"/>
    <row r="6385" ht="42" customHeight="1"/>
    <row r="6386" ht="42" customHeight="1"/>
    <row r="6387" ht="42" customHeight="1"/>
    <row r="6388" ht="42" customHeight="1"/>
    <row r="6389" ht="42" customHeight="1"/>
    <row r="6390" ht="42" customHeight="1"/>
    <row r="6391" ht="42" customHeight="1"/>
    <row r="6392" ht="42" customHeight="1"/>
    <row r="6393" ht="42" customHeight="1"/>
    <row r="6394" ht="42" customHeight="1"/>
    <row r="6395" ht="42" customHeight="1"/>
    <row r="6396" ht="42" customHeight="1"/>
    <row r="6397" ht="42" customHeight="1"/>
    <row r="6398" ht="42" customHeight="1"/>
    <row r="6399" ht="42" customHeight="1"/>
    <row r="6400" ht="42" customHeight="1"/>
    <row r="6401" ht="42" customHeight="1"/>
    <row r="6402" ht="42" customHeight="1"/>
    <row r="6403" ht="42" customHeight="1"/>
    <row r="6404" ht="42" customHeight="1"/>
    <row r="6405" ht="42" customHeight="1"/>
    <row r="6406" ht="42" customHeight="1"/>
    <row r="6407" ht="42" customHeight="1"/>
    <row r="6408" ht="42" customHeight="1"/>
    <row r="6409" ht="42" customHeight="1"/>
    <row r="6410" ht="42" customHeight="1"/>
    <row r="6411" ht="42" customHeight="1"/>
    <row r="6412" ht="42" customHeight="1"/>
    <row r="6413" ht="42" customHeight="1"/>
    <row r="6414" ht="42" customHeight="1"/>
    <row r="6415" ht="42" customHeight="1"/>
    <row r="6416" ht="42" customHeight="1"/>
    <row r="6417" ht="42" customHeight="1"/>
    <row r="6418" ht="42" customHeight="1"/>
    <row r="6419" ht="42" customHeight="1"/>
    <row r="6420" ht="42" customHeight="1"/>
    <row r="6421" ht="42" customHeight="1"/>
    <row r="6422" ht="42" customHeight="1"/>
    <row r="6423" ht="42" customHeight="1"/>
    <row r="6424" ht="42" customHeight="1"/>
    <row r="6425" ht="42" customHeight="1"/>
    <row r="6426" ht="42" customHeight="1"/>
    <row r="6427" ht="42" customHeight="1"/>
    <row r="6428" ht="42" customHeight="1"/>
    <row r="6429" ht="42" customHeight="1"/>
    <row r="6430" ht="42" customHeight="1"/>
    <row r="6431" ht="42" customHeight="1"/>
    <row r="6432" ht="42" customHeight="1"/>
    <row r="6433" ht="42" customHeight="1"/>
    <row r="6434" ht="42" customHeight="1"/>
    <row r="6435" ht="42" customHeight="1"/>
    <row r="6436" ht="42" customHeight="1"/>
    <row r="6437" ht="42" customHeight="1"/>
    <row r="6438" ht="42" customHeight="1"/>
    <row r="6439" ht="42" customHeight="1"/>
    <row r="6440" ht="42" customHeight="1"/>
    <row r="6441" ht="42" customHeight="1"/>
    <row r="6442" ht="42" customHeight="1"/>
    <row r="6443" ht="42" customHeight="1"/>
    <row r="6444" ht="42" customHeight="1"/>
    <row r="6445" ht="42" customHeight="1"/>
    <row r="6446" ht="42" customHeight="1"/>
    <row r="6447" ht="42" customHeight="1"/>
    <row r="6448" ht="42" customHeight="1"/>
    <row r="6449" ht="42" customHeight="1"/>
    <row r="6450" ht="42" customHeight="1"/>
    <row r="6451" ht="42" customHeight="1"/>
    <row r="6452" ht="42" customHeight="1"/>
    <row r="6453" ht="42" customHeight="1"/>
    <row r="6454" ht="42" customHeight="1"/>
    <row r="6455" ht="42" customHeight="1"/>
    <row r="6456" ht="42" customHeight="1"/>
    <row r="6457" ht="42" customHeight="1"/>
    <row r="6458" ht="42" customHeight="1"/>
    <row r="6459" ht="42" customHeight="1"/>
    <row r="6460" ht="42" customHeight="1"/>
    <row r="6461" ht="42" customHeight="1"/>
    <row r="6462" ht="42" customHeight="1"/>
    <row r="6463" ht="42" customHeight="1"/>
    <row r="6464" ht="42" customHeight="1"/>
    <row r="6465" ht="42" customHeight="1"/>
    <row r="6466" ht="42" customHeight="1"/>
    <row r="6467" ht="42" customHeight="1"/>
    <row r="6468" ht="42" customHeight="1"/>
    <row r="6469" ht="42" customHeight="1"/>
    <row r="6470" ht="42" customHeight="1"/>
    <row r="6471" ht="42" customHeight="1"/>
    <row r="6472" ht="42" customHeight="1"/>
    <row r="6473" ht="42" customHeight="1"/>
    <row r="6474" ht="42" customHeight="1"/>
    <row r="6475" ht="42" customHeight="1"/>
    <row r="6476" ht="42" customHeight="1"/>
    <row r="6477" ht="42" customHeight="1"/>
    <row r="6478" ht="42" customHeight="1"/>
    <row r="6479" ht="42" customHeight="1"/>
    <row r="6480" ht="42" customHeight="1"/>
    <row r="6481" ht="42" customHeight="1"/>
    <row r="6482" ht="42" customHeight="1"/>
    <row r="6483" ht="42" customHeight="1"/>
    <row r="6484" ht="42" customHeight="1"/>
    <row r="6485" ht="42" customHeight="1"/>
    <row r="6486" ht="42" customHeight="1"/>
    <row r="6487" ht="42" customHeight="1"/>
    <row r="6488" ht="42" customHeight="1"/>
    <row r="6489" ht="42" customHeight="1"/>
    <row r="6490" ht="42" customHeight="1"/>
    <row r="6491" ht="42" customHeight="1"/>
    <row r="6492" ht="42" customHeight="1"/>
    <row r="6493" ht="42" customHeight="1"/>
    <row r="6494" ht="42" customHeight="1"/>
    <row r="6495" ht="42" customHeight="1"/>
    <row r="6496" ht="42" customHeight="1"/>
    <row r="6497" ht="42" customHeight="1"/>
    <row r="6498" ht="42" customHeight="1"/>
    <row r="6499" ht="42" customHeight="1"/>
    <row r="6500" ht="42" customHeight="1"/>
    <row r="6501" ht="42" customHeight="1"/>
    <row r="6502" ht="42" customHeight="1"/>
    <row r="6503" ht="42" customHeight="1"/>
    <row r="6504" ht="42" customHeight="1"/>
    <row r="6505" ht="42" customHeight="1"/>
    <row r="6506" ht="42" customHeight="1"/>
    <row r="6507" ht="42" customHeight="1"/>
    <row r="6508" ht="42" customHeight="1"/>
    <row r="6509" ht="42" customHeight="1"/>
    <row r="6510" ht="42" customHeight="1"/>
    <row r="6511" ht="42" customHeight="1"/>
    <row r="6512" ht="42" customHeight="1"/>
    <row r="6513" ht="42" customHeight="1"/>
    <row r="6514" ht="42" customHeight="1"/>
    <row r="6515" ht="42" customHeight="1"/>
    <row r="6516" ht="42" customHeight="1"/>
    <row r="6517" ht="42" customHeight="1"/>
    <row r="6518" ht="42" customHeight="1"/>
    <row r="6519" ht="42" customHeight="1"/>
    <row r="6520" ht="42" customHeight="1"/>
    <row r="6521" ht="42" customHeight="1"/>
    <row r="6522" ht="42" customHeight="1"/>
    <row r="6523" ht="42" customHeight="1"/>
    <row r="6524" ht="42" customHeight="1"/>
    <row r="6525" ht="42" customHeight="1"/>
    <row r="6526" ht="42" customHeight="1"/>
    <row r="6527" ht="42" customHeight="1"/>
    <row r="6528" ht="42" customHeight="1"/>
    <row r="6529" ht="42" customHeight="1"/>
    <row r="6530" ht="42" customHeight="1"/>
    <row r="6531" ht="42" customHeight="1"/>
    <row r="6532" ht="42" customHeight="1"/>
    <row r="6533" ht="42" customHeight="1"/>
    <row r="6534" ht="42" customHeight="1"/>
    <row r="6535" ht="42" customHeight="1"/>
    <row r="6536" ht="42" customHeight="1"/>
    <row r="6537" ht="42" customHeight="1"/>
    <row r="6538" ht="42" customHeight="1"/>
    <row r="6539" ht="42" customHeight="1"/>
    <row r="6540" ht="42" customHeight="1"/>
    <row r="6541" ht="42" customHeight="1"/>
    <row r="6542" ht="42" customHeight="1"/>
    <row r="6543" ht="42" customHeight="1"/>
    <row r="6544" ht="42" customHeight="1"/>
    <row r="6545" ht="42" customHeight="1"/>
    <row r="6546" ht="42" customHeight="1"/>
    <row r="6547" ht="42" customHeight="1"/>
    <row r="6548" ht="42" customHeight="1"/>
    <row r="6549" ht="42" customHeight="1"/>
    <row r="6550" ht="42" customHeight="1"/>
    <row r="6551" ht="42" customHeight="1"/>
    <row r="6552" ht="42" customHeight="1"/>
    <row r="6553" ht="42" customHeight="1"/>
    <row r="6554" ht="42" customHeight="1"/>
    <row r="6555" ht="42" customHeight="1"/>
    <row r="6556" ht="42" customHeight="1"/>
    <row r="6557" ht="42" customHeight="1"/>
    <row r="6558" ht="42" customHeight="1"/>
    <row r="6559" ht="42" customHeight="1"/>
    <row r="6560" ht="42" customHeight="1"/>
    <row r="6561" ht="42" customHeight="1"/>
    <row r="6562" ht="42" customHeight="1"/>
    <row r="6563" ht="42" customHeight="1"/>
    <row r="6564" ht="42" customHeight="1"/>
    <row r="6565" ht="42" customHeight="1"/>
    <row r="6566" ht="42" customHeight="1"/>
    <row r="6567" ht="42" customHeight="1"/>
    <row r="6568" ht="42" customHeight="1"/>
    <row r="6569" ht="42" customHeight="1"/>
    <row r="6570" ht="42" customHeight="1"/>
    <row r="6571" ht="42" customHeight="1"/>
    <row r="6572" ht="42" customHeight="1"/>
    <row r="6573" ht="42" customHeight="1"/>
    <row r="6574" ht="42" customHeight="1"/>
    <row r="6575" ht="42" customHeight="1"/>
    <row r="6576" ht="42" customHeight="1"/>
    <row r="6577" ht="42" customHeight="1"/>
    <row r="6578" ht="42" customHeight="1"/>
    <row r="6579" ht="42" customHeight="1"/>
    <row r="6580" ht="42" customHeight="1"/>
    <row r="6581" ht="42" customHeight="1"/>
    <row r="6582" ht="42" customHeight="1"/>
    <row r="6583" ht="42" customHeight="1"/>
    <row r="6584" ht="42" customHeight="1"/>
    <row r="6585" ht="42" customHeight="1"/>
    <row r="6586" ht="42" customHeight="1"/>
    <row r="6587" ht="42" customHeight="1"/>
    <row r="6588" ht="42" customHeight="1"/>
    <row r="6589" ht="42" customHeight="1"/>
    <row r="6590" ht="42" customHeight="1"/>
    <row r="6591" ht="42" customHeight="1"/>
    <row r="6592" ht="42" customHeight="1"/>
    <row r="6593" ht="42" customHeight="1"/>
    <row r="6594" ht="42" customHeight="1"/>
    <row r="6595" ht="42" customHeight="1"/>
    <row r="6596" ht="42" customHeight="1"/>
    <row r="6597" ht="42" customHeight="1"/>
    <row r="6598" ht="42" customHeight="1"/>
    <row r="6599" ht="42" customHeight="1"/>
    <row r="6600" ht="42" customHeight="1"/>
    <row r="6601" ht="42" customHeight="1"/>
    <row r="6602" ht="42" customHeight="1"/>
    <row r="6603" ht="42" customHeight="1"/>
    <row r="6604" ht="42" customHeight="1"/>
    <row r="6605" ht="42" customHeight="1"/>
    <row r="6606" ht="42" customHeight="1"/>
    <row r="6607" ht="42" customHeight="1"/>
    <row r="6608" ht="42" customHeight="1"/>
    <row r="6609" ht="42" customHeight="1"/>
    <row r="6610" ht="42" customHeight="1"/>
    <row r="6611" ht="42" customHeight="1"/>
    <row r="6612" ht="42" customHeight="1"/>
    <row r="6613" ht="42" customHeight="1"/>
    <row r="6614" ht="42" customHeight="1"/>
    <row r="6615" ht="42" customHeight="1"/>
    <row r="6616" ht="42" customHeight="1"/>
    <row r="6617" ht="42" customHeight="1"/>
    <row r="6618" ht="42" customHeight="1"/>
    <row r="6619" ht="42" customHeight="1"/>
    <row r="6620" ht="42" customHeight="1"/>
    <row r="6621" ht="42" customHeight="1"/>
    <row r="6622" ht="42" customHeight="1"/>
    <row r="6623" ht="42" customHeight="1"/>
    <row r="6624" ht="42" customHeight="1"/>
    <row r="6625" ht="42" customHeight="1"/>
    <row r="6626" ht="42" customHeight="1"/>
    <row r="6627" ht="42" customHeight="1"/>
    <row r="6628" ht="42" customHeight="1"/>
    <row r="6629" ht="42" customHeight="1"/>
    <row r="6630" ht="42" customHeight="1"/>
    <row r="6631" ht="42" customHeight="1"/>
    <row r="6632" ht="42" customHeight="1"/>
    <row r="6633" ht="42" customHeight="1"/>
    <row r="6634" ht="42" customHeight="1"/>
    <row r="6635" ht="42" customHeight="1"/>
    <row r="6636" ht="42" customHeight="1"/>
    <row r="6637" ht="42" customHeight="1"/>
    <row r="6638" ht="42" customHeight="1"/>
    <row r="6639" ht="42" customHeight="1"/>
    <row r="6640" ht="42" customHeight="1"/>
    <row r="6641" ht="42" customHeight="1"/>
    <row r="6642" ht="42" customHeight="1"/>
    <row r="6643" ht="42" customHeight="1"/>
    <row r="6644" ht="42" customHeight="1"/>
    <row r="6645" ht="42" customHeight="1"/>
    <row r="6646" ht="42" customHeight="1"/>
    <row r="6647" ht="42" customHeight="1"/>
    <row r="6648" ht="42" customHeight="1"/>
    <row r="6649" ht="42" customHeight="1"/>
    <row r="6650" ht="42" customHeight="1"/>
    <row r="6651" ht="42" customHeight="1"/>
    <row r="6652" ht="42" customHeight="1"/>
    <row r="6653" ht="42" customHeight="1"/>
    <row r="6654" ht="42" customHeight="1"/>
    <row r="6655" ht="42" customHeight="1"/>
    <row r="6656" ht="42" customHeight="1"/>
    <row r="6657" ht="42" customHeight="1"/>
    <row r="6658" ht="42" customHeight="1"/>
    <row r="6659" ht="42" customHeight="1"/>
    <row r="6660" ht="42" customHeight="1"/>
    <row r="6661" ht="42" customHeight="1"/>
    <row r="6662" ht="42" customHeight="1"/>
    <row r="6663" ht="42" customHeight="1"/>
    <row r="6664" ht="42" customHeight="1"/>
    <row r="6665" ht="42" customHeight="1"/>
    <row r="6666" ht="42" customHeight="1"/>
    <row r="6667" ht="42" customHeight="1"/>
    <row r="6668" ht="42" customHeight="1"/>
    <row r="6669" ht="42" customHeight="1"/>
    <row r="6670" ht="42" customHeight="1"/>
    <row r="6671" ht="42" customHeight="1"/>
    <row r="6672" ht="42" customHeight="1"/>
    <row r="6673" ht="42" customHeight="1"/>
    <row r="6674" ht="42" customHeight="1"/>
    <row r="6675" ht="42" customHeight="1"/>
    <row r="6676" ht="42" customHeight="1"/>
    <row r="6677" ht="42" customHeight="1"/>
    <row r="6678" ht="42" customHeight="1"/>
    <row r="6679" ht="42" customHeight="1"/>
    <row r="6680" ht="42" customHeight="1"/>
    <row r="6681" ht="42" customHeight="1"/>
    <row r="6682" ht="42" customHeight="1"/>
    <row r="6683" ht="42" customHeight="1"/>
    <row r="6684" ht="42" customHeight="1"/>
    <row r="6685" ht="42" customHeight="1"/>
    <row r="6686" ht="42" customHeight="1"/>
    <row r="6687" ht="42" customHeight="1"/>
    <row r="6688" ht="42" customHeight="1"/>
    <row r="6689" ht="42" customHeight="1"/>
    <row r="6690" ht="42" customHeight="1"/>
    <row r="6691" ht="42" customHeight="1"/>
    <row r="6692" ht="42" customHeight="1"/>
    <row r="6693" ht="42" customHeight="1"/>
    <row r="6694" ht="42" customHeight="1"/>
    <row r="6695" ht="42" customHeight="1"/>
    <row r="6696" ht="42" customHeight="1"/>
    <row r="6697" ht="42" customHeight="1"/>
    <row r="6698" ht="42" customHeight="1"/>
    <row r="6699" ht="42" customHeight="1"/>
    <row r="6700" ht="42" customHeight="1"/>
    <row r="6701" ht="42" customHeight="1"/>
    <row r="6702" ht="42" customHeight="1"/>
    <row r="6703" ht="42" customHeight="1"/>
    <row r="6704" ht="42" customHeight="1"/>
    <row r="6705" ht="42" customHeight="1"/>
    <row r="6706" ht="42" customHeight="1"/>
    <row r="6707" ht="42" customHeight="1"/>
    <row r="6708" ht="42" customHeight="1"/>
    <row r="6709" ht="42" customHeight="1"/>
    <row r="6710" ht="42" customHeight="1"/>
    <row r="6711" ht="42" customHeight="1"/>
    <row r="6712" ht="42" customHeight="1"/>
    <row r="6713" ht="42" customHeight="1"/>
    <row r="6714" ht="42" customHeight="1"/>
    <row r="6715" ht="42" customHeight="1"/>
    <row r="6716" ht="42" customHeight="1"/>
    <row r="6717" ht="42" customHeight="1"/>
    <row r="6718" ht="42" customHeight="1"/>
    <row r="6719" ht="42" customHeight="1"/>
    <row r="6720" ht="42" customHeight="1"/>
    <row r="6721" ht="42" customHeight="1"/>
    <row r="6722" ht="42" customHeight="1"/>
    <row r="6723" ht="42" customHeight="1"/>
    <row r="6724" ht="42" customHeight="1"/>
    <row r="6725" ht="42" customHeight="1"/>
    <row r="6726" ht="42" customHeight="1"/>
    <row r="6727" ht="42" customHeight="1"/>
    <row r="6728" ht="42" customHeight="1"/>
    <row r="6729" ht="42" customHeight="1"/>
    <row r="6730" ht="42" customHeight="1"/>
    <row r="6731" ht="42" customHeight="1"/>
    <row r="6732" ht="42" customHeight="1"/>
    <row r="6733" ht="42" customHeight="1"/>
    <row r="6734" ht="42" customHeight="1"/>
    <row r="6735" ht="42" customHeight="1"/>
    <row r="6736" ht="42" customHeight="1"/>
    <row r="6737" ht="42" customHeight="1"/>
    <row r="6738" ht="42" customHeight="1"/>
    <row r="6739" ht="42" customHeight="1"/>
    <row r="6740" ht="42" customHeight="1"/>
    <row r="6741" ht="42" customHeight="1"/>
    <row r="6742" ht="42" customHeight="1"/>
    <row r="6743" ht="42" customHeight="1"/>
    <row r="6744" ht="42" customHeight="1"/>
    <row r="6745" ht="42" customHeight="1"/>
    <row r="6746" ht="42" customHeight="1"/>
    <row r="6747" ht="42" customHeight="1"/>
    <row r="6748" ht="42" customHeight="1"/>
    <row r="6749" ht="42" customHeight="1"/>
    <row r="6750" ht="42" customHeight="1"/>
    <row r="6751" ht="42" customHeight="1"/>
    <row r="6752" ht="42" customHeight="1"/>
    <row r="6753" ht="42" customHeight="1"/>
    <row r="6754" ht="42" customHeight="1"/>
    <row r="6755" ht="42" customHeight="1"/>
    <row r="6756" ht="42" customHeight="1"/>
    <row r="6757" ht="42" customHeight="1"/>
    <row r="6758" ht="42" customHeight="1"/>
    <row r="6759" ht="42" customHeight="1"/>
    <row r="6760" ht="42" customHeight="1"/>
    <row r="6761" ht="42" customHeight="1"/>
    <row r="6762" ht="42" customHeight="1"/>
    <row r="6763" ht="42" customHeight="1"/>
    <row r="6764" ht="42" customHeight="1"/>
    <row r="6765" ht="42" customHeight="1"/>
    <row r="6766" ht="42" customHeight="1"/>
    <row r="6767" ht="42" customHeight="1"/>
    <row r="6768" ht="42" customHeight="1"/>
    <row r="6769" ht="42" customHeight="1"/>
    <row r="6770" ht="42" customHeight="1"/>
    <row r="6771" ht="42" customHeight="1"/>
    <row r="6772" ht="42" customHeight="1"/>
    <row r="6773" ht="42" customHeight="1"/>
    <row r="6774" ht="42" customHeight="1"/>
    <row r="6775" ht="42" customHeight="1"/>
    <row r="6776" ht="42" customHeight="1"/>
    <row r="6777" ht="42" customHeight="1"/>
    <row r="6778" ht="42" customHeight="1"/>
    <row r="6779" ht="42" customHeight="1"/>
    <row r="6780" ht="42" customHeight="1"/>
    <row r="6781" ht="42" customHeight="1"/>
    <row r="6782" ht="42" customHeight="1"/>
    <row r="6783" ht="42" customHeight="1"/>
    <row r="6784" ht="42" customHeight="1"/>
    <row r="6785" ht="42" customHeight="1"/>
    <row r="6786" ht="42" customHeight="1"/>
    <row r="6787" ht="42" customHeight="1"/>
    <row r="6788" ht="42" customHeight="1"/>
    <row r="6789" ht="42" customHeight="1"/>
    <row r="6790" ht="42" customHeight="1"/>
    <row r="6791" ht="42" customHeight="1"/>
    <row r="6792" ht="42" customHeight="1"/>
    <row r="6793" ht="42" customHeight="1"/>
    <row r="6794" ht="42" customHeight="1"/>
    <row r="6795" ht="42" customHeight="1"/>
    <row r="6796" ht="42" customHeight="1"/>
    <row r="6797" ht="42" customHeight="1"/>
    <row r="6798" ht="42" customHeight="1"/>
    <row r="6799" ht="42" customHeight="1"/>
    <row r="6800" ht="42" customHeight="1"/>
    <row r="6801" ht="42" customHeight="1"/>
    <row r="6802" ht="42" customHeight="1"/>
    <row r="6803" ht="42" customHeight="1"/>
    <row r="6804" ht="42" customHeight="1"/>
    <row r="6805" ht="42" customHeight="1"/>
    <row r="6806" ht="42" customHeight="1"/>
    <row r="6807" ht="42" customHeight="1"/>
    <row r="6808" ht="42" customHeight="1"/>
    <row r="6809" ht="42" customHeight="1"/>
    <row r="6810" ht="42" customHeight="1"/>
    <row r="6811" ht="42" customHeight="1"/>
    <row r="6812" ht="42" customHeight="1"/>
    <row r="6813" ht="42" customHeight="1"/>
    <row r="6814" ht="42" customHeight="1"/>
    <row r="6815" ht="42" customHeight="1"/>
    <row r="6816" ht="42" customHeight="1"/>
    <row r="6817" ht="42" customHeight="1"/>
    <row r="6818" ht="42" customHeight="1"/>
    <row r="6819" ht="42" customHeight="1"/>
    <row r="6820" ht="42" customHeight="1"/>
    <row r="6821" ht="42" customHeight="1"/>
    <row r="6822" ht="42" customHeight="1"/>
    <row r="6823" ht="42" customHeight="1"/>
    <row r="6824" ht="42" customHeight="1"/>
    <row r="6825" ht="42" customHeight="1"/>
    <row r="6826" ht="42" customHeight="1"/>
    <row r="6827" ht="42" customHeight="1"/>
    <row r="6828" ht="42" customHeight="1"/>
    <row r="6829" ht="42" customHeight="1"/>
    <row r="6830" ht="42" customHeight="1"/>
    <row r="6831" ht="42" customHeight="1"/>
    <row r="6832" ht="42" customHeight="1"/>
    <row r="6833" ht="42" customHeight="1"/>
    <row r="6834" ht="42" customHeight="1"/>
    <row r="6835" ht="42" customHeight="1"/>
    <row r="6836" ht="42" customHeight="1"/>
    <row r="6837" ht="42" customHeight="1"/>
    <row r="6838" ht="42" customHeight="1"/>
    <row r="6839" ht="42" customHeight="1"/>
    <row r="6840" ht="42" customHeight="1"/>
    <row r="6841" ht="42" customHeight="1"/>
    <row r="6842" ht="42" customHeight="1"/>
    <row r="6843" ht="42" customHeight="1"/>
    <row r="6844" ht="42" customHeight="1"/>
    <row r="6845" ht="42" customHeight="1"/>
    <row r="6846" ht="42" customHeight="1"/>
    <row r="6847" ht="42" customHeight="1"/>
    <row r="6848" ht="42" customHeight="1"/>
    <row r="6849" ht="42" customHeight="1"/>
    <row r="6850" ht="42" customHeight="1"/>
    <row r="6851" ht="42" customHeight="1"/>
    <row r="6852" ht="42" customHeight="1"/>
    <row r="6853" ht="42" customHeight="1"/>
    <row r="6854" ht="42" customHeight="1"/>
    <row r="6855" ht="42" customHeight="1"/>
    <row r="6856" ht="42" customHeight="1"/>
    <row r="6857" ht="42" customHeight="1"/>
    <row r="6858" ht="42" customHeight="1"/>
    <row r="6859" ht="42" customHeight="1"/>
    <row r="6860" ht="42" customHeight="1"/>
    <row r="6861" ht="42" customHeight="1"/>
    <row r="6862" ht="42" customHeight="1"/>
    <row r="6863" ht="42" customHeight="1"/>
    <row r="6864" ht="42" customHeight="1"/>
    <row r="6865" ht="42" customHeight="1"/>
    <row r="6866" ht="42" customHeight="1"/>
    <row r="6867" ht="42" customHeight="1"/>
    <row r="6868" ht="42" customHeight="1"/>
    <row r="6869" ht="42" customHeight="1"/>
    <row r="6870" ht="42" customHeight="1"/>
    <row r="6871" ht="42" customHeight="1"/>
    <row r="6872" ht="42" customHeight="1"/>
    <row r="6873" ht="42" customHeight="1"/>
    <row r="6874" ht="42" customHeight="1"/>
    <row r="6875" ht="42" customHeight="1"/>
    <row r="6876" ht="42" customHeight="1"/>
    <row r="6877" ht="42" customHeight="1"/>
    <row r="6878" ht="42" customHeight="1"/>
    <row r="6879" ht="42" customHeight="1"/>
    <row r="6880" ht="42" customHeight="1"/>
    <row r="6881" ht="42" customHeight="1"/>
    <row r="6882" ht="42" customHeight="1"/>
    <row r="6883" ht="42" customHeight="1"/>
    <row r="6884" ht="42" customHeight="1"/>
    <row r="6885" ht="42" customHeight="1"/>
    <row r="6886" ht="42" customHeight="1"/>
    <row r="6887" ht="42" customHeight="1"/>
    <row r="6888" ht="42" customHeight="1"/>
    <row r="6889" ht="42" customHeight="1"/>
    <row r="6890" ht="42" customHeight="1"/>
    <row r="6891" ht="42" customHeight="1"/>
    <row r="6892" ht="42" customHeight="1"/>
    <row r="6893" ht="42" customHeight="1"/>
    <row r="6894" ht="42" customHeight="1"/>
    <row r="6895" ht="42" customHeight="1"/>
    <row r="6896" ht="42" customHeight="1"/>
    <row r="6897" ht="42" customHeight="1"/>
    <row r="6898" ht="42" customHeight="1"/>
    <row r="6899" ht="42" customHeight="1"/>
    <row r="6900" ht="42" customHeight="1"/>
    <row r="6901" ht="42" customHeight="1"/>
    <row r="6902" ht="42" customHeight="1"/>
    <row r="6903" ht="42" customHeight="1"/>
    <row r="6904" ht="42" customHeight="1"/>
    <row r="6905" ht="42" customHeight="1"/>
    <row r="6906" ht="42" customHeight="1"/>
    <row r="6907" ht="42" customHeight="1"/>
    <row r="6908" ht="42" customHeight="1"/>
    <row r="6909" ht="42" customHeight="1"/>
    <row r="6910" ht="42" customHeight="1"/>
    <row r="6911" ht="42" customHeight="1"/>
    <row r="6912" ht="42" customHeight="1"/>
    <row r="6913" ht="42" customHeight="1"/>
    <row r="6914" ht="42" customHeight="1"/>
    <row r="6915" ht="42" customHeight="1"/>
    <row r="6916" ht="42" customHeight="1"/>
    <row r="6917" ht="42" customHeight="1"/>
    <row r="6918" ht="42" customHeight="1"/>
    <row r="6919" ht="42" customHeight="1"/>
    <row r="6920" ht="42" customHeight="1"/>
    <row r="6921" ht="42" customHeight="1"/>
    <row r="6922" ht="42" customHeight="1"/>
    <row r="6923" ht="42" customHeight="1"/>
    <row r="6924" ht="42" customHeight="1"/>
    <row r="6925" ht="42" customHeight="1"/>
    <row r="6926" ht="42" customHeight="1"/>
    <row r="6927" ht="42" customHeight="1"/>
    <row r="6928" ht="42" customHeight="1"/>
    <row r="6929" ht="42" customHeight="1"/>
    <row r="6930" ht="42" customHeight="1"/>
    <row r="6931" ht="42" customHeight="1"/>
    <row r="6932" ht="42" customHeight="1"/>
    <row r="6933" ht="42" customHeight="1"/>
    <row r="6934" ht="42" customHeight="1"/>
    <row r="6935" ht="42" customHeight="1"/>
    <row r="6936" ht="42" customHeight="1"/>
    <row r="6937" ht="42" customHeight="1"/>
    <row r="6938" ht="42" customHeight="1"/>
    <row r="6939" ht="42" customHeight="1"/>
    <row r="6940" ht="42" customHeight="1"/>
    <row r="6941" ht="42" customHeight="1"/>
    <row r="6942" ht="42" customHeight="1"/>
    <row r="6943" ht="42" customHeight="1"/>
    <row r="6944" ht="42" customHeight="1"/>
    <row r="6945" ht="42" customHeight="1"/>
    <row r="6946" ht="42" customHeight="1"/>
    <row r="6947" ht="42" customHeight="1"/>
    <row r="6948" ht="42" customHeight="1"/>
    <row r="6949" ht="42" customHeight="1"/>
    <row r="6950" ht="42" customHeight="1"/>
    <row r="6951" ht="42" customHeight="1"/>
    <row r="6952" ht="42" customHeight="1"/>
    <row r="6953" ht="42" customHeight="1"/>
    <row r="6954" ht="42" customHeight="1"/>
    <row r="6955" ht="42" customHeight="1"/>
    <row r="6956" ht="42" customHeight="1"/>
    <row r="6957" ht="42" customHeight="1"/>
    <row r="6958" ht="42" customHeight="1"/>
    <row r="6959" ht="42" customHeight="1"/>
    <row r="6960" ht="42" customHeight="1"/>
    <row r="6961" ht="42" customHeight="1"/>
    <row r="6962" ht="42" customHeight="1"/>
    <row r="6963" ht="42" customHeight="1"/>
    <row r="6964" ht="42" customHeight="1"/>
    <row r="6965" ht="42" customHeight="1"/>
    <row r="6966" ht="42" customHeight="1"/>
    <row r="6967" ht="42" customHeight="1"/>
    <row r="6968" ht="42" customHeight="1"/>
    <row r="6969" ht="42" customHeight="1"/>
    <row r="6970" ht="42" customHeight="1"/>
    <row r="6971" ht="42" customHeight="1"/>
    <row r="6972" ht="42" customHeight="1"/>
    <row r="6973" ht="42" customHeight="1"/>
    <row r="6974" ht="42" customHeight="1"/>
    <row r="6975" ht="42" customHeight="1"/>
    <row r="6976" ht="42" customHeight="1"/>
    <row r="6977" ht="42" customHeight="1"/>
    <row r="6978" ht="42" customHeight="1"/>
    <row r="6979" ht="42" customHeight="1"/>
    <row r="6980" ht="42" customHeight="1"/>
    <row r="6981" ht="42" customHeight="1"/>
    <row r="6982" ht="42" customHeight="1"/>
    <row r="6983" ht="42" customHeight="1"/>
    <row r="6984" ht="42" customHeight="1"/>
    <row r="6985" ht="42" customHeight="1"/>
    <row r="6986" ht="42" customHeight="1"/>
    <row r="6987" ht="42" customHeight="1"/>
    <row r="6988" ht="42" customHeight="1"/>
    <row r="6989" ht="42" customHeight="1"/>
    <row r="6990" ht="42" customHeight="1"/>
    <row r="6991" ht="42" customHeight="1"/>
    <row r="6992" ht="42" customHeight="1"/>
    <row r="6993" ht="42" customHeight="1"/>
    <row r="6994" ht="42" customHeight="1"/>
    <row r="6995" ht="42" customHeight="1"/>
    <row r="6996" ht="42" customHeight="1"/>
    <row r="6997" ht="42" customHeight="1"/>
    <row r="6998" ht="42" customHeight="1"/>
    <row r="6999" ht="42" customHeight="1"/>
    <row r="7000" ht="42" customHeight="1"/>
    <row r="7001" ht="42" customHeight="1"/>
    <row r="7002" ht="42" customHeight="1"/>
    <row r="7003" ht="42" customHeight="1"/>
    <row r="7004" ht="42" customHeight="1"/>
    <row r="7005" ht="42" customHeight="1"/>
    <row r="7006" ht="42" customHeight="1"/>
    <row r="7007" ht="42" customHeight="1"/>
    <row r="7008" ht="42" customHeight="1"/>
    <row r="7009" ht="42" customHeight="1"/>
    <row r="7010" ht="42" customHeight="1"/>
    <row r="7011" ht="42" customHeight="1"/>
    <row r="7012" ht="42" customHeight="1"/>
    <row r="7013" ht="42" customHeight="1"/>
    <row r="7014" ht="42" customHeight="1"/>
    <row r="7015" ht="42" customHeight="1"/>
    <row r="7016" ht="42" customHeight="1"/>
    <row r="7017" ht="42" customHeight="1"/>
    <row r="7018" ht="42" customHeight="1"/>
    <row r="7019" ht="42" customHeight="1"/>
    <row r="7020" ht="42" customHeight="1"/>
    <row r="7021" ht="42" customHeight="1"/>
    <row r="7022" ht="42" customHeight="1"/>
    <row r="7023" ht="42" customHeight="1"/>
    <row r="7024" ht="42" customHeight="1"/>
    <row r="7025" ht="42" customHeight="1"/>
    <row r="7026" ht="42" customHeight="1"/>
    <row r="7027" ht="42" customHeight="1"/>
    <row r="7028" ht="42" customHeight="1"/>
    <row r="7029" ht="42" customHeight="1"/>
    <row r="7030" ht="42" customHeight="1"/>
    <row r="7031" ht="42" customHeight="1"/>
    <row r="7032" ht="42" customHeight="1"/>
    <row r="7033" ht="42" customHeight="1"/>
    <row r="7034" ht="42" customHeight="1"/>
    <row r="7035" ht="42" customHeight="1"/>
    <row r="7036" ht="42" customHeight="1"/>
    <row r="7037" ht="42" customHeight="1"/>
    <row r="7038" ht="42" customHeight="1"/>
    <row r="7039" ht="42" customHeight="1"/>
    <row r="7040" ht="42" customHeight="1"/>
    <row r="7041" ht="42" customHeight="1"/>
    <row r="7042" ht="42" customHeight="1"/>
    <row r="7043" ht="42" customHeight="1"/>
    <row r="7044" ht="42" customHeight="1"/>
    <row r="7045" ht="42" customHeight="1"/>
    <row r="7046" ht="42" customHeight="1"/>
    <row r="7047" ht="42" customHeight="1"/>
    <row r="7048" ht="42" customHeight="1"/>
    <row r="7049" ht="42" customHeight="1"/>
    <row r="7050" ht="42" customHeight="1"/>
    <row r="7051" ht="42" customHeight="1"/>
    <row r="7052" ht="42" customHeight="1"/>
    <row r="7053" ht="42" customHeight="1"/>
    <row r="7054" ht="42" customHeight="1"/>
    <row r="7055" ht="42" customHeight="1"/>
    <row r="7056" ht="42" customHeight="1"/>
    <row r="7057" ht="42" customHeight="1"/>
    <row r="7058" ht="42" customHeight="1"/>
    <row r="7059" ht="42" customHeight="1"/>
    <row r="7060" ht="42" customHeight="1"/>
    <row r="7061" ht="42" customHeight="1"/>
    <row r="7062" ht="42" customHeight="1"/>
    <row r="7063" ht="42" customHeight="1"/>
    <row r="7064" ht="42" customHeight="1"/>
    <row r="7065" ht="42" customHeight="1"/>
    <row r="7066" ht="42" customHeight="1"/>
    <row r="7067" ht="42" customHeight="1"/>
    <row r="7068" ht="42" customHeight="1"/>
    <row r="7069" ht="42" customHeight="1"/>
    <row r="7070" ht="42" customHeight="1"/>
    <row r="7071" ht="42" customHeight="1"/>
    <row r="7072" ht="42" customHeight="1"/>
    <row r="7073" ht="42" customHeight="1"/>
    <row r="7074" ht="42" customHeight="1"/>
    <row r="7075" ht="42" customHeight="1"/>
    <row r="7076" ht="42" customHeight="1"/>
    <row r="7077" ht="42" customHeight="1"/>
    <row r="7078" ht="42" customHeight="1"/>
    <row r="7079" ht="42" customHeight="1"/>
    <row r="7080" ht="42" customHeight="1"/>
    <row r="7081" ht="42" customHeight="1"/>
    <row r="7082" ht="42" customHeight="1"/>
    <row r="7083" ht="42" customHeight="1"/>
    <row r="7084" ht="42" customHeight="1"/>
    <row r="7085" ht="42" customHeight="1"/>
    <row r="7086" ht="42" customHeight="1"/>
    <row r="7087" ht="42" customHeight="1"/>
    <row r="7088" ht="42" customHeight="1"/>
    <row r="7089" ht="42" customHeight="1"/>
    <row r="7090" ht="42" customHeight="1"/>
    <row r="7091" ht="42" customHeight="1"/>
    <row r="7092" ht="42" customHeight="1"/>
    <row r="7093" ht="42" customHeight="1"/>
    <row r="7094" ht="42" customHeight="1"/>
    <row r="7095" ht="42" customHeight="1"/>
    <row r="7096" ht="42" customHeight="1"/>
    <row r="7097" ht="42" customHeight="1"/>
    <row r="7098" ht="42" customHeight="1"/>
    <row r="7099" ht="42" customHeight="1"/>
    <row r="7100" ht="42" customHeight="1"/>
    <row r="7101" ht="42" customHeight="1"/>
    <row r="7102" ht="42" customHeight="1"/>
    <row r="7103" ht="42" customHeight="1"/>
    <row r="7104" ht="42" customHeight="1"/>
    <row r="7105" ht="42" customHeight="1"/>
    <row r="7106" ht="42" customHeight="1"/>
    <row r="7107" ht="42" customHeight="1"/>
    <row r="7108" ht="42" customHeight="1"/>
    <row r="7109" ht="42" customHeight="1"/>
    <row r="7110" ht="42" customHeight="1"/>
    <row r="7111" ht="42" customHeight="1"/>
    <row r="7112" ht="42" customHeight="1"/>
    <row r="7113" ht="42" customHeight="1"/>
    <row r="7114" ht="42" customHeight="1"/>
    <row r="7115" ht="42" customHeight="1"/>
    <row r="7116" ht="42" customHeight="1"/>
    <row r="7117" ht="42" customHeight="1"/>
    <row r="7118" ht="42" customHeight="1"/>
    <row r="7119" ht="42" customHeight="1"/>
    <row r="7120" ht="42" customHeight="1"/>
    <row r="7121" ht="42" customHeight="1"/>
    <row r="7122" ht="42" customHeight="1"/>
    <row r="7123" ht="42" customHeight="1"/>
    <row r="7124" ht="42" customHeight="1"/>
    <row r="7125" ht="42" customHeight="1"/>
    <row r="7126" ht="42" customHeight="1"/>
    <row r="7127" ht="42" customHeight="1"/>
    <row r="7128" ht="42" customHeight="1"/>
    <row r="7129" ht="42" customHeight="1"/>
    <row r="7130" ht="42" customHeight="1"/>
    <row r="7131" ht="42" customHeight="1"/>
    <row r="7132" ht="42" customHeight="1"/>
    <row r="7133" ht="42" customHeight="1"/>
    <row r="7134" ht="42" customHeight="1"/>
    <row r="7135" ht="42" customHeight="1"/>
    <row r="7136" ht="42" customHeight="1"/>
    <row r="7137" ht="42" customHeight="1"/>
    <row r="7138" ht="42" customHeight="1"/>
    <row r="7139" ht="42" customHeight="1"/>
    <row r="7140" ht="42" customHeight="1"/>
    <row r="7141" ht="42" customHeight="1"/>
    <row r="7142" ht="42" customHeight="1"/>
    <row r="7143" ht="42" customHeight="1"/>
    <row r="7144" ht="42" customHeight="1"/>
    <row r="7145" ht="42" customHeight="1"/>
    <row r="7146" ht="42" customHeight="1"/>
    <row r="7147" ht="42" customHeight="1"/>
    <row r="7148" ht="42" customHeight="1"/>
    <row r="7149" ht="42" customHeight="1"/>
    <row r="7150" ht="42" customHeight="1"/>
    <row r="7151" ht="42" customHeight="1"/>
    <row r="7152" ht="42" customHeight="1"/>
    <row r="7153" ht="42" customHeight="1"/>
    <row r="7154" ht="42" customHeight="1"/>
    <row r="7155" ht="42" customHeight="1"/>
    <row r="7156" ht="42" customHeight="1"/>
    <row r="7157" ht="42" customHeight="1"/>
    <row r="7158" ht="42" customHeight="1"/>
    <row r="7159" ht="42" customHeight="1"/>
    <row r="7160" ht="42" customHeight="1"/>
    <row r="7161" ht="42" customHeight="1"/>
    <row r="7162" ht="42" customHeight="1"/>
    <row r="7163" ht="42" customHeight="1"/>
    <row r="7164" ht="42" customHeight="1"/>
    <row r="7165" ht="42" customHeight="1"/>
    <row r="7166" ht="42" customHeight="1"/>
    <row r="7167" ht="42" customHeight="1"/>
    <row r="7168" ht="42" customHeight="1"/>
    <row r="7169" ht="42" customHeight="1"/>
    <row r="7170" ht="42" customHeight="1"/>
    <row r="7171" ht="42" customHeight="1"/>
    <row r="7172" ht="42" customHeight="1"/>
    <row r="7173" ht="42" customHeight="1"/>
    <row r="7174" ht="42" customHeight="1"/>
    <row r="7175" ht="42" customHeight="1"/>
    <row r="7176" ht="42" customHeight="1"/>
    <row r="7177" ht="42" customHeight="1"/>
    <row r="7178" ht="42" customHeight="1"/>
    <row r="7179" ht="42" customHeight="1"/>
    <row r="7180" ht="42" customHeight="1"/>
    <row r="7181" ht="42" customHeight="1"/>
    <row r="7182" ht="42" customHeight="1"/>
    <row r="7183" ht="42" customHeight="1"/>
    <row r="7184" ht="42" customHeight="1"/>
    <row r="7185" ht="42" customHeight="1"/>
    <row r="7186" ht="42" customHeight="1"/>
    <row r="7187" ht="42" customHeight="1"/>
    <row r="7188" ht="42" customHeight="1"/>
    <row r="7189" ht="42" customHeight="1"/>
    <row r="7190" ht="42" customHeight="1"/>
    <row r="7191" ht="42" customHeight="1"/>
    <row r="7192" ht="42" customHeight="1"/>
    <row r="7193" ht="42" customHeight="1"/>
    <row r="7194" ht="42" customHeight="1"/>
    <row r="7195" ht="42" customHeight="1"/>
    <row r="7196" ht="42" customHeight="1"/>
    <row r="7197" ht="42" customHeight="1"/>
    <row r="7198" ht="42" customHeight="1"/>
    <row r="7199" ht="42" customHeight="1"/>
    <row r="7200" ht="42" customHeight="1"/>
    <row r="7201" ht="42" customHeight="1"/>
    <row r="7202" ht="42" customHeight="1"/>
    <row r="7203" ht="42" customHeight="1"/>
    <row r="7204" ht="42" customHeight="1"/>
    <row r="7205" ht="42" customHeight="1"/>
    <row r="7206" ht="42" customHeight="1"/>
    <row r="7207" ht="42" customHeight="1"/>
    <row r="7208" ht="42" customHeight="1"/>
    <row r="7209" ht="42" customHeight="1"/>
    <row r="7210" ht="42" customHeight="1"/>
    <row r="7211" ht="42" customHeight="1"/>
    <row r="7212" ht="42" customHeight="1"/>
    <row r="7213" ht="42" customHeight="1"/>
    <row r="7214" ht="42" customHeight="1"/>
    <row r="7215" ht="42" customHeight="1"/>
    <row r="7216" ht="42" customHeight="1"/>
    <row r="7217" ht="42" customHeight="1"/>
    <row r="7218" ht="42" customHeight="1"/>
    <row r="7219" ht="42" customHeight="1"/>
    <row r="7220" ht="42" customHeight="1"/>
    <row r="7221" ht="42" customHeight="1"/>
    <row r="7222" ht="42" customHeight="1"/>
    <row r="7223" ht="42" customHeight="1"/>
    <row r="7224" ht="42" customHeight="1"/>
    <row r="7225" ht="42" customHeight="1"/>
    <row r="7226" ht="42" customHeight="1"/>
    <row r="7227" ht="42" customHeight="1"/>
    <row r="7228" ht="42" customHeight="1"/>
    <row r="7229" ht="42" customHeight="1"/>
    <row r="7230" ht="42" customHeight="1"/>
    <row r="7231" ht="42" customHeight="1"/>
    <row r="7232" ht="42" customHeight="1"/>
    <row r="7233" ht="42" customHeight="1"/>
    <row r="7234" ht="42" customHeight="1"/>
    <row r="7235" ht="42" customHeight="1"/>
    <row r="7236" ht="42" customHeight="1"/>
    <row r="7237" ht="42" customHeight="1"/>
    <row r="7238" ht="42" customHeight="1"/>
    <row r="7239" ht="42" customHeight="1"/>
    <row r="7240" ht="42" customHeight="1"/>
    <row r="7241" ht="42" customHeight="1"/>
    <row r="7242" ht="42" customHeight="1"/>
    <row r="7243" ht="42" customHeight="1"/>
    <row r="7244" ht="42" customHeight="1"/>
    <row r="7245" ht="42" customHeight="1"/>
    <row r="7246" ht="42" customHeight="1"/>
    <row r="7247" ht="42" customHeight="1"/>
    <row r="7248" ht="42" customHeight="1"/>
    <row r="7249" ht="42" customHeight="1"/>
    <row r="7250" ht="42" customHeight="1"/>
    <row r="7251" ht="42" customHeight="1"/>
    <row r="7252" ht="42" customHeight="1"/>
    <row r="7253" ht="42" customHeight="1"/>
    <row r="7254" ht="42" customHeight="1"/>
    <row r="7255" ht="42" customHeight="1"/>
    <row r="7256" ht="42" customHeight="1"/>
    <row r="7257" ht="42" customHeight="1"/>
    <row r="7258" ht="42" customHeight="1"/>
    <row r="7259" ht="42" customHeight="1"/>
    <row r="7260" ht="42" customHeight="1"/>
    <row r="7261" ht="42" customHeight="1"/>
    <row r="7262" ht="42" customHeight="1"/>
    <row r="7263" ht="42" customHeight="1"/>
    <row r="7264" ht="42" customHeight="1"/>
    <row r="7265" ht="42" customHeight="1"/>
    <row r="7266" ht="42" customHeight="1"/>
    <row r="7267" ht="42" customHeight="1"/>
    <row r="7268" ht="42" customHeight="1"/>
    <row r="7269" ht="42" customHeight="1"/>
    <row r="7270" ht="42" customHeight="1"/>
    <row r="7271" ht="42" customHeight="1"/>
    <row r="7272" ht="42" customHeight="1"/>
    <row r="7273" ht="42" customHeight="1"/>
    <row r="7274" ht="42" customHeight="1"/>
    <row r="7275" ht="42" customHeight="1"/>
    <row r="7276" ht="42" customHeight="1"/>
    <row r="7277" ht="42" customHeight="1"/>
    <row r="7278" ht="42" customHeight="1"/>
    <row r="7279" ht="42" customHeight="1"/>
    <row r="7280" ht="42" customHeight="1"/>
    <row r="7281" ht="42" customHeight="1"/>
    <row r="7282" ht="42" customHeight="1"/>
    <row r="7283" ht="42" customHeight="1"/>
    <row r="7284" ht="42" customHeight="1"/>
    <row r="7285" ht="42" customHeight="1"/>
    <row r="7286" ht="42" customHeight="1"/>
    <row r="7287" ht="42" customHeight="1"/>
    <row r="7288" ht="42" customHeight="1"/>
    <row r="7289" ht="42" customHeight="1"/>
    <row r="7290" ht="42" customHeight="1"/>
    <row r="7291" ht="42" customHeight="1"/>
    <row r="7292" ht="42" customHeight="1"/>
    <row r="7293" ht="42" customHeight="1"/>
    <row r="7294" ht="42" customHeight="1"/>
    <row r="7295" ht="42" customHeight="1"/>
    <row r="7296" ht="42" customHeight="1"/>
    <row r="7297" ht="42" customHeight="1"/>
    <row r="7298" ht="42" customHeight="1"/>
    <row r="7299" ht="42" customHeight="1"/>
    <row r="7300" ht="42" customHeight="1"/>
    <row r="7301" ht="42" customHeight="1"/>
    <row r="7302" ht="42" customHeight="1"/>
    <row r="7303" ht="42" customHeight="1"/>
    <row r="7304" ht="42" customHeight="1"/>
    <row r="7305" ht="42" customHeight="1"/>
    <row r="7306" ht="42" customHeight="1"/>
    <row r="7307" ht="42" customHeight="1"/>
    <row r="7308" ht="42" customHeight="1"/>
    <row r="7309" ht="42" customHeight="1"/>
    <row r="7310" ht="42" customHeight="1"/>
    <row r="7311" ht="42" customHeight="1"/>
    <row r="7312" ht="42" customHeight="1"/>
    <row r="7313" ht="42" customHeight="1"/>
    <row r="7314" ht="42" customHeight="1"/>
    <row r="7315" ht="42" customHeight="1"/>
    <row r="7316" ht="42" customHeight="1"/>
    <row r="7317" ht="42" customHeight="1"/>
    <row r="7318" ht="42" customHeight="1"/>
    <row r="7319" ht="42" customHeight="1"/>
    <row r="7320" ht="42" customHeight="1"/>
    <row r="7321" ht="42" customHeight="1"/>
    <row r="7322" ht="42" customHeight="1"/>
    <row r="7323" ht="42" customHeight="1"/>
    <row r="7324" ht="42" customHeight="1"/>
    <row r="7325" ht="42" customHeight="1"/>
    <row r="7326" ht="42" customHeight="1"/>
    <row r="7327" ht="42" customHeight="1"/>
    <row r="7328" ht="42" customHeight="1"/>
    <row r="7329" ht="42" customHeight="1"/>
    <row r="7330" ht="42" customHeight="1"/>
    <row r="7331" ht="42" customHeight="1"/>
    <row r="7332" ht="42" customHeight="1"/>
    <row r="7333" ht="42" customHeight="1"/>
    <row r="7334" ht="42" customHeight="1"/>
    <row r="7335" ht="42" customHeight="1"/>
    <row r="7336" ht="42" customHeight="1"/>
    <row r="7337" ht="42" customHeight="1"/>
    <row r="7338" ht="42" customHeight="1"/>
    <row r="7339" ht="42" customHeight="1"/>
    <row r="7340" ht="42" customHeight="1"/>
    <row r="7341" ht="42" customHeight="1"/>
    <row r="7342" ht="42" customHeight="1"/>
    <row r="7343" ht="42" customHeight="1"/>
    <row r="7344" ht="42" customHeight="1"/>
    <row r="7345" ht="42" customHeight="1"/>
    <row r="7346" ht="42" customHeight="1"/>
    <row r="7347" ht="42" customHeight="1"/>
    <row r="7348" ht="42" customHeight="1"/>
    <row r="7349" ht="42" customHeight="1"/>
    <row r="7350" ht="42" customHeight="1"/>
    <row r="7351" ht="42" customHeight="1"/>
    <row r="7352" ht="42" customHeight="1"/>
    <row r="7353" ht="42" customHeight="1"/>
    <row r="7354" ht="42" customHeight="1"/>
    <row r="7355" ht="42" customHeight="1"/>
    <row r="7356" ht="42" customHeight="1"/>
    <row r="7357" ht="42" customHeight="1"/>
    <row r="7358" ht="42" customHeight="1"/>
    <row r="7359" ht="42" customHeight="1"/>
    <row r="7360" ht="42" customHeight="1"/>
    <row r="7361" ht="42" customHeight="1"/>
    <row r="7362" ht="42" customHeight="1"/>
    <row r="7363" ht="42" customHeight="1"/>
    <row r="7364" ht="42" customHeight="1"/>
    <row r="7365" ht="42" customHeight="1"/>
    <row r="7366" ht="42" customHeight="1"/>
    <row r="7367" ht="42" customHeight="1"/>
    <row r="7368" ht="42" customHeight="1"/>
    <row r="7369" ht="42" customHeight="1"/>
    <row r="7370" ht="42" customHeight="1"/>
    <row r="7371" ht="42" customHeight="1"/>
    <row r="7372" ht="42" customHeight="1"/>
    <row r="7373" ht="42" customHeight="1"/>
    <row r="7374" ht="42" customHeight="1"/>
    <row r="7375" ht="42" customHeight="1"/>
    <row r="7376" ht="42" customHeight="1"/>
    <row r="7377" ht="42" customHeight="1"/>
    <row r="7378" ht="42" customHeight="1"/>
    <row r="7379" ht="42" customHeight="1"/>
    <row r="7380" ht="42" customHeight="1"/>
    <row r="7381" ht="42" customHeight="1"/>
    <row r="7382" ht="42" customHeight="1"/>
    <row r="7383" ht="42" customHeight="1"/>
    <row r="7384" ht="42" customHeight="1"/>
    <row r="7385" ht="42" customHeight="1"/>
    <row r="7386" ht="42" customHeight="1"/>
    <row r="7387" ht="42" customHeight="1"/>
    <row r="7388" ht="42" customHeight="1"/>
    <row r="7389" ht="42" customHeight="1"/>
    <row r="7390" ht="42" customHeight="1"/>
    <row r="7391" ht="42" customHeight="1"/>
    <row r="7392" ht="42" customHeight="1"/>
    <row r="7393" ht="42" customHeight="1"/>
    <row r="7394" ht="42" customHeight="1"/>
    <row r="7395" ht="42" customHeight="1"/>
    <row r="7396" ht="42" customHeight="1"/>
    <row r="7397" ht="42" customHeight="1"/>
    <row r="7398" ht="42" customHeight="1"/>
    <row r="7399" ht="42" customHeight="1"/>
    <row r="7400" ht="42" customHeight="1"/>
    <row r="7401" ht="42" customHeight="1"/>
    <row r="7402" ht="42" customHeight="1"/>
    <row r="7403" ht="42" customHeight="1"/>
    <row r="7404" ht="42" customHeight="1"/>
    <row r="7405" ht="42" customHeight="1"/>
    <row r="7406" ht="42" customHeight="1"/>
    <row r="7407" ht="42" customHeight="1"/>
    <row r="7408" ht="42" customHeight="1"/>
    <row r="7409" ht="42" customHeight="1"/>
    <row r="7410" ht="42" customHeight="1"/>
    <row r="7411" ht="42" customHeight="1"/>
    <row r="7412" ht="42" customHeight="1"/>
    <row r="7413" ht="42" customHeight="1"/>
    <row r="7414" ht="42" customHeight="1"/>
    <row r="7415" ht="42" customHeight="1"/>
    <row r="7416" ht="42" customHeight="1"/>
    <row r="7417" ht="42" customHeight="1"/>
    <row r="7418" ht="42" customHeight="1"/>
    <row r="7419" ht="42" customHeight="1"/>
    <row r="7420" ht="42" customHeight="1"/>
    <row r="7421" ht="42" customHeight="1"/>
    <row r="7422" ht="42" customHeight="1"/>
    <row r="7423" ht="42" customHeight="1"/>
    <row r="7424" ht="42" customHeight="1"/>
    <row r="7425" ht="42" customHeight="1"/>
    <row r="7426" ht="42" customHeight="1"/>
    <row r="7427" ht="42" customHeight="1"/>
    <row r="7428" ht="42" customHeight="1"/>
    <row r="7429" ht="42" customHeight="1"/>
    <row r="7430" ht="42" customHeight="1"/>
    <row r="7431" ht="42" customHeight="1"/>
    <row r="7432" ht="42" customHeight="1"/>
    <row r="7433" ht="42" customHeight="1"/>
    <row r="7434" ht="42" customHeight="1"/>
    <row r="7435" ht="42" customHeight="1"/>
    <row r="7436" ht="42" customHeight="1"/>
    <row r="7437" ht="42" customHeight="1"/>
    <row r="7438" ht="42" customHeight="1"/>
    <row r="7439" ht="42" customHeight="1"/>
    <row r="7440" ht="42" customHeight="1"/>
    <row r="7441" ht="42" customHeight="1"/>
    <row r="7442" ht="42" customHeight="1"/>
    <row r="7443" ht="42" customHeight="1"/>
    <row r="7444" ht="42" customHeight="1"/>
    <row r="7445" ht="42" customHeight="1"/>
    <row r="7446" ht="42" customHeight="1"/>
    <row r="7447" ht="42" customHeight="1"/>
    <row r="7448" ht="42" customHeight="1"/>
    <row r="7449" ht="42" customHeight="1"/>
    <row r="7450" ht="42" customHeight="1"/>
    <row r="7451" ht="42" customHeight="1"/>
    <row r="7452" ht="42" customHeight="1"/>
    <row r="7453" ht="42" customHeight="1"/>
    <row r="7454" ht="42" customHeight="1"/>
    <row r="7455" ht="42" customHeight="1"/>
    <row r="7456" ht="42" customHeight="1"/>
    <row r="7457" ht="42" customHeight="1"/>
    <row r="7458" ht="42" customHeight="1"/>
    <row r="7459" ht="42" customHeight="1"/>
    <row r="7460" ht="42" customHeight="1"/>
    <row r="7461" ht="42" customHeight="1"/>
    <row r="7462" ht="42" customHeight="1"/>
    <row r="7463" ht="42" customHeight="1"/>
    <row r="7464" ht="42" customHeight="1"/>
    <row r="7465" ht="42" customHeight="1"/>
    <row r="7466" ht="42" customHeight="1"/>
    <row r="7467" ht="42" customHeight="1"/>
    <row r="7468" ht="42" customHeight="1"/>
    <row r="7469" ht="42" customHeight="1"/>
    <row r="7470" ht="42" customHeight="1"/>
    <row r="7471" ht="42" customHeight="1"/>
    <row r="7472" ht="42" customHeight="1"/>
    <row r="7473" ht="42" customHeight="1"/>
    <row r="7474" ht="42" customHeight="1"/>
    <row r="7475" ht="42" customHeight="1"/>
    <row r="7476" ht="42" customHeight="1"/>
    <row r="7477" ht="42" customHeight="1"/>
    <row r="7478" ht="42" customHeight="1"/>
    <row r="7479" ht="42" customHeight="1"/>
    <row r="7480" ht="42" customHeight="1"/>
    <row r="7481" ht="42" customHeight="1"/>
    <row r="7482" ht="42" customHeight="1"/>
    <row r="7483" ht="42" customHeight="1"/>
    <row r="7484" ht="42" customHeight="1"/>
    <row r="7485" ht="42" customHeight="1"/>
    <row r="7486" ht="42" customHeight="1"/>
    <row r="7487" ht="42" customHeight="1"/>
    <row r="7488" ht="42" customHeight="1"/>
    <row r="7489" ht="42" customHeight="1"/>
    <row r="7490" ht="42" customHeight="1"/>
    <row r="7491" ht="42" customHeight="1"/>
    <row r="7492" ht="42" customHeight="1"/>
    <row r="7493" ht="42" customHeight="1"/>
    <row r="7494" ht="42" customHeight="1"/>
    <row r="7495" ht="42" customHeight="1"/>
    <row r="7496" ht="42" customHeight="1"/>
    <row r="7497" ht="42" customHeight="1"/>
    <row r="7498" ht="42" customHeight="1"/>
    <row r="7499" ht="42" customHeight="1"/>
    <row r="7500" ht="42" customHeight="1"/>
    <row r="7501" ht="42" customHeight="1"/>
    <row r="7502" ht="42" customHeight="1"/>
    <row r="7503" ht="42" customHeight="1"/>
    <row r="7504" ht="42" customHeight="1"/>
    <row r="7505" ht="42" customHeight="1"/>
    <row r="7506" ht="42" customHeight="1"/>
    <row r="7507" ht="42" customHeight="1"/>
    <row r="7508" ht="42" customHeight="1"/>
    <row r="7509" ht="42" customHeight="1"/>
    <row r="7510" ht="42" customHeight="1"/>
    <row r="7511" ht="42" customHeight="1"/>
    <row r="7512" ht="42" customHeight="1"/>
    <row r="7513" ht="42" customHeight="1"/>
    <row r="7514" ht="42" customHeight="1"/>
    <row r="7515" ht="42" customHeight="1"/>
    <row r="7516" ht="42" customHeight="1"/>
    <row r="7517" ht="42" customHeight="1"/>
    <row r="7518" ht="42" customHeight="1"/>
    <row r="7519" ht="42" customHeight="1"/>
    <row r="7520" ht="42" customHeight="1"/>
    <row r="7521" ht="42" customHeight="1"/>
    <row r="7522" ht="42" customHeight="1"/>
    <row r="7523" ht="42" customHeight="1"/>
    <row r="7524" ht="42" customHeight="1"/>
    <row r="7525" ht="42" customHeight="1"/>
    <row r="7526" ht="42" customHeight="1"/>
    <row r="7527" ht="42" customHeight="1"/>
    <row r="7528" ht="42" customHeight="1"/>
    <row r="7529" ht="42" customHeight="1"/>
    <row r="7530" ht="42" customHeight="1"/>
    <row r="7531" ht="42" customHeight="1"/>
    <row r="7532" ht="42" customHeight="1"/>
    <row r="7533" ht="42" customHeight="1"/>
    <row r="7534" ht="42" customHeight="1"/>
    <row r="7535" ht="42" customHeight="1"/>
    <row r="7536" ht="42" customHeight="1"/>
    <row r="7537" ht="42" customHeight="1"/>
    <row r="7538" ht="42" customHeight="1"/>
    <row r="7539" ht="42" customHeight="1"/>
    <row r="7540" ht="42" customHeight="1"/>
    <row r="7541" ht="42" customHeight="1"/>
    <row r="7542" ht="42" customHeight="1"/>
    <row r="7543" ht="42" customHeight="1"/>
    <row r="7544" ht="42" customHeight="1"/>
    <row r="7545" ht="42" customHeight="1"/>
    <row r="7546" ht="42" customHeight="1"/>
    <row r="7547" ht="42" customHeight="1"/>
    <row r="7548" ht="42" customHeight="1"/>
    <row r="7549" ht="42" customHeight="1"/>
    <row r="7550" ht="42" customHeight="1"/>
    <row r="7551" ht="42" customHeight="1"/>
    <row r="7552" ht="42" customHeight="1"/>
    <row r="7553" ht="42" customHeight="1"/>
    <row r="7554" ht="42" customHeight="1"/>
    <row r="7555" ht="42" customHeight="1"/>
    <row r="7556" ht="42" customHeight="1"/>
    <row r="7557" ht="42" customHeight="1"/>
    <row r="7558" ht="42" customHeight="1"/>
    <row r="7559" ht="42" customHeight="1"/>
    <row r="7560" ht="42" customHeight="1"/>
    <row r="7561" ht="42" customHeight="1"/>
    <row r="7562" ht="42" customHeight="1"/>
    <row r="7563" ht="42" customHeight="1"/>
    <row r="7564" ht="42" customHeight="1"/>
    <row r="7565" ht="42" customHeight="1"/>
    <row r="7566" ht="42" customHeight="1"/>
    <row r="7567" ht="42" customHeight="1"/>
    <row r="7568" ht="42" customHeight="1"/>
    <row r="7569" ht="42" customHeight="1"/>
    <row r="7570" ht="42" customHeight="1"/>
    <row r="7571" ht="42" customHeight="1"/>
    <row r="7572" ht="42" customHeight="1"/>
    <row r="7573" ht="42" customHeight="1"/>
    <row r="7574" ht="42" customHeight="1"/>
    <row r="7575" ht="42" customHeight="1"/>
    <row r="7576" ht="42" customHeight="1"/>
    <row r="7577" ht="42" customHeight="1"/>
    <row r="7578" ht="42" customHeight="1"/>
    <row r="7579" ht="42" customHeight="1"/>
    <row r="7580" ht="42" customHeight="1"/>
    <row r="7581" ht="42" customHeight="1"/>
    <row r="7582" ht="42" customHeight="1"/>
    <row r="7583" ht="42" customHeight="1"/>
    <row r="7584" ht="42" customHeight="1"/>
    <row r="7585" ht="42" customHeight="1"/>
    <row r="7586" ht="42" customHeight="1"/>
    <row r="7587" ht="42" customHeight="1"/>
    <row r="7588" ht="42" customHeight="1"/>
    <row r="7589" ht="42" customHeight="1"/>
    <row r="7590" ht="42" customHeight="1"/>
    <row r="7591" ht="42" customHeight="1"/>
    <row r="7592" ht="42" customHeight="1"/>
    <row r="7593" ht="42" customHeight="1"/>
    <row r="7594" ht="42" customHeight="1"/>
    <row r="7595" ht="42" customHeight="1"/>
    <row r="7596" ht="42" customHeight="1"/>
    <row r="7597" ht="42" customHeight="1"/>
    <row r="7598" ht="42" customHeight="1"/>
    <row r="7599" ht="42" customHeight="1"/>
    <row r="7600" ht="42" customHeight="1"/>
    <row r="7601" ht="42" customHeight="1"/>
    <row r="7602" ht="42" customHeight="1"/>
    <row r="7603" ht="42" customHeight="1"/>
    <row r="7604" ht="42" customHeight="1"/>
    <row r="7605" ht="42" customHeight="1"/>
    <row r="7606" ht="42" customHeight="1"/>
    <row r="7607" ht="42" customHeight="1"/>
    <row r="7608" ht="42" customHeight="1"/>
    <row r="7609" ht="42" customHeight="1"/>
    <row r="7610" ht="42" customHeight="1"/>
    <row r="7611" ht="42" customHeight="1"/>
    <row r="7612" ht="42" customHeight="1"/>
    <row r="7613" ht="42" customHeight="1"/>
    <row r="7614" ht="42" customHeight="1"/>
    <row r="7615" ht="42" customHeight="1"/>
    <row r="7616" ht="42" customHeight="1"/>
    <row r="7617" ht="42" customHeight="1"/>
    <row r="7618" ht="42" customHeight="1"/>
    <row r="7619" ht="42" customHeight="1"/>
    <row r="7620" ht="42" customHeight="1"/>
    <row r="7621" ht="42" customHeight="1"/>
    <row r="7622" ht="42" customHeight="1"/>
    <row r="7623" ht="42" customHeight="1"/>
    <row r="7624" ht="42" customHeight="1"/>
    <row r="7625" ht="42" customHeight="1"/>
    <row r="7626" ht="42" customHeight="1"/>
    <row r="7627" ht="42" customHeight="1"/>
    <row r="7628" ht="42" customHeight="1"/>
    <row r="7629" ht="42" customHeight="1"/>
    <row r="7630" ht="42" customHeight="1"/>
    <row r="7631" ht="42" customHeight="1"/>
    <row r="7632" ht="42" customHeight="1"/>
    <row r="7633" ht="42" customHeight="1"/>
    <row r="7634" ht="42" customHeight="1"/>
    <row r="7635" ht="42" customHeight="1"/>
    <row r="7636" ht="42" customHeight="1"/>
    <row r="7637" ht="42" customHeight="1"/>
    <row r="7638" ht="42" customHeight="1"/>
    <row r="7639" ht="42" customHeight="1"/>
    <row r="7640" ht="42" customHeight="1"/>
    <row r="7641" ht="42" customHeight="1"/>
    <row r="7642" ht="42" customHeight="1"/>
    <row r="7643" ht="42" customHeight="1"/>
    <row r="7644" ht="42" customHeight="1"/>
    <row r="7645" ht="42" customHeight="1"/>
    <row r="7646" ht="42" customHeight="1"/>
    <row r="7647" ht="42" customHeight="1"/>
    <row r="7648" ht="42" customHeight="1"/>
    <row r="7649" ht="42" customHeight="1"/>
    <row r="7650" ht="42" customHeight="1"/>
    <row r="7651" ht="42" customHeight="1"/>
    <row r="7652" ht="42" customHeight="1"/>
    <row r="7653" ht="42" customHeight="1"/>
    <row r="7654" ht="42" customHeight="1"/>
    <row r="7655" ht="42" customHeight="1"/>
    <row r="7656" ht="42" customHeight="1"/>
    <row r="7657" ht="42" customHeight="1"/>
    <row r="7658" ht="42" customHeight="1"/>
    <row r="7659" ht="42" customHeight="1"/>
    <row r="7660" ht="42" customHeight="1"/>
    <row r="7661" ht="42" customHeight="1"/>
    <row r="7662" ht="42" customHeight="1"/>
    <row r="7663" ht="42" customHeight="1"/>
    <row r="7664" ht="42" customHeight="1"/>
    <row r="7665" ht="42" customHeight="1"/>
    <row r="7666" ht="42" customHeight="1"/>
    <row r="7667" ht="42" customHeight="1"/>
    <row r="7668" ht="42" customHeight="1"/>
    <row r="7669" ht="42" customHeight="1"/>
    <row r="7670" ht="42" customHeight="1"/>
    <row r="7671" ht="42" customHeight="1"/>
    <row r="7672" ht="42" customHeight="1"/>
    <row r="7673" ht="42" customHeight="1"/>
    <row r="7674" ht="42" customHeight="1"/>
    <row r="7675" ht="42" customHeight="1"/>
    <row r="7676" ht="42" customHeight="1"/>
    <row r="7677" ht="42" customHeight="1"/>
    <row r="7678" ht="42" customHeight="1"/>
    <row r="7679" ht="42" customHeight="1"/>
    <row r="7680" ht="42" customHeight="1"/>
    <row r="7681" ht="42" customHeight="1"/>
    <row r="7682" ht="42" customHeight="1"/>
    <row r="7683" ht="42" customHeight="1"/>
    <row r="7684" ht="42" customHeight="1"/>
    <row r="7685" ht="42" customHeight="1"/>
    <row r="7686" ht="42" customHeight="1"/>
    <row r="7687" ht="42" customHeight="1"/>
    <row r="7688" ht="42" customHeight="1"/>
    <row r="7689" ht="42" customHeight="1"/>
    <row r="7690" ht="42" customHeight="1"/>
    <row r="7691" ht="42" customHeight="1"/>
    <row r="7692" ht="42" customHeight="1"/>
    <row r="7693" ht="42" customHeight="1"/>
    <row r="7694" ht="42" customHeight="1"/>
    <row r="7695" ht="42" customHeight="1"/>
    <row r="7696" ht="42" customHeight="1"/>
    <row r="7697" ht="42" customHeight="1"/>
    <row r="7698" ht="42" customHeight="1"/>
    <row r="7699" ht="42" customHeight="1"/>
    <row r="7700" ht="42" customHeight="1"/>
    <row r="7701" ht="42" customHeight="1"/>
    <row r="7702" ht="42" customHeight="1"/>
    <row r="7703" ht="42" customHeight="1"/>
    <row r="7704" ht="42" customHeight="1"/>
    <row r="7705" ht="42" customHeight="1"/>
    <row r="7706" ht="42" customHeight="1"/>
    <row r="7707" ht="42" customHeight="1"/>
    <row r="7708" ht="42" customHeight="1"/>
    <row r="7709" ht="42" customHeight="1"/>
    <row r="7710" ht="42" customHeight="1"/>
    <row r="7711" ht="42" customHeight="1"/>
    <row r="7712" ht="42" customHeight="1"/>
    <row r="7713" ht="42" customHeight="1"/>
    <row r="7714" ht="42" customHeight="1"/>
    <row r="7715" ht="42" customHeight="1"/>
    <row r="7716" ht="42" customHeight="1"/>
    <row r="7717" ht="42" customHeight="1"/>
    <row r="7718" ht="42" customHeight="1"/>
    <row r="7719" ht="42" customHeight="1"/>
    <row r="7720" ht="42" customHeight="1"/>
    <row r="7721" ht="42" customHeight="1"/>
    <row r="7722" ht="42" customHeight="1"/>
    <row r="7723" ht="42" customHeight="1"/>
    <row r="7724" ht="42" customHeight="1"/>
    <row r="7725" ht="42" customHeight="1"/>
    <row r="7726" ht="42" customHeight="1"/>
    <row r="7727" ht="42" customHeight="1"/>
    <row r="7728" ht="42" customHeight="1"/>
    <row r="7729" ht="42" customHeight="1"/>
    <row r="7730" ht="42" customHeight="1"/>
    <row r="7731" ht="42" customHeight="1"/>
    <row r="7732" ht="42" customHeight="1"/>
    <row r="7733" ht="42" customHeight="1"/>
    <row r="7734" ht="42" customHeight="1"/>
    <row r="7735" ht="42" customHeight="1"/>
    <row r="7736" ht="42" customHeight="1"/>
    <row r="7737" ht="42" customHeight="1"/>
    <row r="7738" ht="42" customHeight="1"/>
    <row r="7739" ht="42" customHeight="1"/>
    <row r="7740" ht="42" customHeight="1"/>
    <row r="7741" ht="42" customHeight="1"/>
    <row r="7742" ht="42" customHeight="1"/>
    <row r="7743" ht="42" customHeight="1"/>
    <row r="7744" ht="42" customHeight="1"/>
    <row r="7745" ht="42" customHeight="1"/>
    <row r="7746" ht="42" customHeight="1"/>
    <row r="7747" ht="42" customHeight="1"/>
    <row r="7748" ht="42" customHeight="1"/>
    <row r="7749" ht="42" customHeight="1"/>
    <row r="7750" ht="42" customHeight="1"/>
    <row r="7751" ht="42" customHeight="1"/>
    <row r="7752" ht="42" customHeight="1"/>
    <row r="7753" ht="42" customHeight="1"/>
    <row r="7754" ht="42" customHeight="1"/>
    <row r="7755" ht="42" customHeight="1"/>
    <row r="7756" ht="42" customHeight="1"/>
    <row r="7757" ht="42" customHeight="1"/>
    <row r="7758" ht="42" customHeight="1"/>
    <row r="7759" ht="42" customHeight="1"/>
    <row r="7760" ht="42" customHeight="1"/>
    <row r="7761" ht="42" customHeight="1"/>
    <row r="7762" ht="42" customHeight="1"/>
    <row r="7763" ht="42" customHeight="1"/>
    <row r="7764" ht="42" customHeight="1"/>
    <row r="7765" ht="42" customHeight="1"/>
    <row r="7766" ht="42" customHeight="1"/>
    <row r="7767" ht="42" customHeight="1"/>
    <row r="7768" ht="42" customHeight="1"/>
    <row r="7769" ht="42" customHeight="1"/>
    <row r="7770" ht="42" customHeight="1"/>
    <row r="7771" ht="42" customHeight="1"/>
    <row r="7772" ht="42" customHeight="1"/>
    <row r="7773" ht="42" customHeight="1"/>
    <row r="7774" ht="42" customHeight="1"/>
    <row r="7775" ht="42" customHeight="1"/>
    <row r="7776" ht="42" customHeight="1"/>
    <row r="7777" ht="42" customHeight="1"/>
    <row r="7778" ht="42" customHeight="1"/>
    <row r="7779" ht="42" customHeight="1"/>
    <row r="7780" ht="42" customHeight="1"/>
    <row r="7781" ht="42" customHeight="1"/>
    <row r="7782" ht="42" customHeight="1"/>
    <row r="7783" ht="42" customHeight="1"/>
    <row r="7784" ht="42" customHeight="1"/>
    <row r="7785" ht="42" customHeight="1"/>
    <row r="7786" ht="42" customHeight="1"/>
    <row r="7787" ht="42" customHeight="1"/>
    <row r="7788" ht="42" customHeight="1"/>
    <row r="7789" ht="42" customHeight="1"/>
    <row r="7790" ht="42" customHeight="1"/>
    <row r="7791" ht="42" customHeight="1"/>
    <row r="7792" ht="42" customHeight="1"/>
    <row r="7793" ht="42" customHeight="1"/>
    <row r="7794" ht="42" customHeight="1"/>
    <row r="7795" ht="42" customHeight="1"/>
    <row r="7796" ht="42" customHeight="1"/>
    <row r="7797" ht="42" customHeight="1"/>
    <row r="7798" ht="42" customHeight="1"/>
    <row r="7799" ht="42" customHeight="1"/>
    <row r="7800" ht="42" customHeight="1"/>
    <row r="7801" ht="42" customHeight="1"/>
    <row r="7802" ht="42" customHeight="1"/>
    <row r="7803" ht="42" customHeight="1"/>
    <row r="7804" ht="42" customHeight="1"/>
    <row r="7805" ht="42" customHeight="1"/>
    <row r="7806" ht="42" customHeight="1"/>
    <row r="7807" ht="42" customHeight="1"/>
    <row r="7808" ht="42" customHeight="1"/>
    <row r="7809" ht="42" customHeight="1"/>
    <row r="7810" ht="42" customHeight="1"/>
    <row r="7811" ht="42" customHeight="1"/>
    <row r="7812" ht="42" customHeight="1"/>
    <row r="7813" ht="42" customHeight="1"/>
    <row r="7814" ht="42" customHeight="1"/>
    <row r="7815" ht="42" customHeight="1"/>
    <row r="7816" ht="42" customHeight="1"/>
    <row r="7817" ht="42" customHeight="1"/>
    <row r="7818" ht="42" customHeight="1"/>
    <row r="7819" ht="42" customHeight="1"/>
    <row r="7820" ht="42" customHeight="1"/>
    <row r="7821" ht="42" customHeight="1"/>
    <row r="7822" ht="42" customHeight="1"/>
    <row r="7823" ht="42" customHeight="1"/>
    <row r="7824" ht="42" customHeight="1"/>
    <row r="7825" ht="42" customHeight="1"/>
    <row r="7826" ht="42" customHeight="1"/>
    <row r="7827" ht="42" customHeight="1"/>
    <row r="7828" ht="42" customHeight="1"/>
    <row r="7829" ht="42" customHeight="1"/>
    <row r="7830" ht="42" customHeight="1"/>
    <row r="7831" ht="42" customHeight="1"/>
    <row r="7832" ht="42" customHeight="1"/>
    <row r="7833" ht="42" customHeight="1"/>
    <row r="7834" ht="42" customHeight="1"/>
    <row r="7835" ht="42" customHeight="1"/>
    <row r="7836" ht="42" customHeight="1"/>
    <row r="7837" ht="42" customHeight="1"/>
    <row r="7838" ht="42" customHeight="1"/>
    <row r="7839" ht="42" customHeight="1"/>
    <row r="7840" ht="42" customHeight="1"/>
    <row r="7841" ht="42" customHeight="1"/>
    <row r="7842" ht="42" customHeight="1"/>
    <row r="7843" ht="42" customHeight="1"/>
    <row r="7844" ht="42" customHeight="1"/>
    <row r="7845" ht="42" customHeight="1"/>
    <row r="7846" ht="42" customHeight="1"/>
    <row r="7847" ht="42" customHeight="1"/>
    <row r="7848" ht="42" customHeight="1"/>
    <row r="7849" ht="42" customHeight="1"/>
    <row r="7850" ht="42" customHeight="1"/>
    <row r="7851" ht="42" customHeight="1"/>
    <row r="7852" ht="42" customHeight="1"/>
    <row r="7853" ht="42" customHeight="1"/>
    <row r="7854" ht="42" customHeight="1"/>
    <row r="7855" ht="42" customHeight="1"/>
    <row r="7856" ht="42" customHeight="1"/>
    <row r="7857" ht="42" customHeight="1"/>
    <row r="7858" ht="42" customHeight="1"/>
    <row r="7859" ht="42" customHeight="1"/>
    <row r="7860" ht="42" customHeight="1"/>
    <row r="7861" ht="42" customHeight="1"/>
    <row r="7862" ht="42" customHeight="1"/>
    <row r="7863" ht="42" customHeight="1"/>
    <row r="7864" ht="42" customHeight="1"/>
    <row r="7865" ht="42" customHeight="1"/>
    <row r="7866" ht="42" customHeight="1"/>
    <row r="7867" ht="42" customHeight="1"/>
    <row r="7868" ht="42" customHeight="1"/>
    <row r="7869" ht="42" customHeight="1"/>
    <row r="7870" ht="42" customHeight="1"/>
    <row r="7871" ht="42" customHeight="1"/>
    <row r="7872" ht="42" customHeight="1"/>
    <row r="7873" ht="42" customHeight="1"/>
    <row r="7874" ht="42" customHeight="1"/>
    <row r="7875" ht="42" customHeight="1"/>
    <row r="7876" ht="42" customHeight="1"/>
    <row r="7877" ht="42" customHeight="1"/>
    <row r="7878" ht="42" customHeight="1"/>
    <row r="7879" ht="42" customHeight="1"/>
    <row r="7880" ht="42" customHeight="1"/>
    <row r="7881" ht="42" customHeight="1"/>
    <row r="7882" ht="42" customHeight="1"/>
    <row r="7883" ht="42" customHeight="1"/>
    <row r="7884" ht="42" customHeight="1"/>
    <row r="7885" ht="42" customHeight="1"/>
    <row r="7886" ht="42" customHeight="1"/>
    <row r="7887" ht="42" customHeight="1"/>
    <row r="7888" ht="42" customHeight="1"/>
    <row r="7889" ht="42" customHeight="1"/>
    <row r="7890" ht="42" customHeight="1"/>
    <row r="7891" ht="42" customHeight="1"/>
    <row r="7892" ht="42" customHeight="1"/>
    <row r="7893" ht="42" customHeight="1"/>
    <row r="7894" ht="42" customHeight="1"/>
    <row r="7895" ht="42" customHeight="1"/>
    <row r="7896" ht="42" customHeight="1"/>
    <row r="7897" ht="42" customHeight="1"/>
    <row r="7898" ht="42" customHeight="1"/>
    <row r="7899" ht="42" customHeight="1"/>
    <row r="7900" ht="42" customHeight="1"/>
    <row r="7901" ht="42" customHeight="1"/>
    <row r="7902" ht="42" customHeight="1"/>
    <row r="7903" ht="42" customHeight="1"/>
    <row r="7904" ht="42" customHeight="1"/>
    <row r="7905" ht="42" customHeight="1"/>
    <row r="7906" ht="42" customHeight="1"/>
    <row r="7907" ht="42" customHeight="1"/>
    <row r="7908" ht="42" customHeight="1"/>
    <row r="7909" ht="42" customHeight="1"/>
    <row r="7910" ht="42" customHeight="1"/>
    <row r="7911" ht="42" customHeight="1"/>
    <row r="7912" ht="42" customHeight="1"/>
    <row r="7913" ht="42" customHeight="1"/>
    <row r="7914" ht="42" customHeight="1"/>
    <row r="7915" ht="42" customHeight="1"/>
    <row r="7916" ht="42" customHeight="1"/>
    <row r="7917" ht="42" customHeight="1"/>
    <row r="7918" ht="42" customHeight="1"/>
    <row r="7919" ht="42" customHeight="1"/>
    <row r="7920" ht="42" customHeight="1"/>
    <row r="7921" ht="42" customHeight="1"/>
    <row r="7922" ht="42" customHeight="1"/>
    <row r="7923" ht="42" customHeight="1"/>
    <row r="7924" ht="42" customHeight="1"/>
    <row r="7925" ht="42" customHeight="1"/>
    <row r="7926" ht="42" customHeight="1"/>
    <row r="7927" ht="42" customHeight="1"/>
    <row r="7928" ht="42" customHeight="1"/>
    <row r="7929" ht="42" customHeight="1"/>
    <row r="7930" ht="42" customHeight="1"/>
    <row r="7931" ht="42" customHeight="1"/>
    <row r="7932" ht="42" customHeight="1"/>
    <row r="7933" ht="42" customHeight="1"/>
    <row r="7934" ht="42" customHeight="1"/>
    <row r="7935" ht="42" customHeight="1"/>
    <row r="7936" ht="42" customHeight="1"/>
    <row r="7937" ht="42" customHeight="1"/>
    <row r="7938" ht="42" customHeight="1"/>
    <row r="7939" ht="42" customHeight="1"/>
    <row r="7940" ht="42" customHeight="1"/>
    <row r="7941" ht="42" customHeight="1"/>
    <row r="7942" ht="42" customHeight="1"/>
    <row r="7943" ht="42" customHeight="1"/>
    <row r="7944" ht="42" customHeight="1"/>
    <row r="7945" ht="42" customHeight="1"/>
    <row r="7946" ht="42" customHeight="1"/>
    <row r="7947" ht="42" customHeight="1"/>
    <row r="7948" ht="42" customHeight="1"/>
    <row r="7949" ht="42" customHeight="1"/>
    <row r="7950" ht="42" customHeight="1"/>
    <row r="7951" ht="42" customHeight="1"/>
    <row r="7952" ht="42" customHeight="1"/>
    <row r="7953" ht="42" customHeight="1"/>
    <row r="7954" ht="42" customHeight="1"/>
    <row r="7955" ht="42" customHeight="1"/>
    <row r="7956" ht="42" customHeight="1"/>
    <row r="7957" ht="42" customHeight="1"/>
    <row r="7958" ht="42" customHeight="1"/>
    <row r="7959" ht="42" customHeight="1"/>
    <row r="7960" ht="42" customHeight="1"/>
    <row r="7961" ht="42" customHeight="1"/>
    <row r="7962" ht="42" customHeight="1"/>
    <row r="7963" ht="42" customHeight="1"/>
    <row r="7964" ht="42" customHeight="1"/>
    <row r="7965" ht="42" customHeight="1"/>
    <row r="7966" ht="42" customHeight="1"/>
    <row r="7967" ht="42" customHeight="1"/>
    <row r="7968" ht="42" customHeight="1"/>
    <row r="7969" ht="42" customHeight="1"/>
    <row r="7970" ht="42" customHeight="1"/>
    <row r="7971" ht="42" customHeight="1"/>
    <row r="7972" ht="42" customHeight="1"/>
    <row r="7973" ht="42" customHeight="1"/>
    <row r="7974" ht="42" customHeight="1"/>
    <row r="7975" ht="42" customHeight="1"/>
    <row r="7976" ht="42" customHeight="1"/>
    <row r="7977" ht="42" customHeight="1"/>
    <row r="7978" ht="42" customHeight="1"/>
    <row r="7979" ht="42" customHeight="1"/>
    <row r="7980" ht="42" customHeight="1"/>
    <row r="7981" ht="42" customHeight="1"/>
    <row r="7982" ht="42" customHeight="1"/>
    <row r="7983" ht="42" customHeight="1"/>
    <row r="7984" ht="42" customHeight="1"/>
    <row r="7985" ht="42" customHeight="1"/>
    <row r="7986" ht="42" customHeight="1"/>
    <row r="7987" ht="42" customHeight="1"/>
    <row r="7988" ht="42" customHeight="1"/>
    <row r="7989" ht="42" customHeight="1"/>
    <row r="7990" ht="42" customHeight="1"/>
    <row r="7991" ht="42" customHeight="1"/>
    <row r="7992" ht="42" customHeight="1"/>
    <row r="7993" ht="42" customHeight="1"/>
    <row r="7994" ht="42" customHeight="1"/>
    <row r="7995" ht="42" customHeight="1"/>
    <row r="7996" ht="42" customHeight="1"/>
    <row r="7997" ht="42" customHeight="1"/>
    <row r="7998" ht="42" customHeight="1"/>
    <row r="7999" ht="42" customHeight="1"/>
    <row r="8000" ht="42" customHeight="1"/>
    <row r="8001" ht="42" customHeight="1"/>
    <row r="8002" ht="42" customHeight="1"/>
    <row r="8003" ht="42" customHeight="1"/>
    <row r="8004" ht="42" customHeight="1"/>
    <row r="8005" ht="42" customHeight="1"/>
    <row r="8006" ht="42" customHeight="1"/>
    <row r="8007" ht="42" customHeight="1"/>
    <row r="8008" ht="42" customHeight="1"/>
    <row r="8009" ht="42" customHeight="1"/>
    <row r="8010" ht="42" customHeight="1"/>
    <row r="8011" ht="42" customHeight="1"/>
    <row r="8012" ht="42" customHeight="1"/>
    <row r="8013" ht="42" customHeight="1"/>
    <row r="8014" ht="42" customHeight="1"/>
    <row r="8015" ht="42" customHeight="1"/>
    <row r="8016" ht="42" customHeight="1"/>
    <row r="8017" ht="42" customHeight="1"/>
    <row r="8018" ht="42" customHeight="1"/>
    <row r="8019" ht="42" customHeight="1"/>
    <row r="8020" ht="42" customHeight="1"/>
    <row r="8021" ht="42" customHeight="1"/>
    <row r="8022" ht="42" customHeight="1"/>
    <row r="8023" ht="42" customHeight="1"/>
    <row r="8024" ht="42" customHeight="1"/>
    <row r="8025" ht="42" customHeight="1"/>
    <row r="8026" ht="42" customHeight="1"/>
    <row r="8027" ht="42" customHeight="1"/>
    <row r="8028" ht="42" customHeight="1"/>
    <row r="8029" ht="42" customHeight="1"/>
    <row r="8030" ht="42" customHeight="1"/>
    <row r="8031" ht="42" customHeight="1"/>
    <row r="8032" ht="42" customHeight="1"/>
    <row r="8033" ht="42" customHeight="1"/>
    <row r="8034" ht="42" customHeight="1"/>
    <row r="8035" ht="42" customHeight="1"/>
    <row r="8036" ht="42" customHeight="1"/>
    <row r="8037" ht="42" customHeight="1"/>
    <row r="8038" ht="42" customHeight="1"/>
    <row r="8039" ht="42" customHeight="1"/>
    <row r="8040" ht="42" customHeight="1"/>
    <row r="8041" ht="42" customHeight="1"/>
    <row r="8042" ht="42" customHeight="1"/>
    <row r="8043" ht="42" customHeight="1"/>
    <row r="8044" ht="42" customHeight="1"/>
    <row r="8045" ht="42" customHeight="1"/>
    <row r="8046" ht="42" customHeight="1"/>
    <row r="8047" ht="42" customHeight="1"/>
    <row r="8048" ht="42" customHeight="1"/>
    <row r="8049" ht="42" customHeight="1"/>
    <row r="8050" ht="42" customHeight="1"/>
    <row r="8051" ht="42" customHeight="1"/>
    <row r="8052" ht="42" customHeight="1"/>
    <row r="8053" ht="42" customHeight="1"/>
    <row r="8054" ht="42" customHeight="1"/>
    <row r="8055" ht="42" customHeight="1"/>
    <row r="8056" ht="42" customHeight="1"/>
    <row r="8057" ht="42" customHeight="1"/>
    <row r="8058" ht="42" customHeight="1"/>
    <row r="8059" ht="42" customHeight="1"/>
    <row r="8060" ht="42" customHeight="1"/>
    <row r="8061" ht="42" customHeight="1"/>
    <row r="8062" ht="42" customHeight="1"/>
    <row r="8063" ht="42" customHeight="1"/>
    <row r="8064" ht="42" customHeight="1"/>
    <row r="8065" ht="42" customHeight="1"/>
    <row r="8066" ht="42" customHeight="1"/>
    <row r="8067" ht="42" customHeight="1"/>
    <row r="8068" ht="42" customHeight="1"/>
    <row r="8069" ht="42" customHeight="1"/>
    <row r="8070" ht="42" customHeight="1"/>
    <row r="8071" ht="42" customHeight="1"/>
    <row r="8072" ht="42" customHeight="1"/>
    <row r="8073" ht="42" customHeight="1"/>
    <row r="8074" ht="42" customHeight="1"/>
    <row r="8075" ht="42" customHeight="1"/>
    <row r="8076" ht="42" customHeight="1"/>
    <row r="8077" ht="42" customHeight="1"/>
    <row r="8078" ht="42" customHeight="1"/>
    <row r="8079" ht="42" customHeight="1"/>
    <row r="8080" ht="42" customHeight="1"/>
    <row r="8081" ht="42" customHeight="1"/>
    <row r="8082" ht="42" customHeight="1"/>
    <row r="8083" ht="42" customHeight="1"/>
    <row r="8084" ht="42" customHeight="1"/>
    <row r="8085" ht="42" customHeight="1"/>
    <row r="8086" ht="42" customHeight="1"/>
    <row r="8087" ht="42" customHeight="1"/>
    <row r="8088" ht="42" customHeight="1"/>
    <row r="8089" ht="42" customHeight="1"/>
    <row r="8090" ht="42" customHeight="1"/>
    <row r="8091" ht="42" customHeight="1"/>
    <row r="8092" ht="42" customHeight="1"/>
    <row r="8093" ht="42" customHeight="1"/>
    <row r="8094" ht="42" customHeight="1"/>
    <row r="8095" ht="42" customHeight="1"/>
    <row r="8096" ht="42" customHeight="1"/>
    <row r="8097" ht="42" customHeight="1"/>
    <row r="8098" ht="42" customHeight="1"/>
    <row r="8099" ht="42" customHeight="1"/>
    <row r="8100" ht="42" customHeight="1"/>
    <row r="8101" ht="42" customHeight="1"/>
    <row r="8102" ht="42" customHeight="1"/>
    <row r="8103" ht="42" customHeight="1"/>
    <row r="8104" ht="42" customHeight="1"/>
    <row r="8105" ht="42" customHeight="1"/>
    <row r="8106" ht="42" customHeight="1"/>
    <row r="8107" ht="42" customHeight="1"/>
    <row r="8108" ht="42" customHeight="1"/>
    <row r="8109" ht="42" customHeight="1"/>
    <row r="8110" ht="42" customHeight="1"/>
    <row r="8111" ht="42" customHeight="1"/>
    <row r="8112" ht="42" customHeight="1"/>
    <row r="8113" ht="42" customHeight="1"/>
    <row r="8114" ht="42" customHeight="1"/>
    <row r="8115" ht="42" customHeight="1"/>
    <row r="8116" ht="42" customHeight="1"/>
    <row r="8117" ht="42" customHeight="1"/>
    <row r="8118" ht="42" customHeight="1"/>
    <row r="8119" ht="42" customHeight="1"/>
    <row r="8120" ht="42" customHeight="1"/>
    <row r="8121" ht="42" customHeight="1"/>
    <row r="8122" ht="42" customHeight="1"/>
    <row r="8123" ht="42" customHeight="1"/>
    <row r="8124" ht="42" customHeight="1"/>
    <row r="8125" ht="42" customHeight="1"/>
    <row r="8126" ht="42" customHeight="1"/>
    <row r="8127" ht="42" customHeight="1"/>
    <row r="8128" ht="42" customHeight="1"/>
    <row r="8129" ht="42" customHeight="1"/>
    <row r="8130" ht="42" customHeight="1"/>
    <row r="8131" ht="42" customHeight="1"/>
    <row r="8132" ht="42" customHeight="1"/>
    <row r="8133" ht="42" customHeight="1"/>
    <row r="8134" ht="42" customHeight="1"/>
    <row r="8135" ht="42" customHeight="1"/>
    <row r="8136" ht="42" customHeight="1"/>
    <row r="8137" ht="42" customHeight="1"/>
    <row r="8138" ht="42" customHeight="1"/>
    <row r="8139" ht="42" customHeight="1"/>
    <row r="8140" ht="42" customHeight="1"/>
    <row r="8141" ht="42" customHeight="1"/>
    <row r="8142" ht="42" customHeight="1"/>
    <row r="8143" ht="42" customHeight="1"/>
    <row r="8144" ht="42" customHeight="1"/>
    <row r="8145" ht="42" customHeight="1"/>
    <row r="8146" ht="42" customHeight="1"/>
    <row r="8147" ht="42" customHeight="1"/>
    <row r="8148" ht="42" customHeight="1"/>
    <row r="8149" ht="42" customHeight="1"/>
    <row r="8150" ht="42" customHeight="1"/>
    <row r="8151" ht="42" customHeight="1"/>
    <row r="8152" ht="42" customHeight="1"/>
    <row r="8153" ht="42" customHeight="1"/>
    <row r="8154" ht="42" customHeight="1"/>
    <row r="8155" ht="42" customHeight="1"/>
    <row r="8156" ht="42" customHeight="1"/>
    <row r="8157" ht="42" customHeight="1"/>
    <row r="8158" ht="42" customHeight="1"/>
    <row r="8159" ht="42" customHeight="1"/>
    <row r="8160" ht="42" customHeight="1"/>
    <row r="8161" ht="42" customHeight="1"/>
    <row r="8162" ht="42" customHeight="1"/>
    <row r="8163" ht="42" customHeight="1"/>
    <row r="8164" ht="42" customHeight="1"/>
    <row r="8165" ht="42" customHeight="1"/>
    <row r="8166" ht="42" customHeight="1"/>
    <row r="8167" ht="42" customHeight="1"/>
    <row r="8168" ht="42" customHeight="1"/>
    <row r="8169" ht="42" customHeight="1"/>
    <row r="8170" ht="42" customHeight="1"/>
    <row r="8171" ht="42" customHeight="1"/>
    <row r="8172" ht="42" customHeight="1"/>
    <row r="8173" ht="42" customHeight="1"/>
    <row r="8174" ht="42" customHeight="1"/>
    <row r="8175" ht="42" customHeight="1"/>
    <row r="8176" ht="42" customHeight="1"/>
    <row r="8177" ht="42" customHeight="1"/>
    <row r="8178" ht="42" customHeight="1"/>
    <row r="8179" ht="42" customHeight="1"/>
    <row r="8180" ht="42" customHeight="1"/>
    <row r="8181" ht="42" customHeight="1"/>
    <row r="8182" ht="42" customHeight="1"/>
    <row r="8183" ht="42" customHeight="1"/>
    <row r="8184" ht="42" customHeight="1"/>
    <row r="8185" ht="42" customHeight="1"/>
    <row r="8186" ht="42" customHeight="1"/>
    <row r="8187" ht="42" customHeight="1"/>
    <row r="8188" ht="42" customHeight="1"/>
    <row r="8189" ht="42" customHeight="1"/>
    <row r="8190" ht="42" customHeight="1"/>
    <row r="8191" ht="42" customHeight="1"/>
    <row r="8192" ht="42" customHeight="1"/>
    <row r="8193" ht="42" customHeight="1"/>
    <row r="8194" ht="42" customHeight="1"/>
    <row r="8195" ht="42" customHeight="1"/>
    <row r="8196" ht="42" customHeight="1"/>
    <row r="8197" ht="42" customHeight="1"/>
    <row r="8198" ht="42" customHeight="1"/>
    <row r="8199" ht="42" customHeight="1"/>
    <row r="8200" ht="42" customHeight="1"/>
    <row r="8201" ht="42" customHeight="1"/>
    <row r="8202" ht="42" customHeight="1"/>
    <row r="8203" ht="42" customHeight="1"/>
    <row r="8204" ht="42" customHeight="1"/>
    <row r="8205" ht="42" customHeight="1"/>
    <row r="8206" ht="42" customHeight="1"/>
    <row r="8207" ht="42" customHeight="1"/>
    <row r="8208" ht="42" customHeight="1"/>
    <row r="8209" ht="42" customHeight="1"/>
    <row r="8210" ht="42" customHeight="1"/>
    <row r="8211" ht="42" customHeight="1"/>
    <row r="8212" ht="42" customHeight="1"/>
    <row r="8213" ht="42" customHeight="1"/>
    <row r="8214" ht="42" customHeight="1"/>
    <row r="8215" ht="42" customHeight="1"/>
    <row r="8216" ht="42" customHeight="1"/>
    <row r="8217" ht="42" customHeight="1"/>
    <row r="8218" ht="42" customHeight="1"/>
    <row r="8219" ht="42" customHeight="1"/>
    <row r="8220" ht="42" customHeight="1"/>
    <row r="8221" ht="42" customHeight="1"/>
    <row r="8222" ht="42" customHeight="1"/>
    <row r="8223" ht="42" customHeight="1"/>
    <row r="8224" ht="42" customHeight="1"/>
    <row r="8225" ht="42" customHeight="1"/>
    <row r="8226" ht="42" customHeight="1"/>
    <row r="8227" ht="42" customHeight="1"/>
    <row r="8228" ht="42" customHeight="1"/>
    <row r="8229" ht="42" customHeight="1"/>
    <row r="8230" ht="42" customHeight="1"/>
    <row r="8231" ht="42" customHeight="1"/>
    <row r="8232" ht="42" customHeight="1"/>
    <row r="8233" ht="42" customHeight="1"/>
    <row r="8234" ht="42" customHeight="1"/>
    <row r="8235" ht="42" customHeight="1"/>
    <row r="8236" ht="42" customHeight="1"/>
    <row r="8237" ht="42" customHeight="1"/>
    <row r="8238" ht="42" customHeight="1"/>
    <row r="8239" ht="42" customHeight="1"/>
    <row r="8240" ht="42" customHeight="1"/>
    <row r="8241" ht="42" customHeight="1"/>
    <row r="8242" ht="42" customHeight="1"/>
    <row r="8243" ht="42" customHeight="1"/>
    <row r="8244" ht="42" customHeight="1"/>
    <row r="8245" ht="42" customHeight="1"/>
    <row r="8246" ht="42" customHeight="1"/>
    <row r="8247" ht="42" customHeight="1"/>
    <row r="8248" ht="42" customHeight="1"/>
    <row r="8249" ht="42" customHeight="1"/>
    <row r="8250" ht="42" customHeight="1"/>
    <row r="8251" ht="42" customHeight="1"/>
    <row r="8252" ht="42" customHeight="1"/>
    <row r="8253" ht="42" customHeight="1"/>
    <row r="8254" ht="42" customHeight="1"/>
    <row r="8255" ht="42" customHeight="1"/>
    <row r="8256" ht="42" customHeight="1"/>
    <row r="8257" ht="42" customHeight="1"/>
    <row r="8258" ht="42" customHeight="1"/>
    <row r="8259" ht="42" customHeight="1"/>
    <row r="8260" ht="42" customHeight="1"/>
    <row r="8261" ht="42" customHeight="1"/>
    <row r="8262" ht="42" customHeight="1"/>
    <row r="8263" ht="42" customHeight="1"/>
    <row r="8264" ht="42" customHeight="1"/>
    <row r="8265" ht="42" customHeight="1"/>
    <row r="8266" ht="42" customHeight="1"/>
    <row r="8267" ht="42" customHeight="1"/>
    <row r="8268" ht="42" customHeight="1"/>
    <row r="8269" ht="42" customHeight="1"/>
    <row r="8270" ht="42" customHeight="1"/>
    <row r="8271" ht="42" customHeight="1"/>
    <row r="8272" ht="42" customHeight="1"/>
    <row r="8273" ht="42" customHeight="1"/>
    <row r="8274" ht="42" customHeight="1"/>
    <row r="8275" ht="42" customHeight="1"/>
    <row r="8276" ht="42" customHeight="1"/>
    <row r="8277" ht="42" customHeight="1"/>
    <row r="8278" ht="42" customHeight="1"/>
    <row r="8279" ht="42" customHeight="1"/>
    <row r="8280" ht="42" customHeight="1"/>
    <row r="8281" ht="42" customHeight="1"/>
    <row r="8282" ht="42" customHeight="1"/>
    <row r="8283" ht="42" customHeight="1"/>
    <row r="8284" ht="42" customHeight="1"/>
    <row r="8285" ht="42" customHeight="1"/>
    <row r="8286" ht="42" customHeight="1"/>
    <row r="8287" ht="42" customHeight="1"/>
    <row r="8288" ht="42" customHeight="1"/>
    <row r="8289" ht="42" customHeight="1"/>
    <row r="8290" ht="42" customHeight="1"/>
    <row r="8291" ht="42" customHeight="1"/>
    <row r="8292" ht="42" customHeight="1"/>
    <row r="8293" ht="42" customHeight="1"/>
    <row r="8294" ht="42" customHeight="1"/>
    <row r="8295" ht="42" customHeight="1"/>
    <row r="8296" ht="42" customHeight="1"/>
    <row r="8297" ht="42" customHeight="1"/>
    <row r="8298" ht="42" customHeight="1"/>
    <row r="8299" ht="42" customHeight="1"/>
    <row r="8300" ht="42" customHeight="1"/>
    <row r="8301" ht="42" customHeight="1"/>
    <row r="8302" ht="42" customHeight="1"/>
    <row r="8303" ht="42" customHeight="1"/>
    <row r="8304" ht="42" customHeight="1"/>
    <row r="8305" ht="42" customHeight="1"/>
    <row r="8306" ht="42" customHeight="1"/>
    <row r="8307" ht="42" customHeight="1"/>
    <row r="8308" ht="42" customHeight="1"/>
    <row r="8309" ht="42" customHeight="1"/>
    <row r="8310" ht="42" customHeight="1"/>
    <row r="8311" ht="42" customHeight="1"/>
    <row r="8312" ht="42" customHeight="1"/>
    <row r="8313" ht="42" customHeight="1"/>
    <row r="8314" ht="42" customHeight="1"/>
    <row r="8315" ht="42" customHeight="1"/>
    <row r="8316" ht="42" customHeight="1"/>
    <row r="8317" ht="42" customHeight="1"/>
    <row r="8318" ht="42" customHeight="1"/>
    <row r="8319" ht="42" customHeight="1"/>
    <row r="8320" ht="42" customHeight="1"/>
    <row r="8321" ht="42" customHeight="1"/>
    <row r="8322" ht="42" customHeight="1"/>
    <row r="8323" ht="42" customHeight="1"/>
    <row r="8324" ht="42" customHeight="1"/>
    <row r="8325" ht="42" customHeight="1"/>
    <row r="8326" ht="42" customHeight="1"/>
    <row r="8327" ht="42" customHeight="1"/>
    <row r="8328" ht="42" customHeight="1"/>
    <row r="8329" ht="42" customHeight="1"/>
    <row r="8330" ht="42" customHeight="1"/>
    <row r="8331" ht="42" customHeight="1"/>
    <row r="8332" ht="42" customHeight="1"/>
    <row r="8333" ht="42" customHeight="1"/>
    <row r="8334" ht="42" customHeight="1"/>
    <row r="8335" ht="42" customHeight="1"/>
    <row r="8336" ht="42" customHeight="1"/>
    <row r="8337" ht="42" customHeight="1"/>
    <row r="8338" ht="42" customHeight="1"/>
    <row r="8339" ht="42" customHeight="1"/>
    <row r="8340" ht="42" customHeight="1"/>
    <row r="8341" ht="42" customHeight="1"/>
    <row r="8342" ht="42" customHeight="1"/>
    <row r="8343" ht="42" customHeight="1"/>
    <row r="8344" ht="42" customHeight="1"/>
    <row r="8345" ht="42" customHeight="1"/>
    <row r="8346" ht="42" customHeight="1"/>
    <row r="8347" ht="42" customHeight="1"/>
    <row r="8348" ht="42" customHeight="1"/>
    <row r="8349" ht="42" customHeight="1"/>
    <row r="8350" ht="42" customHeight="1"/>
    <row r="8351" ht="42" customHeight="1"/>
    <row r="8352" ht="42" customHeight="1"/>
    <row r="8353" ht="42" customHeight="1"/>
    <row r="8354" ht="42" customHeight="1"/>
    <row r="8355" ht="42" customHeight="1"/>
    <row r="8356" ht="42" customHeight="1"/>
    <row r="8357" ht="42" customHeight="1"/>
    <row r="8358" ht="42" customHeight="1"/>
    <row r="8359" ht="42" customHeight="1"/>
    <row r="8360" ht="42" customHeight="1"/>
    <row r="8361" ht="42" customHeight="1"/>
    <row r="8362" ht="42" customHeight="1"/>
    <row r="8363" ht="42" customHeight="1"/>
    <row r="8364" ht="42" customHeight="1"/>
    <row r="8365" ht="42" customHeight="1"/>
    <row r="8366" ht="42" customHeight="1"/>
    <row r="8367" ht="42" customHeight="1"/>
    <row r="8368" ht="42" customHeight="1"/>
    <row r="8369" ht="42" customHeight="1"/>
    <row r="8370" ht="42" customHeight="1"/>
    <row r="8371" ht="42" customHeight="1"/>
    <row r="8372" ht="42" customHeight="1"/>
    <row r="8373" ht="42" customHeight="1"/>
    <row r="8374" ht="42" customHeight="1"/>
    <row r="8375" ht="42" customHeight="1"/>
    <row r="8376" ht="42" customHeight="1"/>
    <row r="8377" ht="42" customHeight="1"/>
    <row r="8378" ht="42" customHeight="1"/>
    <row r="8379" ht="42" customHeight="1"/>
    <row r="8380" ht="42" customHeight="1"/>
    <row r="8381" ht="42" customHeight="1"/>
    <row r="8382" ht="42" customHeight="1"/>
    <row r="8383" ht="42" customHeight="1"/>
    <row r="8384" ht="42" customHeight="1"/>
    <row r="8385" ht="42" customHeight="1"/>
    <row r="8386" ht="42" customHeight="1"/>
    <row r="8387" ht="42" customHeight="1"/>
    <row r="8388" ht="42" customHeight="1"/>
    <row r="8389" ht="42" customHeight="1"/>
    <row r="8390" ht="42" customHeight="1"/>
    <row r="8391" ht="42" customHeight="1"/>
    <row r="8392" ht="42" customHeight="1"/>
    <row r="8393" ht="42" customHeight="1"/>
    <row r="8394" ht="42" customHeight="1"/>
    <row r="8395" ht="42" customHeight="1"/>
    <row r="8396" ht="42" customHeight="1"/>
    <row r="8397" ht="42" customHeight="1"/>
    <row r="8398" ht="42" customHeight="1"/>
    <row r="8399" ht="42" customHeight="1"/>
    <row r="8400" ht="42" customHeight="1"/>
    <row r="8401" ht="42" customHeight="1"/>
    <row r="8402" ht="42" customHeight="1"/>
    <row r="8403" ht="42" customHeight="1"/>
    <row r="8404" ht="42" customHeight="1"/>
    <row r="8405" ht="42" customHeight="1"/>
    <row r="8406" ht="42" customHeight="1"/>
    <row r="8407" ht="42" customHeight="1"/>
    <row r="8408" ht="42" customHeight="1"/>
    <row r="8409" ht="42" customHeight="1"/>
    <row r="8410" ht="42" customHeight="1"/>
    <row r="8411" ht="42" customHeight="1"/>
    <row r="8412" ht="42" customHeight="1"/>
    <row r="8413" ht="42" customHeight="1"/>
    <row r="8414" ht="42" customHeight="1"/>
    <row r="8415" ht="42" customHeight="1"/>
    <row r="8416" ht="42" customHeight="1"/>
    <row r="8417" ht="42" customHeight="1"/>
    <row r="8418" ht="42" customHeight="1"/>
    <row r="8419" ht="42" customHeight="1"/>
    <row r="8420" ht="42" customHeight="1"/>
    <row r="8421" ht="42" customHeight="1"/>
    <row r="8422" ht="42" customHeight="1"/>
    <row r="8423" ht="42" customHeight="1"/>
    <row r="8424" ht="42" customHeight="1"/>
    <row r="8425" ht="42" customHeight="1"/>
    <row r="8426" ht="42" customHeight="1"/>
    <row r="8427" ht="42" customHeight="1"/>
    <row r="8428" ht="42" customHeight="1"/>
    <row r="8429" ht="42" customHeight="1"/>
    <row r="8430" ht="42" customHeight="1"/>
    <row r="8431" ht="42" customHeight="1"/>
    <row r="8432" ht="42" customHeight="1"/>
    <row r="8433" ht="42" customHeight="1"/>
    <row r="8434" ht="42" customHeight="1"/>
    <row r="8435" ht="42" customHeight="1"/>
    <row r="8436" ht="42" customHeight="1"/>
    <row r="8437" ht="42" customHeight="1"/>
    <row r="8438" ht="42" customHeight="1"/>
    <row r="8439" ht="42" customHeight="1"/>
    <row r="8440" ht="42" customHeight="1"/>
    <row r="8441" ht="42" customHeight="1"/>
    <row r="8442" ht="42" customHeight="1"/>
    <row r="8443" ht="42" customHeight="1"/>
    <row r="8444" ht="42" customHeight="1"/>
    <row r="8445" ht="42" customHeight="1"/>
    <row r="8446" ht="42" customHeight="1"/>
    <row r="8447" ht="42" customHeight="1"/>
    <row r="8448" ht="42" customHeight="1"/>
    <row r="8449" ht="42" customHeight="1"/>
    <row r="8450" ht="42" customHeight="1"/>
    <row r="8451" ht="42" customHeight="1"/>
    <row r="8452" ht="42" customHeight="1"/>
    <row r="8453" ht="42" customHeight="1"/>
    <row r="8454" ht="42" customHeight="1"/>
    <row r="8455" ht="42" customHeight="1"/>
    <row r="8456" ht="42" customHeight="1"/>
    <row r="8457" ht="42" customHeight="1"/>
    <row r="8458" ht="42" customHeight="1"/>
    <row r="8459" ht="42" customHeight="1"/>
    <row r="8460" ht="42" customHeight="1"/>
    <row r="8461" ht="42" customHeight="1"/>
    <row r="8462" ht="42" customHeight="1"/>
    <row r="8463" ht="42" customHeight="1"/>
    <row r="8464" ht="42" customHeight="1"/>
    <row r="8465" ht="42" customHeight="1"/>
    <row r="8466" ht="42" customHeight="1"/>
    <row r="8467" ht="42" customHeight="1"/>
    <row r="8468" ht="42" customHeight="1"/>
    <row r="8469" ht="42" customHeight="1"/>
    <row r="8470" ht="42" customHeight="1"/>
    <row r="8471" ht="42" customHeight="1"/>
    <row r="8472" ht="42" customHeight="1"/>
    <row r="8473" ht="42" customHeight="1"/>
    <row r="8474" ht="42" customHeight="1"/>
    <row r="8475" ht="42" customHeight="1"/>
    <row r="8476" ht="42" customHeight="1"/>
    <row r="8477" ht="42" customHeight="1"/>
    <row r="8478" ht="42" customHeight="1"/>
    <row r="8479" ht="42" customHeight="1"/>
    <row r="8480" ht="42" customHeight="1"/>
    <row r="8481" ht="42" customHeight="1"/>
    <row r="8482" ht="42" customHeight="1"/>
    <row r="8483" ht="42" customHeight="1"/>
    <row r="8484" ht="42" customHeight="1"/>
    <row r="8485" ht="42" customHeight="1"/>
    <row r="8486" ht="42" customHeight="1"/>
    <row r="8487" ht="42" customHeight="1"/>
    <row r="8488" ht="42" customHeight="1"/>
    <row r="8489" ht="42" customHeight="1"/>
    <row r="8490" ht="42" customHeight="1"/>
    <row r="8491" ht="42" customHeight="1"/>
    <row r="8492" ht="42" customHeight="1"/>
    <row r="8493" ht="42" customHeight="1"/>
    <row r="8494" ht="42" customHeight="1"/>
    <row r="8495" ht="42" customHeight="1"/>
    <row r="8496" ht="42" customHeight="1"/>
    <row r="8497" ht="42" customHeight="1"/>
    <row r="8498" ht="42" customHeight="1"/>
    <row r="8499" ht="42" customHeight="1"/>
    <row r="8500" ht="42" customHeight="1"/>
    <row r="8501" ht="42" customHeight="1"/>
    <row r="8502" ht="42" customHeight="1"/>
    <row r="8503" ht="42" customHeight="1"/>
    <row r="8504" ht="42" customHeight="1"/>
    <row r="8505" ht="42" customHeight="1"/>
    <row r="8506" ht="42" customHeight="1"/>
    <row r="8507" ht="42" customHeight="1"/>
    <row r="8508" ht="42" customHeight="1"/>
    <row r="8509" ht="42" customHeight="1"/>
    <row r="8510" ht="42" customHeight="1"/>
    <row r="8511" ht="42" customHeight="1"/>
    <row r="8512" ht="42" customHeight="1"/>
    <row r="8513" ht="42" customHeight="1"/>
    <row r="8514" ht="42" customHeight="1"/>
    <row r="8515" ht="42" customHeight="1"/>
    <row r="8516" ht="42" customHeight="1"/>
    <row r="8517" ht="42" customHeight="1"/>
    <row r="8518" ht="42" customHeight="1"/>
    <row r="8519" ht="42" customHeight="1"/>
    <row r="8520" ht="42" customHeight="1"/>
    <row r="8521" ht="42" customHeight="1"/>
    <row r="8522" ht="42" customHeight="1"/>
    <row r="8523" ht="42" customHeight="1"/>
    <row r="8524" ht="42" customHeight="1"/>
    <row r="8525" ht="42" customHeight="1"/>
    <row r="8526" ht="42" customHeight="1"/>
    <row r="8527" ht="42" customHeight="1"/>
    <row r="8528" ht="42" customHeight="1"/>
    <row r="8529" ht="42" customHeight="1"/>
    <row r="8530" ht="42" customHeight="1"/>
    <row r="8531" ht="42" customHeight="1"/>
    <row r="8532" ht="42" customHeight="1"/>
    <row r="8533" ht="42" customHeight="1"/>
    <row r="8534" ht="42" customHeight="1"/>
    <row r="8535" ht="42" customHeight="1"/>
    <row r="8536" ht="42" customHeight="1"/>
    <row r="8537" ht="42" customHeight="1"/>
    <row r="8538" ht="42" customHeight="1"/>
    <row r="8539" ht="42" customHeight="1"/>
    <row r="8540" ht="42" customHeight="1"/>
    <row r="8541" ht="42" customHeight="1"/>
    <row r="8542" ht="42" customHeight="1"/>
    <row r="8543" ht="42" customHeight="1"/>
    <row r="8544" ht="42" customHeight="1"/>
    <row r="8545" ht="42" customHeight="1"/>
    <row r="8546" ht="42" customHeight="1"/>
    <row r="8547" ht="42" customHeight="1"/>
    <row r="8548" ht="42" customHeight="1"/>
    <row r="8549" ht="42" customHeight="1"/>
    <row r="8550" ht="42" customHeight="1"/>
    <row r="8551" ht="42" customHeight="1"/>
    <row r="8552" ht="42" customHeight="1"/>
    <row r="8553" ht="42" customHeight="1"/>
    <row r="8554" ht="42" customHeight="1"/>
    <row r="8555" ht="42" customHeight="1"/>
    <row r="8556" ht="42" customHeight="1"/>
    <row r="8557" ht="42" customHeight="1"/>
    <row r="8558" ht="42" customHeight="1"/>
    <row r="8559" ht="42" customHeight="1"/>
    <row r="8560" ht="42" customHeight="1"/>
    <row r="8561" ht="42" customHeight="1"/>
    <row r="8562" ht="42" customHeight="1"/>
    <row r="8563" ht="42" customHeight="1"/>
    <row r="8564" ht="42" customHeight="1"/>
    <row r="8565" ht="42" customHeight="1"/>
    <row r="8566" ht="42" customHeight="1"/>
    <row r="8567" ht="42" customHeight="1"/>
    <row r="8568" ht="42" customHeight="1"/>
    <row r="8569" ht="42" customHeight="1"/>
    <row r="8570" ht="42" customHeight="1"/>
    <row r="8571" ht="42" customHeight="1"/>
    <row r="8572" ht="42" customHeight="1"/>
    <row r="8573" ht="42" customHeight="1"/>
    <row r="8574" ht="42" customHeight="1"/>
    <row r="8575" ht="42" customHeight="1"/>
    <row r="8576" ht="42" customHeight="1"/>
    <row r="8577" ht="42" customHeight="1"/>
    <row r="8578" ht="42" customHeight="1"/>
    <row r="8579" ht="42" customHeight="1"/>
    <row r="8580" ht="42" customHeight="1"/>
    <row r="8581" ht="42" customHeight="1"/>
    <row r="8582" ht="42" customHeight="1"/>
    <row r="8583" ht="42" customHeight="1"/>
    <row r="8584" ht="42" customHeight="1"/>
    <row r="8585" ht="42" customHeight="1"/>
    <row r="8586" ht="42" customHeight="1"/>
    <row r="8587" ht="42" customHeight="1"/>
    <row r="8588" ht="42" customHeight="1"/>
    <row r="8589" ht="42" customHeight="1"/>
    <row r="8590" ht="42" customHeight="1"/>
    <row r="8591" ht="42" customHeight="1"/>
    <row r="8592" ht="42" customHeight="1"/>
    <row r="8593" ht="42" customHeight="1"/>
    <row r="8594" ht="42" customHeight="1"/>
    <row r="8595" ht="42" customHeight="1"/>
    <row r="8596" ht="42" customHeight="1"/>
    <row r="8597" ht="42" customHeight="1"/>
    <row r="8598" ht="42" customHeight="1"/>
    <row r="8599" ht="42" customHeight="1"/>
    <row r="8600" ht="42" customHeight="1"/>
    <row r="8601" ht="42" customHeight="1"/>
    <row r="8602" ht="42" customHeight="1"/>
    <row r="8603" ht="42" customHeight="1"/>
    <row r="8604" ht="42" customHeight="1"/>
    <row r="8605" ht="42" customHeight="1"/>
    <row r="8606" ht="42" customHeight="1"/>
    <row r="8607" ht="42" customHeight="1"/>
    <row r="8608" ht="42" customHeight="1"/>
    <row r="8609" ht="42" customHeight="1"/>
    <row r="8610" ht="42" customHeight="1"/>
    <row r="8611" ht="42" customHeight="1"/>
    <row r="8612" ht="42" customHeight="1"/>
    <row r="8613" ht="42" customHeight="1"/>
    <row r="8614" ht="42" customHeight="1"/>
    <row r="8615" ht="42" customHeight="1"/>
    <row r="8616" ht="42" customHeight="1"/>
    <row r="8617" ht="42" customHeight="1"/>
    <row r="8618" ht="42" customHeight="1"/>
    <row r="8619" ht="42" customHeight="1"/>
    <row r="8620" ht="42" customHeight="1"/>
    <row r="8621" ht="42" customHeight="1"/>
    <row r="8622" ht="42" customHeight="1"/>
    <row r="8623" ht="42" customHeight="1"/>
    <row r="8624" ht="42" customHeight="1"/>
    <row r="8625" ht="42" customHeight="1"/>
    <row r="8626" ht="42" customHeight="1"/>
    <row r="8627" ht="42" customHeight="1"/>
    <row r="8628" ht="42" customHeight="1"/>
    <row r="8629" ht="42" customHeight="1"/>
    <row r="8630" ht="42" customHeight="1"/>
    <row r="8631" ht="42" customHeight="1"/>
    <row r="8632" ht="42" customHeight="1"/>
    <row r="8633" ht="42" customHeight="1"/>
    <row r="8634" ht="42" customHeight="1"/>
    <row r="8635" ht="42" customHeight="1"/>
    <row r="8636" ht="42" customHeight="1"/>
    <row r="8637" ht="42" customHeight="1"/>
    <row r="8638" ht="42" customHeight="1"/>
    <row r="8639" ht="42" customHeight="1"/>
    <row r="8640" ht="42" customHeight="1"/>
    <row r="8641" ht="42" customHeight="1"/>
    <row r="8642" ht="42" customHeight="1"/>
    <row r="8643" ht="42" customHeight="1"/>
    <row r="8644" ht="42" customHeight="1"/>
    <row r="8645" ht="42" customHeight="1"/>
    <row r="8646" ht="42" customHeight="1"/>
    <row r="8647" ht="42" customHeight="1"/>
    <row r="8648" ht="42" customHeight="1"/>
    <row r="8649" ht="42" customHeight="1"/>
    <row r="8650" ht="42" customHeight="1"/>
    <row r="8651" ht="42" customHeight="1"/>
    <row r="8652" ht="42" customHeight="1"/>
    <row r="8653" ht="42" customHeight="1"/>
    <row r="8654" ht="42" customHeight="1"/>
    <row r="8655" ht="42" customHeight="1"/>
    <row r="8656" ht="42" customHeight="1"/>
    <row r="8657" ht="42" customHeight="1"/>
    <row r="8658" ht="42" customHeight="1"/>
    <row r="8659" ht="42" customHeight="1"/>
    <row r="8660" ht="42" customHeight="1"/>
    <row r="8661" ht="42" customHeight="1"/>
    <row r="8662" ht="42" customHeight="1"/>
    <row r="8663" ht="42" customHeight="1"/>
    <row r="8664" ht="42" customHeight="1"/>
    <row r="8665" ht="42" customHeight="1"/>
    <row r="8666" ht="42" customHeight="1"/>
    <row r="8667" ht="42" customHeight="1"/>
    <row r="8668" ht="42" customHeight="1"/>
    <row r="8669" ht="42" customHeight="1"/>
    <row r="8670" ht="42" customHeight="1"/>
    <row r="8671" ht="42" customHeight="1"/>
    <row r="8672" ht="42" customHeight="1"/>
    <row r="8673" ht="42" customHeight="1"/>
    <row r="8674" ht="42" customHeight="1"/>
    <row r="8675" ht="42" customHeight="1"/>
    <row r="8676" ht="42" customHeight="1"/>
    <row r="8677" ht="42" customHeight="1"/>
    <row r="8678" ht="42" customHeight="1"/>
    <row r="8679" ht="42" customHeight="1"/>
    <row r="8680" ht="42" customHeight="1"/>
    <row r="8681" ht="42" customHeight="1"/>
    <row r="8682" ht="42" customHeight="1"/>
    <row r="8683" ht="42" customHeight="1"/>
    <row r="8684" ht="42" customHeight="1"/>
    <row r="8685" ht="42" customHeight="1"/>
    <row r="8686" ht="42" customHeight="1"/>
    <row r="8687" ht="42" customHeight="1"/>
    <row r="8688" ht="42" customHeight="1"/>
    <row r="8689" ht="42" customHeight="1"/>
    <row r="8690" ht="42" customHeight="1"/>
    <row r="8691" ht="42" customHeight="1"/>
    <row r="8692" ht="42" customHeight="1"/>
    <row r="8693" ht="42" customHeight="1"/>
    <row r="8694" ht="42" customHeight="1"/>
    <row r="8695" ht="42" customHeight="1"/>
    <row r="8696" ht="42" customHeight="1"/>
    <row r="8697" ht="42" customHeight="1"/>
    <row r="8698" ht="42" customHeight="1"/>
    <row r="8699" ht="42" customHeight="1"/>
    <row r="8700" ht="42" customHeight="1"/>
    <row r="8701" ht="42" customHeight="1"/>
    <row r="8702" ht="42" customHeight="1"/>
    <row r="8703" ht="42" customHeight="1"/>
    <row r="8704" ht="42" customHeight="1"/>
    <row r="8705" ht="42" customHeight="1"/>
    <row r="8706" ht="42" customHeight="1"/>
    <row r="8707" ht="42" customHeight="1"/>
    <row r="8708" ht="42" customHeight="1"/>
    <row r="8709" ht="42" customHeight="1"/>
    <row r="8710" ht="42" customHeight="1"/>
    <row r="8711" ht="42" customHeight="1"/>
    <row r="8712" ht="42" customHeight="1"/>
    <row r="8713" ht="42" customHeight="1"/>
    <row r="8714" ht="42" customHeight="1"/>
    <row r="8715" ht="42" customHeight="1"/>
    <row r="8716" ht="42" customHeight="1"/>
    <row r="8717" ht="42" customHeight="1"/>
    <row r="8718" ht="42" customHeight="1"/>
    <row r="8719" ht="42" customHeight="1"/>
    <row r="8720" ht="42" customHeight="1"/>
    <row r="8721" ht="42" customHeight="1"/>
    <row r="8722" ht="42" customHeight="1"/>
    <row r="8723" ht="42" customHeight="1"/>
    <row r="8724" ht="42" customHeight="1"/>
    <row r="8725" ht="42" customHeight="1"/>
    <row r="8726" ht="42" customHeight="1"/>
    <row r="8727" ht="42" customHeight="1"/>
    <row r="8728" ht="42" customHeight="1"/>
    <row r="8729" ht="42" customHeight="1"/>
    <row r="8730" ht="42" customHeight="1"/>
    <row r="8731" ht="42" customHeight="1"/>
    <row r="8732" ht="42" customHeight="1"/>
    <row r="8733" ht="42" customHeight="1"/>
    <row r="8734" ht="42" customHeight="1"/>
    <row r="8735" ht="42" customHeight="1"/>
    <row r="8736" ht="42" customHeight="1"/>
    <row r="8737" ht="42" customHeight="1"/>
    <row r="8738" ht="42" customHeight="1"/>
    <row r="8739" ht="42" customHeight="1"/>
    <row r="8740" ht="42" customHeight="1"/>
    <row r="8741" ht="42" customHeight="1"/>
    <row r="8742" ht="42" customHeight="1"/>
    <row r="8743" ht="42" customHeight="1"/>
    <row r="8744" ht="42" customHeight="1"/>
    <row r="8745" ht="42" customHeight="1"/>
    <row r="8746" ht="42" customHeight="1"/>
    <row r="8747" ht="42" customHeight="1"/>
    <row r="8748" ht="42" customHeight="1"/>
    <row r="8749" ht="42" customHeight="1"/>
    <row r="8750" ht="42" customHeight="1"/>
    <row r="8751" ht="42" customHeight="1"/>
    <row r="8752" ht="42" customHeight="1"/>
    <row r="8753" ht="42" customHeight="1"/>
    <row r="8754" ht="42" customHeight="1"/>
    <row r="8755" ht="42" customHeight="1"/>
    <row r="8756" ht="42" customHeight="1"/>
    <row r="8757" ht="42" customHeight="1"/>
    <row r="8758" ht="42" customHeight="1"/>
    <row r="8759" ht="42" customHeight="1"/>
    <row r="8760" ht="42" customHeight="1"/>
    <row r="8761" ht="42" customHeight="1"/>
    <row r="8762" ht="42" customHeight="1"/>
    <row r="8763" ht="42" customHeight="1"/>
    <row r="8764" ht="42" customHeight="1"/>
    <row r="8765" ht="42" customHeight="1"/>
    <row r="8766" ht="42" customHeight="1"/>
    <row r="8767" ht="42" customHeight="1"/>
    <row r="8768" ht="42" customHeight="1"/>
    <row r="8769" ht="42" customHeight="1"/>
    <row r="8770" ht="42" customHeight="1"/>
    <row r="8771" ht="42" customHeight="1"/>
    <row r="8772" ht="42" customHeight="1"/>
    <row r="8773" ht="42" customHeight="1"/>
    <row r="8774" ht="42" customHeight="1"/>
    <row r="8775" ht="42" customHeight="1"/>
    <row r="8776" ht="42" customHeight="1"/>
    <row r="8777" ht="42" customHeight="1"/>
    <row r="8778" ht="42" customHeight="1"/>
    <row r="8779" ht="42" customHeight="1"/>
    <row r="8780" ht="42" customHeight="1"/>
    <row r="8781" ht="42" customHeight="1"/>
    <row r="8782" ht="42" customHeight="1"/>
    <row r="8783" ht="42" customHeight="1"/>
    <row r="8784" ht="42" customHeight="1"/>
    <row r="8785" ht="42" customHeight="1"/>
    <row r="8786" ht="42" customHeight="1"/>
    <row r="8787" ht="42" customHeight="1"/>
    <row r="8788" ht="42" customHeight="1"/>
    <row r="8789" ht="42" customHeight="1"/>
    <row r="8790" ht="42" customHeight="1"/>
    <row r="8791" ht="42" customHeight="1"/>
    <row r="8792" ht="42" customHeight="1"/>
    <row r="8793" ht="42" customHeight="1"/>
    <row r="8794" ht="42" customHeight="1"/>
    <row r="8795" ht="42" customHeight="1"/>
    <row r="8796" ht="42" customHeight="1"/>
    <row r="8797" ht="42" customHeight="1"/>
    <row r="8798" ht="42" customHeight="1"/>
    <row r="8799" ht="42" customHeight="1"/>
    <row r="8800" ht="42" customHeight="1"/>
    <row r="8801" ht="42" customHeight="1"/>
    <row r="8802" ht="42" customHeight="1"/>
    <row r="8803" ht="42" customHeight="1"/>
    <row r="8804" ht="42" customHeight="1"/>
    <row r="8805" ht="42" customHeight="1"/>
    <row r="8806" ht="42" customHeight="1"/>
    <row r="8807" ht="42" customHeight="1"/>
    <row r="8808" ht="42" customHeight="1"/>
    <row r="8809" ht="42" customHeight="1"/>
    <row r="8810" ht="42" customHeight="1"/>
    <row r="8811" ht="42" customHeight="1"/>
    <row r="8812" ht="42" customHeight="1"/>
    <row r="8813" ht="42" customHeight="1"/>
    <row r="8814" ht="42" customHeight="1"/>
    <row r="8815" ht="42" customHeight="1"/>
    <row r="8816" ht="42" customHeight="1"/>
    <row r="8817" ht="42" customHeight="1"/>
    <row r="8818" ht="42" customHeight="1"/>
    <row r="8819" ht="42" customHeight="1"/>
    <row r="8820" ht="42" customHeight="1"/>
    <row r="8821" ht="42" customHeight="1"/>
    <row r="8822" ht="42" customHeight="1"/>
    <row r="8823" ht="42" customHeight="1"/>
    <row r="8824" ht="42" customHeight="1"/>
    <row r="8825" ht="42" customHeight="1"/>
    <row r="8826" ht="42" customHeight="1"/>
    <row r="8827" ht="42" customHeight="1"/>
    <row r="8828" ht="42" customHeight="1"/>
    <row r="8829" ht="42" customHeight="1"/>
    <row r="8830" ht="42" customHeight="1"/>
    <row r="8831" ht="42" customHeight="1"/>
    <row r="8832" ht="42" customHeight="1"/>
    <row r="8833" ht="42" customHeight="1"/>
    <row r="8834" ht="42" customHeight="1"/>
    <row r="8835" ht="42" customHeight="1"/>
    <row r="8836" ht="42" customHeight="1"/>
    <row r="8837" ht="42" customHeight="1"/>
    <row r="8838" ht="42" customHeight="1"/>
    <row r="8839" ht="42" customHeight="1"/>
    <row r="8840" ht="42" customHeight="1"/>
    <row r="8841" ht="42" customHeight="1"/>
    <row r="8842" ht="42" customHeight="1"/>
    <row r="8843" ht="42" customHeight="1"/>
    <row r="8844" ht="42" customHeight="1"/>
    <row r="8845" ht="42" customHeight="1"/>
    <row r="8846" ht="42" customHeight="1"/>
  </sheetData>
  <mergeCells count="4">
    <mergeCell ref="A1:K1"/>
    <mergeCell ref="A2:K2"/>
    <mergeCell ref="A3:K3"/>
    <mergeCell ref="A4:K4"/>
  </mergeCells>
  <conditionalFormatting sqref="K7:K5041">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04"/>
  <sheetViews>
    <sheetView showGridLines="0" workbookViewId="0">
      <pane ySplit="4" topLeftCell="A5" activePane="bottomLeft" state="frozen"/>
      <selection pane="bottomLeft"/>
    </sheetView>
  </sheetViews>
  <sheetFormatPr baseColWidth="10" defaultColWidth="8.796875" defaultRowHeight="13.8"/>
  <cols>
    <col min="1" max="1" width="22" customWidth="1"/>
    <col min="2" max="2" width="38" customWidth="1"/>
    <col min="3" max="3" width="28" customWidth="1"/>
    <col min="4" max="4" width="13" customWidth="1"/>
    <col min="5" max="5" width="20" customWidth="1"/>
    <col min="6" max="6" width="18" customWidth="1"/>
  </cols>
  <sheetData>
    <row r="1" spans="1:6" ht="30" customHeight="1">
      <c r="A1" s="8" t="s">
        <v>11996</v>
      </c>
      <c r="B1" s="8"/>
      <c r="C1" s="8"/>
      <c r="D1" s="8"/>
      <c r="E1" s="8"/>
      <c r="F1" s="8"/>
    </row>
    <row r="2" spans="1:6" ht="22.05" customHeight="1">
      <c r="A2" s="12" t="s">
        <v>11997</v>
      </c>
      <c r="B2" s="12"/>
      <c r="C2" s="12"/>
      <c r="D2" s="12"/>
      <c r="E2" s="12"/>
      <c r="F2" s="12"/>
    </row>
    <row r="4" spans="1:6" ht="30" customHeight="1">
      <c r="A4" s="1" t="s">
        <v>8</v>
      </c>
      <c r="B4" s="1" t="s">
        <v>9</v>
      </c>
      <c r="C4" s="1" t="s">
        <v>11998</v>
      </c>
      <c r="D4" s="1" t="s">
        <v>11999</v>
      </c>
      <c r="E4" s="1" t="s">
        <v>12000</v>
      </c>
      <c r="F4" s="1" t="s">
        <v>12001</v>
      </c>
    </row>
    <row r="5" spans="1:6" ht="31.05" customHeight="1">
      <c r="A5" s="6">
        <v>-30678</v>
      </c>
      <c r="B5" s="2" t="s">
        <v>76</v>
      </c>
      <c r="C5" s="2" t="s">
        <v>12002</v>
      </c>
      <c r="D5" s="3">
        <v>8</v>
      </c>
      <c r="E5" s="3">
        <v>24</v>
      </c>
      <c r="F5" s="3" t="str">
        <f>HYPERLINK("https://www.boe.es/gazeta/dias/1816/01/02/pdfs/GMD-1816-1.pdf","Abrir PDF")</f>
        <v>Abrir PDF</v>
      </c>
    </row>
    <row r="6" spans="1:6" ht="31.05" customHeight="1">
      <c r="A6" s="6">
        <v>-30676</v>
      </c>
      <c r="B6" s="2" t="s">
        <v>1932</v>
      </c>
      <c r="C6" s="2" t="s">
        <v>12003</v>
      </c>
      <c r="D6" s="3">
        <v>8</v>
      </c>
      <c r="E6" s="3">
        <v>22</v>
      </c>
      <c r="F6" s="3" t="str">
        <f>HYPERLINK("https://www.boe.es/gazeta/dias/1816/01/04/pdfs/GMD-1816-2.pdf","Abrir PDF")</f>
        <v>Abrir PDF</v>
      </c>
    </row>
    <row r="7" spans="1:6" ht="31.05" customHeight="1">
      <c r="A7" s="6">
        <v>-30674</v>
      </c>
      <c r="B7" s="2" t="s">
        <v>19</v>
      </c>
      <c r="C7" s="2" t="s">
        <v>12004</v>
      </c>
      <c r="D7" s="3">
        <v>8</v>
      </c>
      <c r="E7" s="3">
        <v>18</v>
      </c>
      <c r="F7" s="3" t="str">
        <f>HYPERLINK("https://www.boe.es/gazeta/dias/1816/01/06/pdfs/GMD-1816-3.pdf","Abrir PDF")</f>
        <v>Abrir PDF</v>
      </c>
    </row>
    <row r="8" spans="1:6" ht="31.05" customHeight="1">
      <c r="A8" s="6">
        <v>-30671</v>
      </c>
      <c r="B8" s="2" t="s">
        <v>2049</v>
      </c>
      <c r="C8" s="2" t="s">
        <v>12005</v>
      </c>
      <c r="D8" s="3">
        <v>8</v>
      </c>
      <c r="E8" s="3">
        <v>26</v>
      </c>
      <c r="F8" s="3" t="str">
        <f>HYPERLINK("https://www.boe.es/gazeta/dias/1816/01/09/pdfs/GMD-1816-4.pdf","Abrir PDF")</f>
        <v>Abrir PDF</v>
      </c>
    </row>
    <row r="9" spans="1:6" ht="31.05" customHeight="1">
      <c r="A9" s="6">
        <v>-30669</v>
      </c>
      <c r="B9" s="2" t="s">
        <v>3499</v>
      </c>
      <c r="C9" s="2" t="s">
        <v>12006</v>
      </c>
      <c r="D9" s="3">
        <v>8</v>
      </c>
      <c r="E9" s="3">
        <v>12</v>
      </c>
      <c r="F9" s="3" t="str">
        <f>HYPERLINK("https://www.boe.es/gazeta/dias/1816/01/11/pdfs/GMD-1816-5.pdf","Abrir PDF")</f>
        <v>Abrir PDF</v>
      </c>
    </row>
    <row r="10" spans="1:6" ht="31.05" customHeight="1">
      <c r="A10" s="6">
        <v>-30667</v>
      </c>
      <c r="B10" s="2" t="s">
        <v>659</v>
      </c>
      <c r="C10" s="2" t="s">
        <v>12007</v>
      </c>
      <c r="D10" s="3">
        <v>8</v>
      </c>
      <c r="E10" s="3">
        <v>17</v>
      </c>
      <c r="F10" s="3" t="str">
        <f>HYPERLINK("https://www.boe.es/gazeta/dias/1816/01/13/pdfs/GMD-1816-6.pdf","Abrir PDF")</f>
        <v>Abrir PDF</v>
      </c>
    </row>
    <row r="11" spans="1:6" ht="31.05" customHeight="1">
      <c r="A11" s="6">
        <v>-30664</v>
      </c>
      <c r="B11" s="2" t="s">
        <v>1999</v>
      </c>
      <c r="C11" s="2" t="s">
        <v>12008</v>
      </c>
      <c r="D11" s="3">
        <v>8</v>
      </c>
      <c r="E11" s="3">
        <v>8</v>
      </c>
      <c r="F11" s="3" t="str">
        <f>HYPERLINK("https://www.boe.es/gazeta/dias/1816/01/16/pdfs/GMD-1816-7.pdf","Abrir PDF")</f>
        <v>Abrir PDF</v>
      </c>
    </row>
    <row r="12" spans="1:6" ht="31.05" customHeight="1">
      <c r="A12" s="6">
        <v>-30662</v>
      </c>
      <c r="B12" s="2" t="s">
        <v>485</v>
      </c>
      <c r="C12" s="2" t="s">
        <v>12009</v>
      </c>
      <c r="D12" s="3">
        <v>8</v>
      </c>
      <c r="E12" s="3">
        <v>25</v>
      </c>
      <c r="F12" s="3" t="str">
        <f>HYPERLINK("https://www.boe.es/gazeta/dias/1816/01/18/pdfs/GMD-1816-8.pdf","Abrir PDF")</f>
        <v>Abrir PDF</v>
      </c>
    </row>
    <row r="13" spans="1:6" ht="31.05" customHeight="1">
      <c r="A13" s="6">
        <v>-30660</v>
      </c>
      <c r="B13" s="2" t="s">
        <v>809</v>
      </c>
      <c r="C13" s="2" t="s">
        <v>12010</v>
      </c>
      <c r="D13" s="3">
        <v>8</v>
      </c>
      <c r="E13" s="3">
        <v>31</v>
      </c>
      <c r="F13" s="3" t="str">
        <f>HYPERLINK("https://www.boe.es/gazeta/dias/1816/01/20/pdfs/GMD-1816-9.pdf","Abrir PDF")</f>
        <v>Abrir PDF</v>
      </c>
    </row>
    <row r="14" spans="1:6" ht="31.05" customHeight="1">
      <c r="A14" s="6">
        <v>-30657</v>
      </c>
      <c r="B14" s="2" t="s">
        <v>899</v>
      </c>
      <c r="C14" s="2" t="s">
        <v>12011</v>
      </c>
      <c r="D14" s="3">
        <v>8</v>
      </c>
      <c r="E14" s="3">
        <v>21</v>
      </c>
      <c r="F14" s="3" t="str">
        <f>HYPERLINK("https://www.boe.es/gazeta/dias/1816/01/23/pdfs/GMD-1816-10.pdf","Abrir PDF")</f>
        <v>Abrir PDF</v>
      </c>
    </row>
    <row r="15" spans="1:6" ht="31.05" customHeight="1">
      <c r="A15" s="6">
        <v>-30655</v>
      </c>
      <c r="B15" s="2" t="s">
        <v>170</v>
      </c>
      <c r="C15" s="2" t="s">
        <v>12012</v>
      </c>
      <c r="D15" s="3">
        <v>8</v>
      </c>
      <c r="E15" s="3">
        <v>72</v>
      </c>
      <c r="F15" s="3" t="str">
        <f>HYPERLINK("https://www.boe.es/gazeta/dias/1816/01/25/pdfs/GMD-1816-11.pdf","Abrir PDF")</f>
        <v>Abrir PDF</v>
      </c>
    </row>
    <row r="16" spans="1:6" ht="31.05" customHeight="1">
      <c r="A16" s="6">
        <v>-30653</v>
      </c>
      <c r="B16" s="2" t="s">
        <v>1023</v>
      </c>
      <c r="C16" s="2" t="s">
        <v>12013</v>
      </c>
      <c r="D16" s="3">
        <v>3</v>
      </c>
      <c r="E16" s="3">
        <v>7</v>
      </c>
      <c r="F16" s="3" t="str">
        <f>HYPERLINK("https://www.boe.es/gazeta/dias/1816/01/27/pdfs/GMD-1816-13E.pdf","Abrir PDF")</f>
        <v>Abrir PDF</v>
      </c>
    </row>
    <row r="17" spans="1:6" ht="31.05" customHeight="1">
      <c r="A17" s="6">
        <v>-30650</v>
      </c>
      <c r="B17" s="2" t="s">
        <v>1170</v>
      </c>
      <c r="C17" s="2" t="s">
        <v>12014</v>
      </c>
      <c r="D17" s="3">
        <v>8</v>
      </c>
      <c r="E17" s="3">
        <v>13</v>
      </c>
      <c r="F17" s="3" t="str">
        <f>HYPERLINK("https://www.boe.es/gazeta/dias/1816/01/30/pdfs/GMD-1816-14.pdf","Abrir PDF")</f>
        <v>Abrir PDF</v>
      </c>
    </row>
    <row r="18" spans="1:6" ht="31.05" customHeight="1">
      <c r="A18" s="6">
        <v>-30648</v>
      </c>
      <c r="B18" s="2" t="s">
        <v>872</v>
      </c>
      <c r="C18" s="2" t="s">
        <v>12015</v>
      </c>
      <c r="D18" s="3">
        <v>8</v>
      </c>
      <c r="E18" s="3">
        <v>17</v>
      </c>
      <c r="F18" s="3" t="str">
        <f>HYPERLINK("https://www.boe.es/gazeta/dias/1816/02/01/pdfs/GMD-1816-15.pdf","Abrir PDF")</f>
        <v>Abrir PDF</v>
      </c>
    </row>
    <row r="19" spans="1:6" ht="31.05" customHeight="1">
      <c r="A19" s="6">
        <v>-30646</v>
      </c>
      <c r="B19" s="2" t="s">
        <v>615</v>
      </c>
      <c r="C19" s="2" t="s">
        <v>12016</v>
      </c>
      <c r="D19" s="3">
        <v>8</v>
      </c>
      <c r="E19" s="3">
        <v>12</v>
      </c>
      <c r="F19" s="3" t="str">
        <f>HYPERLINK("https://www.boe.es/gazeta/dias/1816/02/03/pdfs/GMD-1816-16.pdf","Abrir PDF")</f>
        <v>Abrir PDF</v>
      </c>
    </row>
    <row r="20" spans="1:6" ht="31.05" customHeight="1">
      <c r="A20" s="6">
        <v>-30643</v>
      </c>
      <c r="B20" s="2" t="s">
        <v>620</v>
      </c>
      <c r="C20" s="2" t="s">
        <v>12017</v>
      </c>
      <c r="D20" s="3">
        <v>8</v>
      </c>
      <c r="E20" s="3">
        <v>18</v>
      </c>
      <c r="F20" s="3" t="str">
        <f>HYPERLINK("https://www.boe.es/gazeta/dias/1816/02/06/pdfs/GMD-1816-17.pdf","Abrir PDF")</f>
        <v>Abrir PDF</v>
      </c>
    </row>
    <row r="21" spans="1:6" ht="31.05" customHeight="1">
      <c r="A21" s="6">
        <v>-30641</v>
      </c>
      <c r="B21" s="2" t="s">
        <v>192</v>
      </c>
      <c r="C21" s="2" t="s">
        <v>12018</v>
      </c>
      <c r="D21" s="3">
        <v>8</v>
      </c>
      <c r="E21" s="3">
        <v>22</v>
      </c>
      <c r="F21" s="3" t="str">
        <f>HYPERLINK("https://www.boe.es/gazeta/dias/1816/02/08/pdfs/GMD-1816-18.pdf","Abrir PDF")</f>
        <v>Abrir PDF</v>
      </c>
    </row>
    <row r="22" spans="1:6" ht="31.05" customHeight="1">
      <c r="A22" s="6">
        <v>-30639</v>
      </c>
      <c r="B22" s="2" t="s">
        <v>87</v>
      </c>
      <c r="C22" s="2" t="s">
        <v>12019</v>
      </c>
      <c r="D22" s="3">
        <v>8</v>
      </c>
      <c r="E22" s="3">
        <v>28</v>
      </c>
      <c r="F22" s="3" t="str">
        <f>HYPERLINK("https://www.boe.es/gazeta/dias/1816/02/10/pdfs/GMD-1816-19.pdf","Abrir PDF")</f>
        <v>Abrir PDF</v>
      </c>
    </row>
    <row r="23" spans="1:6" ht="31.05" customHeight="1">
      <c r="A23" s="6">
        <v>-30636</v>
      </c>
      <c r="B23" s="2" t="s">
        <v>82</v>
      </c>
      <c r="C23" s="2" t="s">
        <v>12020</v>
      </c>
      <c r="D23" s="3">
        <v>8</v>
      </c>
      <c r="E23" s="3">
        <v>21</v>
      </c>
      <c r="F23" s="3" t="str">
        <f>HYPERLINK("https://www.boe.es/gazeta/dias/1816/02/13/pdfs/GMD-1816-20.pdf","Abrir PDF")</f>
        <v>Abrir PDF</v>
      </c>
    </row>
    <row r="24" spans="1:6" ht="31.05" customHeight="1">
      <c r="A24" s="6">
        <v>-30634</v>
      </c>
      <c r="B24" s="2" t="s">
        <v>1104</v>
      </c>
      <c r="C24" s="2" t="s">
        <v>12021</v>
      </c>
      <c r="D24" s="3">
        <v>8</v>
      </c>
      <c r="E24" s="3">
        <v>20</v>
      </c>
      <c r="F24" s="3" t="str">
        <f>HYPERLINK("https://www.boe.es/gazeta/dias/1816/02/15/pdfs/GMD-1816-21.pdf","Abrir PDF")</f>
        <v>Abrir PDF</v>
      </c>
    </row>
    <row r="25" spans="1:6" ht="31.05" customHeight="1">
      <c r="A25" s="6">
        <v>-30632</v>
      </c>
      <c r="B25" s="2" t="s">
        <v>89</v>
      </c>
      <c r="C25" s="2" t="s">
        <v>12022</v>
      </c>
      <c r="D25" s="3">
        <v>8</v>
      </c>
      <c r="E25" s="3">
        <v>36</v>
      </c>
      <c r="F25" s="3" t="str">
        <f>HYPERLINK("https://www.boe.es/gazeta/dias/1816/02/17/pdfs/GMD-1816-22.pdf","Abrir PDF")</f>
        <v>Abrir PDF</v>
      </c>
    </row>
    <row r="26" spans="1:6" ht="31.05" customHeight="1">
      <c r="A26" s="6">
        <v>-30629</v>
      </c>
      <c r="B26" s="2" t="s">
        <v>904</v>
      </c>
      <c r="C26" s="2" t="s">
        <v>12023</v>
      </c>
      <c r="D26" s="3">
        <v>8</v>
      </c>
      <c r="E26" s="3">
        <v>16</v>
      </c>
      <c r="F26" s="3" t="str">
        <f>HYPERLINK("https://www.boe.es/gazeta/dias/1816/02/20/pdfs/GMD-1816-23.pdf","Abrir PDF")</f>
        <v>Abrir PDF</v>
      </c>
    </row>
    <row r="27" spans="1:6" ht="31.05" customHeight="1">
      <c r="A27" s="6">
        <v>-30627</v>
      </c>
      <c r="B27" s="2" t="s">
        <v>136</v>
      </c>
      <c r="C27" s="2" t="s">
        <v>12024</v>
      </c>
      <c r="D27" s="3">
        <v>8</v>
      </c>
      <c r="E27" s="3">
        <v>16</v>
      </c>
      <c r="F27" s="3" t="str">
        <f>HYPERLINK("https://www.boe.es/gazeta/dias/1816/02/22/pdfs/GMD-1816-24.pdf","Abrir PDF")</f>
        <v>Abrir PDF</v>
      </c>
    </row>
    <row r="28" spans="1:6" ht="31.05" customHeight="1">
      <c r="A28" s="6">
        <v>-30625</v>
      </c>
      <c r="B28" s="2" t="s">
        <v>631</v>
      </c>
      <c r="C28" s="2" t="s">
        <v>12025</v>
      </c>
      <c r="D28" s="3">
        <v>8</v>
      </c>
      <c r="E28" s="3">
        <v>13</v>
      </c>
      <c r="F28" s="3" t="str">
        <f>HYPERLINK("https://www.boe.es/gazeta/dias/1816/02/24/pdfs/GMD-1816-25.pdf","Abrir PDF")</f>
        <v>Abrir PDF</v>
      </c>
    </row>
    <row r="29" spans="1:6" ht="31.05" customHeight="1">
      <c r="A29" s="6">
        <v>-30622</v>
      </c>
      <c r="B29" s="2" t="s">
        <v>27</v>
      </c>
      <c r="C29" s="2" t="s">
        <v>12026</v>
      </c>
      <c r="D29" s="3">
        <v>8</v>
      </c>
      <c r="E29" s="3">
        <v>33</v>
      </c>
      <c r="F29" s="3" t="str">
        <f>HYPERLINK("https://www.boe.es/gazeta/dias/1816/02/27/pdfs/GMD-1816-26.pdf","Abrir PDF")</f>
        <v>Abrir PDF</v>
      </c>
    </row>
    <row r="30" spans="1:6" ht="31.05" customHeight="1">
      <c r="A30" s="6">
        <v>-30622</v>
      </c>
      <c r="B30" s="2" t="s">
        <v>907</v>
      </c>
      <c r="C30" s="2" t="s">
        <v>12027</v>
      </c>
      <c r="D30" s="3">
        <v>4</v>
      </c>
      <c r="E30" s="3">
        <v>22</v>
      </c>
      <c r="F30" s="3" t="str">
        <f>HYPERLINK("https://www.boe.es/gazeta/dias/1816/02/27/pdfs/GMD-1816-27E.pdf","Abrir PDF")</f>
        <v>Abrir PDF</v>
      </c>
    </row>
    <row r="31" spans="1:6" ht="31.05" customHeight="1">
      <c r="A31" s="6">
        <v>-30620</v>
      </c>
      <c r="B31" s="2" t="s">
        <v>622</v>
      </c>
      <c r="C31" s="2" t="s">
        <v>12028</v>
      </c>
      <c r="D31" s="3">
        <v>8</v>
      </c>
      <c r="E31" s="3">
        <v>7</v>
      </c>
      <c r="F31" s="3" t="str">
        <f>HYPERLINK("https://www.boe.es/gazeta/dias/1816/02/29/pdfs/GMD-1816-28.pdf","Abrir PDF")</f>
        <v>Abrir PDF</v>
      </c>
    </row>
    <row r="32" spans="1:6" ht="31.05" customHeight="1">
      <c r="A32" s="6">
        <v>-30618</v>
      </c>
      <c r="B32" s="2" t="s">
        <v>207</v>
      </c>
      <c r="C32" s="2" t="s">
        <v>12029</v>
      </c>
      <c r="D32" s="3">
        <v>8</v>
      </c>
      <c r="E32" s="3">
        <v>24</v>
      </c>
      <c r="F32" s="3" t="str">
        <f>HYPERLINK("https://www.boe.es/gazeta/dias/1816/03/02/pdfs/GMD-1816-29.pdf","Abrir PDF")</f>
        <v>Abrir PDF</v>
      </c>
    </row>
    <row r="33" spans="1:6" ht="31.05" customHeight="1">
      <c r="A33" s="6">
        <v>-30615</v>
      </c>
      <c r="B33" s="2" t="s">
        <v>1848</v>
      </c>
      <c r="C33" s="2" t="s">
        <v>12030</v>
      </c>
      <c r="D33" s="3">
        <v>8</v>
      </c>
      <c r="E33" s="3">
        <v>14</v>
      </c>
      <c r="F33" s="3" t="str">
        <f>HYPERLINK("https://www.boe.es/gazeta/dias/1816/03/05/pdfs/GMD-1816-30.pdf","Abrir PDF")</f>
        <v>Abrir PDF</v>
      </c>
    </row>
    <row r="34" spans="1:6" ht="31.05" customHeight="1">
      <c r="A34" s="6">
        <v>-30613</v>
      </c>
      <c r="B34" s="2" t="s">
        <v>392</v>
      </c>
      <c r="C34" s="2" t="s">
        <v>12031</v>
      </c>
      <c r="D34" s="3">
        <v>8</v>
      </c>
      <c r="E34" s="3">
        <v>21</v>
      </c>
      <c r="F34" s="3" t="str">
        <f>HYPERLINK("https://www.boe.es/gazeta/dias/1816/03/07/pdfs/GMD-1816-31.pdf","Abrir PDF")</f>
        <v>Abrir PDF</v>
      </c>
    </row>
    <row r="35" spans="1:6" ht="31.05" customHeight="1">
      <c r="A35" s="6">
        <v>-30611</v>
      </c>
      <c r="B35" s="2" t="s">
        <v>211</v>
      </c>
      <c r="C35" s="2" t="s">
        <v>12032</v>
      </c>
      <c r="D35" s="3">
        <v>8</v>
      </c>
      <c r="E35" s="3">
        <v>15</v>
      </c>
      <c r="F35" s="3" t="str">
        <f>HYPERLINK("https://www.boe.es/gazeta/dias/1816/03/09/pdfs/GMD-1816-32.pdf","Abrir PDF")</f>
        <v>Abrir PDF</v>
      </c>
    </row>
    <row r="36" spans="1:6" ht="31.05" customHeight="1">
      <c r="A36" s="6">
        <v>-30608</v>
      </c>
      <c r="B36" s="2" t="s">
        <v>550</v>
      </c>
      <c r="C36" s="2" t="s">
        <v>12033</v>
      </c>
      <c r="D36" s="3">
        <v>8</v>
      </c>
      <c r="E36" s="3">
        <v>23</v>
      </c>
      <c r="F36" s="3" t="str">
        <f>HYPERLINK("https://www.boe.es/gazeta/dias/1816/03/12/pdfs/GMD-1816-33.pdf","Abrir PDF")</f>
        <v>Abrir PDF</v>
      </c>
    </row>
    <row r="37" spans="1:6" ht="31.05" customHeight="1">
      <c r="A37" s="6">
        <v>-30606</v>
      </c>
      <c r="B37" s="2" t="s">
        <v>761</v>
      </c>
      <c r="C37" s="2" t="s">
        <v>12034</v>
      </c>
      <c r="D37" s="3">
        <v>8</v>
      </c>
      <c r="E37" s="3">
        <v>19</v>
      </c>
      <c r="F37" s="3" t="str">
        <f>HYPERLINK("https://www.boe.es/gazeta/dias/1816/03/14/pdfs/GMD-1816-34.pdf","Abrir PDF")</f>
        <v>Abrir PDF</v>
      </c>
    </row>
    <row r="38" spans="1:6" ht="31.05" customHeight="1">
      <c r="A38" s="6">
        <v>-30604</v>
      </c>
      <c r="B38" s="2" t="s">
        <v>488</v>
      </c>
      <c r="C38" s="2" t="s">
        <v>12035</v>
      </c>
      <c r="D38" s="3">
        <v>8</v>
      </c>
      <c r="E38" s="3">
        <v>17</v>
      </c>
      <c r="F38" s="3" t="str">
        <f>HYPERLINK("https://www.boe.es/gazeta/dias/1816/03/16/pdfs/GMD-1816-35.pdf","Abrir PDF")</f>
        <v>Abrir PDF</v>
      </c>
    </row>
    <row r="39" spans="1:6" ht="31.05" customHeight="1">
      <c r="A39" s="6">
        <v>-30603</v>
      </c>
      <c r="B39" s="2" t="s">
        <v>503</v>
      </c>
      <c r="C39" s="2" t="s">
        <v>12036</v>
      </c>
      <c r="D39" s="3">
        <v>1</v>
      </c>
      <c r="E39" s="3">
        <v>5</v>
      </c>
      <c r="F39" s="3" t="str">
        <f>HYPERLINK("https://www.boe.es/gazeta/dias/1816/03/17/pdfs/GMD-1816-36E.pdf","Abrir PDF")</f>
        <v>Abrir PDF</v>
      </c>
    </row>
    <row r="40" spans="1:6" ht="31.05" customHeight="1">
      <c r="A40" s="6">
        <v>-30601</v>
      </c>
      <c r="B40" s="2" t="s">
        <v>308</v>
      </c>
      <c r="C40" s="2" t="s">
        <v>12037</v>
      </c>
      <c r="D40" s="3">
        <v>8</v>
      </c>
      <c r="E40" s="3">
        <v>27</v>
      </c>
      <c r="F40" s="3" t="str">
        <f>HYPERLINK("https://www.boe.es/gazeta/dias/1816/03/19/pdfs/GMD-1816-37.pdf","Abrir PDF")</f>
        <v>Abrir PDF</v>
      </c>
    </row>
    <row r="41" spans="1:6" ht="31.05" customHeight="1">
      <c r="A41" s="6">
        <v>-30599</v>
      </c>
      <c r="B41" s="2" t="s">
        <v>552</v>
      </c>
      <c r="C41" s="2" t="s">
        <v>12038</v>
      </c>
      <c r="D41" s="3">
        <v>8</v>
      </c>
      <c r="E41" s="3">
        <v>43</v>
      </c>
      <c r="F41" s="3" t="str">
        <f>HYPERLINK("https://www.boe.es/gazeta/dias/1816/03/21/pdfs/GMD-1816-38.pdf","Abrir PDF")</f>
        <v>Abrir PDF</v>
      </c>
    </row>
    <row r="42" spans="1:6" ht="31.05" customHeight="1">
      <c r="A42" s="6">
        <v>-30597</v>
      </c>
      <c r="B42" s="2" t="s">
        <v>696</v>
      </c>
      <c r="C42" s="2" t="s">
        <v>12039</v>
      </c>
      <c r="D42" s="3">
        <v>8</v>
      </c>
      <c r="E42" s="3">
        <v>18</v>
      </c>
      <c r="F42" s="3" t="str">
        <f>HYPERLINK("https://www.boe.es/gazeta/dias/1816/03/23/pdfs/GMD-1816-39.pdf","Abrir PDF")</f>
        <v>Abrir PDF</v>
      </c>
    </row>
    <row r="43" spans="1:6" ht="31.05" customHeight="1">
      <c r="A43" s="6">
        <v>-30594</v>
      </c>
      <c r="B43" s="2" t="s">
        <v>234</v>
      </c>
      <c r="C43" s="2" t="s">
        <v>12040</v>
      </c>
      <c r="D43" s="3">
        <v>12</v>
      </c>
      <c r="E43" s="3">
        <v>67</v>
      </c>
      <c r="F43" s="3" t="str">
        <f>HYPERLINK("https://www.boe.es/gazeta/dias/1816/03/26/pdfs/GMD-1816-40.pdf","Abrir PDF")</f>
        <v>Abrir PDF</v>
      </c>
    </row>
    <row r="44" spans="1:6" ht="31.05" customHeight="1">
      <c r="A44" s="6">
        <v>-30592</v>
      </c>
      <c r="B44" s="2" t="s">
        <v>236</v>
      </c>
      <c r="C44" s="2" t="s">
        <v>12041</v>
      </c>
      <c r="D44" s="3">
        <v>12</v>
      </c>
      <c r="E44" s="3">
        <v>68</v>
      </c>
      <c r="F44" s="3" t="str">
        <f>HYPERLINK("https://www.boe.es/gazeta/dias/1816/03/28/pdfs/GMD-1816-41.pdf","Abrir PDF")</f>
        <v>Abrir PDF</v>
      </c>
    </row>
    <row r="45" spans="1:6" ht="31.05" customHeight="1">
      <c r="A45" s="6">
        <v>-30590</v>
      </c>
      <c r="B45" s="2" t="s">
        <v>195</v>
      </c>
      <c r="C45" s="2" t="s">
        <v>12042</v>
      </c>
      <c r="D45" s="3">
        <v>8</v>
      </c>
      <c r="E45" s="3">
        <v>34</v>
      </c>
      <c r="F45" s="3" t="str">
        <f>HYPERLINK("https://www.boe.es/gazeta/dias/1816/03/30/pdfs/GMD-1816-42.pdf","Abrir PDF")</f>
        <v>Abrir PDF</v>
      </c>
    </row>
    <row r="46" spans="1:6" ht="31.05" customHeight="1">
      <c r="A46" s="6">
        <v>-30587</v>
      </c>
      <c r="B46" s="2" t="s">
        <v>341</v>
      </c>
      <c r="C46" s="2" t="s">
        <v>12043</v>
      </c>
      <c r="D46" s="3">
        <v>8</v>
      </c>
      <c r="E46" s="3">
        <v>25</v>
      </c>
      <c r="F46" s="3" t="str">
        <f>HYPERLINK("https://www.boe.es/gazeta/dias/1816/04/02/pdfs/GMD-1816-43.pdf","Abrir PDF")</f>
        <v>Abrir PDF</v>
      </c>
    </row>
    <row r="47" spans="1:6" ht="31.05" customHeight="1">
      <c r="A47" s="6">
        <v>-30585</v>
      </c>
      <c r="B47" s="2" t="s">
        <v>633</v>
      </c>
      <c r="C47" s="2" t="s">
        <v>12044</v>
      </c>
      <c r="D47" s="3">
        <v>8</v>
      </c>
      <c r="E47" s="3">
        <v>37</v>
      </c>
      <c r="F47" s="3" t="str">
        <f>HYPERLINK("https://www.boe.es/gazeta/dias/1816/04/04/pdfs/GMD-1816-44.pdf","Abrir PDF")</f>
        <v>Abrir PDF</v>
      </c>
    </row>
    <row r="48" spans="1:6" ht="31.05" customHeight="1">
      <c r="A48" s="6">
        <v>-30583</v>
      </c>
      <c r="B48" s="2" t="s">
        <v>241</v>
      </c>
      <c r="C48" s="2" t="s">
        <v>12045</v>
      </c>
      <c r="D48" s="3">
        <v>8</v>
      </c>
      <c r="E48" s="3">
        <v>36</v>
      </c>
      <c r="F48" s="3" t="str">
        <f>HYPERLINK("https://www.boe.es/gazeta/dias/1816/04/06/pdfs/GMD-1816-45.pdf","Abrir PDF")</f>
        <v>Abrir PDF</v>
      </c>
    </row>
    <row r="49" spans="1:6" ht="31.05" customHeight="1">
      <c r="A49" s="6">
        <v>-30580</v>
      </c>
      <c r="B49" s="2" t="s">
        <v>107</v>
      </c>
      <c r="C49" s="2" t="s">
        <v>12046</v>
      </c>
      <c r="D49" s="3">
        <v>8</v>
      </c>
      <c r="E49" s="3">
        <v>86</v>
      </c>
      <c r="F49" s="3" t="str">
        <f>HYPERLINK("https://www.boe.es/gazeta/dias/1816/04/09/pdfs/GMD-1816-46.pdf","Abrir PDF")</f>
        <v>Abrir PDF</v>
      </c>
    </row>
    <row r="50" spans="1:6" ht="31.05" customHeight="1">
      <c r="A50" s="6">
        <v>-30578</v>
      </c>
      <c r="B50" s="2" t="s">
        <v>91</v>
      </c>
      <c r="C50" s="2" t="s">
        <v>12047</v>
      </c>
      <c r="D50" s="3">
        <v>12</v>
      </c>
      <c r="E50" s="3">
        <v>53</v>
      </c>
      <c r="F50" s="3" t="str">
        <f>HYPERLINK("https://www.boe.es/gazeta/dias/1816/04/11/pdfs/GMD-1816-47.pdf","Abrir PDF")</f>
        <v>Abrir PDF</v>
      </c>
    </row>
    <row r="51" spans="1:6" ht="31.05" customHeight="1">
      <c r="A51" s="6">
        <v>-30576</v>
      </c>
      <c r="B51" s="2" t="s">
        <v>353</v>
      </c>
      <c r="C51" s="2" t="s">
        <v>12048</v>
      </c>
      <c r="D51" s="3">
        <v>8</v>
      </c>
      <c r="E51" s="3">
        <v>59</v>
      </c>
      <c r="F51" s="3" t="str">
        <f>HYPERLINK("https://www.boe.es/gazeta/dias/1816/04/13/pdfs/GMD-1816-48.pdf","Abrir PDF")</f>
        <v>Abrir PDF</v>
      </c>
    </row>
    <row r="52" spans="1:6" ht="31.05" customHeight="1">
      <c r="A52" s="6">
        <v>-30573</v>
      </c>
      <c r="B52" s="2" t="s">
        <v>840</v>
      </c>
      <c r="C52" s="2" t="s">
        <v>12049</v>
      </c>
      <c r="D52" s="3">
        <v>8</v>
      </c>
      <c r="E52" s="3">
        <v>50</v>
      </c>
      <c r="F52" s="3" t="str">
        <f>HYPERLINK("https://www.boe.es/gazeta/dias/1816/04/16/pdfs/GMD-1816-49.pdf","Abrir PDF")</f>
        <v>Abrir PDF</v>
      </c>
    </row>
    <row r="53" spans="1:6" ht="31.05" customHeight="1">
      <c r="A53" s="6">
        <v>-30571</v>
      </c>
      <c r="B53" s="2" t="s">
        <v>738</v>
      </c>
      <c r="C53" s="2" t="s">
        <v>12050</v>
      </c>
      <c r="D53" s="3">
        <v>8</v>
      </c>
      <c r="E53" s="3">
        <v>31</v>
      </c>
      <c r="F53" s="3" t="str">
        <f>HYPERLINK("https://www.boe.es/gazeta/dias/1816/04/18/pdfs/GMD-1816-50.pdf","Abrir PDF")</f>
        <v>Abrir PDF</v>
      </c>
    </row>
    <row r="54" spans="1:6" ht="31.05" customHeight="1">
      <c r="A54" s="6">
        <v>-30569</v>
      </c>
      <c r="B54" s="2" t="s">
        <v>1859</v>
      </c>
      <c r="C54" s="2" t="s">
        <v>12051</v>
      </c>
      <c r="D54" s="3">
        <v>8</v>
      </c>
      <c r="E54" s="3">
        <v>7</v>
      </c>
      <c r="F54" s="3" t="str">
        <f>HYPERLINK("https://www.boe.es/gazeta/dias/1816/04/20/pdfs/GMD-1816-51.pdf","Abrir PDF")</f>
        <v>Abrir PDF</v>
      </c>
    </row>
    <row r="55" spans="1:6" ht="31.05" customHeight="1">
      <c r="A55" s="6">
        <v>-30566</v>
      </c>
      <c r="B55" s="2" t="s">
        <v>113</v>
      </c>
      <c r="C55" s="2" t="s">
        <v>12052</v>
      </c>
      <c r="D55" s="3">
        <v>8</v>
      </c>
      <c r="E55" s="3">
        <v>21</v>
      </c>
      <c r="F55" s="3" t="str">
        <f>HYPERLINK("https://www.boe.es/gazeta/dias/1816/04/23/pdfs/GMD-1816-52.pdf","Abrir PDF")</f>
        <v>Abrir PDF</v>
      </c>
    </row>
    <row r="56" spans="1:6" ht="31.05" customHeight="1">
      <c r="A56" s="6">
        <v>-30564</v>
      </c>
      <c r="B56" s="2" t="s">
        <v>963</v>
      </c>
      <c r="C56" s="2" t="s">
        <v>12053</v>
      </c>
      <c r="D56" s="3">
        <v>8</v>
      </c>
      <c r="E56" s="3">
        <v>41</v>
      </c>
      <c r="F56" s="3" t="str">
        <f>HYPERLINK("https://www.boe.es/gazeta/dias/1816/04/25/pdfs/GMD-1816-53.pdf","Abrir PDF")</f>
        <v>Abrir PDF</v>
      </c>
    </row>
    <row r="57" spans="1:6" ht="31.05" customHeight="1">
      <c r="A57" s="6">
        <v>-30562</v>
      </c>
      <c r="B57" s="2" t="s">
        <v>1664</v>
      </c>
      <c r="C57" s="2" t="s">
        <v>12054</v>
      </c>
      <c r="D57" s="3">
        <v>8</v>
      </c>
      <c r="E57" s="3">
        <v>20</v>
      </c>
      <c r="F57" s="3" t="str">
        <f>HYPERLINK("https://www.boe.es/gazeta/dias/1816/04/27/pdfs/GMD-1816-54.pdf","Abrir PDF")</f>
        <v>Abrir PDF</v>
      </c>
    </row>
    <row r="58" spans="1:6" ht="31.05" customHeight="1">
      <c r="A58" s="6">
        <v>-30559</v>
      </c>
      <c r="B58" s="2" t="s">
        <v>165</v>
      </c>
      <c r="C58" s="2" t="s">
        <v>12055</v>
      </c>
      <c r="D58" s="3">
        <v>8</v>
      </c>
      <c r="E58" s="3">
        <v>33</v>
      </c>
      <c r="F58" s="3" t="str">
        <f>HYPERLINK("https://www.boe.es/gazeta/dias/1816/04/30/pdfs/GMD-1816-55.pdf","Abrir PDF")</f>
        <v>Abrir PDF</v>
      </c>
    </row>
    <row r="59" spans="1:6" ht="31.05" customHeight="1">
      <c r="A59" s="6">
        <v>-30557</v>
      </c>
      <c r="B59" s="2" t="s">
        <v>508</v>
      </c>
      <c r="C59" s="2" t="s">
        <v>12056</v>
      </c>
      <c r="D59" s="3">
        <v>8</v>
      </c>
      <c r="E59" s="3">
        <v>45</v>
      </c>
      <c r="F59" s="3" t="str">
        <f>HYPERLINK("https://www.boe.es/gazeta/dias/1816/05/02/pdfs/GMD-1816-56.pdf","Abrir PDF")</f>
        <v>Abrir PDF</v>
      </c>
    </row>
    <row r="60" spans="1:6" ht="31.05" customHeight="1">
      <c r="A60" s="6">
        <v>-30555</v>
      </c>
      <c r="B60" s="2" t="s">
        <v>345</v>
      </c>
      <c r="C60" s="2" t="s">
        <v>12057</v>
      </c>
      <c r="D60" s="3">
        <v>8</v>
      </c>
      <c r="E60" s="3">
        <v>12</v>
      </c>
      <c r="F60" s="3" t="str">
        <f>HYPERLINK("https://www.boe.es/gazeta/dias/1816/05/04/pdfs/GMD-1816-57.pdf","Abrir PDF")</f>
        <v>Abrir PDF</v>
      </c>
    </row>
    <row r="61" spans="1:6" ht="31.05" customHeight="1">
      <c r="A61" s="6">
        <v>-30552</v>
      </c>
      <c r="B61" s="2" t="s">
        <v>1842</v>
      </c>
      <c r="C61" s="2" t="s">
        <v>12058</v>
      </c>
      <c r="D61" s="3">
        <v>8</v>
      </c>
      <c r="E61" s="3">
        <v>26</v>
      </c>
      <c r="F61" s="3" t="str">
        <f>HYPERLINK("https://www.boe.es/gazeta/dias/1816/05/07/pdfs/GMD-1816-58.pdf","Abrir PDF")</f>
        <v>Abrir PDF</v>
      </c>
    </row>
    <row r="62" spans="1:6" ht="31.05" customHeight="1">
      <c r="A62" s="6">
        <v>-30550</v>
      </c>
      <c r="B62" s="2" t="s">
        <v>435</v>
      </c>
      <c r="C62" s="2" t="s">
        <v>12059</v>
      </c>
      <c r="D62" s="3">
        <v>8</v>
      </c>
      <c r="E62" s="3">
        <v>23</v>
      </c>
      <c r="F62" s="3" t="str">
        <f>HYPERLINK("https://www.boe.es/gazeta/dias/1816/05/09/pdfs/GMD-1816-59.pdf","Abrir PDF")</f>
        <v>Abrir PDF</v>
      </c>
    </row>
    <row r="63" spans="1:6" ht="31.05" customHeight="1">
      <c r="A63" s="6">
        <v>-30548</v>
      </c>
      <c r="B63" s="2" t="s">
        <v>472</v>
      </c>
      <c r="C63" s="2" t="s">
        <v>12060</v>
      </c>
      <c r="D63" s="3">
        <v>8</v>
      </c>
      <c r="E63" s="3">
        <v>37</v>
      </c>
      <c r="F63" s="3" t="str">
        <f>HYPERLINK("https://www.boe.es/gazeta/dias/1816/05/11/pdfs/GMD-1816-60.pdf","Abrir PDF")</f>
        <v>Abrir PDF</v>
      </c>
    </row>
    <row r="64" spans="1:6" ht="31.05" customHeight="1">
      <c r="A64" s="6">
        <v>-30545</v>
      </c>
      <c r="B64" s="2" t="s">
        <v>127</v>
      </c>
      <c r="C64" s="2" t="s">
        <v>12061</v>
      </c>
      <c r="D64" s="3">
        <v>8</v>
      </c>
      <c r="E64" s="3">
        <v>18</v>
      </c>
      <c r="F64" s="3" t="str">
        <f>HYPERLINK("https://www.boe.es/gazeta/dias/1816/05/14/pdfs/GMD-1816-61.pdf","Abrir PDF")</f>
        <v>Abrir PDF</v>
      </c>
    </row>
    <row r="65" spans="1:6" ht="31.05" customHeight="1">
      <c r="A65" s="6">
        <v>-30543</v>
      </c>
      <c r="B65" s="2" t="s">
        <v>94</v>
      </c>
      <c r="C65" s="2" t="s">
        <v>12062</v>
      </c>
      <c r="D65" s="3">
        <v>8</v>
      </c>
      <c r="E65" s="3">
        <v>16</v>
      </c>
      <c r="F65" s="3" t="str">
        <f>HYPERLINK("https://www.boe.es/gazeta/dias/1816/05/16/pdfs/GMD-1816-62.pdf","Abrir PDF")</f>
        <v>Abrir PDF</v>
      </c>
    </row>
    <row r="66" spans="1:6" ht="31.05" customHeight="1">
      <c r="A66" s="6">
        <v>-30541</v>
      </c>
      <c r="B66" s="2" t="s">
        <v>96</v>
      </c>
      <c r="C66" s="2" t="s">
        <v>12063</v>
      </c>
      <c r="D66" s="3">
        <v>8</v>
      </c>
      <c r="E66" s="3">
        <v>18</v>
      </c>
      <c r="F66" s="3" t="str">
        <f>HYPERLINK("https://www.boe.es/gazeta/dias/1816/05/18/pdfs/GMD-1816-63.pdf","Abrir PDF")</f>
        <v>Abrir PDF</v>
      </c>
    </row>
    <row r="67" spans="1:6" ht="31.05" customHeight="1">
      <c r="A67" s="6">
        <v>-30538</v>
      </c>
      <c r="B67" s="2" t="s">
        <v>496</v>
      </c>
      <c r="C67" s="2" t="s">
        <v>12064</v>
      </c>
      <c r="D67" s="3">
        <v>8</v>
      </c>
      <c r="E67" s="3">
        <v>14</v>
      </c>
      <c r="F67" s="3" t="str">
        <f>HYPERLINK("https://www.boe.es/gazeta/dias/1816/05/21/pdfs/GMD-1816-64.pdf","Abrir PDF")</f>
        <v>Abrir PDF</v>
      </c>
    </row>
    <row r="68" spans="1:6" ht="31.05" customHeight="1">
      <c r="A68" s="6">
        <v>-30536</v>
      </c>
      <c r="B68" s="2" t="s">
        <v>580</v>
      </c>
      <c r="C68" s="2" t="s">
        <v>12065</v>
      </c>
      <c r="D68" s="3">
        <v>8</v>
      </c>
      <c r="E68" s="3">
        <v>21</v>
      </c>
      <c r="F68" s="3" t="str">
        <f>HYPERLINK("https://www.boe.es/gazeta/dias/1816/05/23/pdfs/GMD-1816-65.pdf","Abrir PDF")</f>
        <v>Abrir PDF</v>
      </c>
    </row>
    <row r="69" spans="1:6" ht="31.05" customHeight="1">
      <c r="A69" s="6">
        <v>-30534</v>
      </c>
      <c r="B69" s="2" t="s">
        <v>274</v>
      </c>
      <c r="C69" s="2" t="s">
        <v>12066</v>
      </c>
      <c r="D69" s="3">
        <v>8</v>
      </c>
      <c r="E69" s="3">
        <v>31</v>
      </c>
      <c r="F69" s="3" t="str">
        <f>HYPERLINK("https://www.boe.es/gazeta/dias/1816/05/25/pdfs/GMD-1816-66.pdf","Abrir PDF")</f>
        <v>Abrir PDF</v>
      </c>
    </row>
    <row r="70" spans="1:6" ht="31.05" customHeight="1">
      <c r="A70" s="6">
        <v>-30531</v>
      </c>
      <c r="B70" s="2" t="s">
        <v>535</v>
      </c>
      <c r="C70" s="2" t="s">
        <v>12067</v>
      </c>
      <c r="D70" s="3">
        <v>8</v>
      </c>
      <c r="E70" s="3">
        <v>18</v>
      </c>
      <c r="F70" s="3" t="str">
        <f>HYPERLINK("https://www.boe.es/gazeta/dias/1816/05/28/pdfs/GMD-1816-67.pdf","Abrir PDF")</f>
        <v>Abrir PDF</v>
      </c>
    </row>
    <row r="71" spans="1:6" ht="31.05" customHeight="1">
      <c r="A71" s="6">
        <v>-30529</v>
      </c>
      <c r="B71" s="2" t="s">
        <v>432</v>
      </c>
      <c r="C71" s="2" t="s">
        <v>12068</v>
      </c>
      <c r="D71" s="3">
        <v>8</v>
      </c>
      <c r="E71" s="3">
        <v>21</v>
      </c>
      <c r="F71" s="3" t="str">
        <f>HYPERLINK("https://www.boe.es/gazeta/dias/1816/05/30/pdfs/GMD-1816-68.pdf","Abrir PDF")</f>
        <v>Abrir PDF</v>
      </c>
    </row>
    <row r="72" spans="1:6" ht="31.05" customHeight="1">
      <c r="A72" s="6">
        <v>-30527</v>
      </c>
      <c r="B72" s="2" t="s">
        <v>304</v>
      </c>
      <c r="C72" s="2" t="s">
        <v>12069</v>
      </c>
      <c r="D72" s="3">
        <v>8</v>
      </c>
      <c r="E72" s="3">
        <v>21</v>
      </c>
      <c r="F72" s="3" t="str">
        <f>HYPERLINK("https://www.boe.es/gazeta/dias/1816/06/01/pdfs/GMD-1816-69.pdf","Abrir PDF")</f>
        <v>Abrir PDF</v>
      </c>
    </row>
    <row r="73" spans="1:6" ht="31.05" customHeight="1">
      <c r="A73" s="6">
        <v>-30524</v>
      </c>
      <c r="B73" s="2" t="s">
        <v>98</v>
      </c>
      <c r="C73" s="2" t="s">
        <v>12070</v>
      </c>
      <c r="D73" s="3">
        <v>8</v>
      </c>
      <c r="E73" s="3">
        <v>20</v>
      </c>
      <c r="F73" s="3" t="str">
        <f>HYPERLINK("https://www.boe.es/gazeta/dias/1816/06/04/pdfs/GMD-1816-70.pdf","Abrir PDF")</f>
        <v>Abrir PDF</v>
      </c>
    </row>
    <row r="74" spans="1:6" ht="31.05" customHeight="1">
      <c r="A74" s="6">
        <v>-30522</v>
      </c>
      <c r="B74" s="2" t="s">
        <v>282</v>
      </c>
      <c r="C74" s="2" t="s">
        <v>12071</v>
      </c>
      <c r="D74" s="3">
        <v>8</v>
      </c>
      <c r="E74" s="3">
        <v>11</v>
      </c>
      <c r="F74" s="3" t="str">
        <f>HYPERLINK("https://www.boe.es/gazeta/dias/1816/06/06/pdfs/GMD-1816-71.pdf","Abrir PDF")</f>
        <v>Abrir PDF</v>
      </c>
    </row>
    <row r="75" spans="1:6" ht="31.05" customHeight="1">
      <c r="A75" s="6">
        <v>-30520</v>
      </c>
      <c r="B75" s="2" t="s">
        <v>731</v>
      </c>
      <c r="C75" s="2" t="s">
        <v>12072</v>
      </c>
      <c r="D75" s="3">
        <v>8</v>
      </c>
      <c r="E75" s="3">
        <v>10</v>
      </c>
      <c r="F75" s="3" t="str">
        <f>HYPERLINK("https://www.boe.es/gazeta/dias/1816/06/08/pdfs/GMD-1816-72.pdf","Abrir PDF")</f>
        <v>Abrir PDF</v>
      </c>
    </row>
    <row r="76" spans="1:6" ht="31.05" customHeight="1">
      <c r="A76" s="6">
        <v>-30517</v>
      </c>
      <c r="B76" s="2" t="s">
        <v>557</v>
      </c>
      <c r="C76" s="2" t="s">
        <v>12073</v>
      </c>
      <c r="D76" s="3">
        <v>8</v>
      </c>
      <c r="E76" s="3">
        <v>22</v>
      </c>
      <c r="F76" s="3" t="str">
        <f>HYPERLINK("https://www.boe.es/gazeta/dias/1816/06/11/pdfs/GMD-1816-73.pdf","Abrir PDF")</f>
        <v>Abrir PDF</v>
      </c>
    </row>
    <row r="77" spans="1:6" ht="31.05" customHeight="1">
      <c r="A77" s="6">
        <v>-30515</v>
      </c>
      <c r="B77" s="2" t="s">
        <v>2452</v>
      </c>
      <c r="C77" s="2" t="s">
        <v>12074</v>
      </c>
      <c r="D77" s="3">
        <v>8</v>
      </c>
      <c r="E77" s="3">
        <v>13</v>
      </c>
      <c r="F77" s="3" t="str">
        <f>HYPERLINK("https://www.boe.es/gazeta/dias/1816/06/13/pdfs/GMD-1816-74.pdf","Abrir PDF")</f>
        <v>Abrir PDF</v>
      </c>
    </row>
    <row r="78" spans="1:6" ht="31.05" customHeight="1">
      <c r="A78" s="6">
        <v>-30513</v>
      </c>
      <c r="B78" s="2" t="s">
        <v>582</v>
      </c>
      <c r="C78" s="2" t="s">
        <v>12075</v>
      </c>
      <c r="D78" s="3">
        <v>8</v>
      </c>
      <c r="E78" s="3">
        <v>33</v>
      </c>
      <c r="F78" s="3" t="str">
        <f>HYPERLINK("https://www.boe.es/gazeta/dias/1816/06/15/pdfs/GMD-1816-75.pdf","Abrir PDF")</f>
        <v>Abrir PDF</v>
      </c>
    </row>
    <row r="79" spans="1:6" ht="31.05" customHeight="1">
      <c r="A79" s="6">
        <v>-30510</v>
      </c>
      <c r="B79" s="2" t="s">
        <v>450</v>
      </c>
      <c r="C79" s="2" t="s">
        <v>12076</v>
      </c>
      <c r="D79" s="3">
        <v>8</v>
      </c>
      <c r="E79" s="3">
        <v>17</v>
      </c>
      <c r="F79" s="3" t="str">
        <f>HYPERLINK("https://www.boe.es/gazeta/dias/1816/06/18/pdfs/GMD-1816-76.pdf","Abrir PDF")</f>
        <v>Abrir PDF</v>
      </c>
    </row>
    <row r="80" spans="1:6" ht="31.05" customHeight="1">
      <c r="A80" s="6">
        <v>-30508</v>
      </c>
      <c r="B80" s="2" t="s">
        <v>36</v>
      </c>
      <c r="C80" s="2" t="s">
        <v>12077</v>
      </c>
      <c r="D80" s="3">
        <v>8</v>
      </c>
      <c r="E80" s="3">
        <v>38</v>
      </c>
      <c r="F80" s="3" t="str">
        <f>HYPERLINK("https://www.boe.es/gazeta/dias/1816/06/20/pdfs/GMD-1816-77.pdf","Abrir PDF")</f>
        <v>Abrir PDF</v>
      </c>
    </row>
    <row r="81" spans="1:6" ht="31.05" customHeight="1">
      <c r="A81" s="6">
        <v>-30506</v>
      </c>
      <c r="B81" s="2" t="s">
        <v>220</v>
      </c>
      <c r="C81" s="2" t="s">
        <v>12078</v>
      </c>
      <c r="D81" s="3">
        <v>8</v>
      </c>
      <c r="E81" s="3">
        <v>15</v>
      </c>
      <c r="F81" s="3" t="str">
        <f>HYPERLINK("https://www.boe.es/gazeta/dias/1816/06/22/pdfs/GMD-1816-78.pdf","Abrir PDF")</f>
        <v>Abrir PDF</v>
      </c>
    </row>
    <row r="82" spans="1:6" ht="31.05" customHeight="1">
      <c r="A82" s="6">
        <v>-30503</v>
      </c>
      <c r="B82" s="2" t="s">
        <v>1600</v>
      </c>
      <c r="C82" s="2" t="s">
        <v>12079</v>
      </c>
      <c r="D82" s="3">
        <v>8</v>
      </c>
      <c r="E82" s="3">
        <v>16</v>
      </c>
      <c r="F82" s="3" t="str">
        <f>HYPERLINK("https://www.boe.es/gazeta/dias/1816/06/25/pdfs/GMD-1816-79.pdf","Abrir PDF")</f>
        <v>Abrir PDF</v>
      </c>
    </row>
    <row r="83" spans="1:6" ht="31.05" customHeight="1">
      <c r="A83" s="6">
        <v>-30501</v>
      </c>
      <c r="B83" s="2" t="s">
        <v>475</v>
      </c>
      <c r="C83" s="2" t="s">
        <v>12080</v>
      </c>
      <c r="D83" s="3">
        <v>8</v>
      </c>
      <c r="E83" s="3">
        <v>24</v>
      </c>
      <c r="F83" s="3" t="str">
        <f>HYPERLINK("https://www.boe.es/gazeta/dias/1816/06/27/pdfs/GMD-1816-80.pdf","Abrir PDF")</f>
        <v>Abrir PDF</v>
      </c>
    </row>
    <row r="84" spans="1:6" ht="31.05" customHeight="1">
      <c r="A84" s="6">
        <v>-30499</v>
      </c>
      <c r="B84" s="2" t="s">
        <v>971</v>
      </c>
      <c r="C84" s="2" t="s">
        <v>12081</v>
      </c>
      <c r="D84" s="3">
        <v>12</v>
      </c>
      <c r="E84" s="3">
        <v>48</v>
      </c>
      <c r="F84" s="3" t="str">
        <f>HYPERLINK("https://www.boe.es/gazeta/dias/1816/06/29/pdfs/GMD-1816-81.pdf","Abrir PDF")</f>
        <v>Abrir PDF</v>
      </c>
    </row>
    <row r="85" spans="1:6" ht="31.05" customHeight="1">
      <c r="A85" s="6">
        <v>-30496</v>
      </c>
      <c r="B85" s="2" t="s">
        <v>290</v>
      </c>
      <c r="C85" s="2" t="s">
        <v>12082</v>
      </c>
      <c r="D85" s="3">
        <v>8</v>
      </c>
      <c r="E85" s="3">
        <v>32</v>
      </c>
      <c r="F85" s="3" t="str">
        <f>HYPERLINK("https://www.boe.es/gazeta/dias/1816/07/02/pdfs/GMD-1816-82.pdf","Abrir PDF")</f>
        <v>Abrir PDF</v>
      </c>
    </row>
    <row r="86" spans="1:6" ht="31.05" customHeight="1">
      <c r="A86" s="6">
        <v>-30494</v>
      </c>
      <c r="B86" s="2" t="s">
        <v>174</v>
      </c>
      <c r="C86" s="2" t="s">
        <v>12083</v>
      </c>
      <c r="D86" s="3">
        <v>12</v>
      </c>
      <c r="E86" s="3">
        <v>104</v>
      </c>
      <c r="F86" s="3" t="str">
        <f>HYPERLINK("https://www.boe.es/gazeta/dias/1816/07/04/pdfs/GMD-1816-83.pdf","Abrir PDF")</f>
        <v>Abrir PDF</v>
      </c>
    </row>
    <row r="87" spans="1:6" ht="31.05" customHeight="1">
      <c r="A87" s="6">
        <v>-30492</v>
      </c>
      <c r="B87" s="2" t="s">
        <v>248</v>
      </c>
      <c r="C87" s="2" t="s">
        <v>12084</v>
      </c>
      <c r="D87" s="3">
        <v>12</v>
      </c>
      <c r="E87" s="3">
        <v>43</v>
      </c>
      <c r="F87" s="3" t="str">
        <f>HYPERLINK("https://www.boe.es/gazeta/dias/1816/07/06/pdfs/GMD-1816-84.pdf","Abrir PDF")</f>
        <v>Abrir PDF</v>
      </c>
    </row>
    <row r="88" spans="1:6" ht="31.05" customHeight="1">
      <c r="A88" s="6">
        <v>-30489</v>
      </c>
      <c r="B88" s="2" t="s">
        <v>1120</v>
      </c>
      <c r="C88" s="2" t="s">
        <v>12085</v>
      </c>
      <c r="D88" s="3">
        <v>8</v>
      </c>
      <c r="E88" s="3">
        <v>25</v>
      </c>
      <c r="F88" s="3" t="str">
        <f>HYPERLINK("https://www.boe.es/gazeta/dias/1816/07/09/pdfs/GMD-1816-85.pdf","Abrir PDF")</f>
        <v>Abrir PDF</v>
      </c>
    </row>
    <row r="89" spans="1:6" ht="31.05" customHeight="1">
      <c r="A89" s="6">
        <v>-30487</v>
      </c>
      <c r="B89" s="2" t="s">
        <v>397</v>
      </c>
      <c r="C89" s="2" t="s">
        <v>12086</v>
      </c>
      <c r="D89" s="3">
        <v>12</v>
      </c>
      <c r="E89" s="3">
        <v>49</v>
      </c>
      <c r="F89" s="3" t="str">
        <f>HYPERLINK("https://www.boe.es/gazeta/dias/1816/07/11/pdfs/GMD-1816-86.pdf","Abrir PDF")</f>
        <v>Abrir PDF</v>
      </c>
    </row>
    <row r="90" spans="1:6" ht="31.05" customHeight="1">
      <c r="A90" s="6">
        <v>-30485</v>
      </c>
      <c r="B90" s="2" t="s">
        <v>156</v>
      </c>
      <c r="C90" s="2" t="s">
        <v>12087</v>
      </c>
      <c r="D90" s="3">
        <v>8</v>
      </c>
      <c r="E90" s="3">
        <v>32</v>
      </c>
      <c r="F90" s="3" t="str">
        <f>HYPERLINK("https://www.boe.es/gazeta/dias/1816/07/13/pdfs/GMD-1816-87.pdf","Abrir PDF")</f>
        <v>Abrir PDF</v>
      </c>
    </row>
    <row r="91" spans="1:6" ht="31.05" customHeight="1">
      <c r="A91" s="6">
        <v>-30482</v>
      </c>
      <c r="B91" s="2" t="s">
        <v>370</v>
      </c>
      <c r="C91" s="2" t="s">
        <v>12088</v>
      </c>
      <c r="D91" s="3">
        <v>12</v>
      </c>
      <c r="E91" s="3">
        <v>40</v>
      </c>
      <c r="F91" s="3" t="str">
        <f>HYPERLINK("https://www.boe.es/gazeta/dias/1816/07/16/pdfs/GMD-1816-88.pdf","Abrir PDF")</f>
        <v>Abrir PDF</v>
      </c>
    </row>
    <row r="92" spans="1:6" ht="31.05" customHeight="1">
      <c r="A92" s="6">
        <v>-30480</v>
      </c>
      <c r="B92" s="2" t="s">
        <v>147</v>
      </c>
      <c r="C92" s="2" t="s">
        <v>12089</v>
      </c>
      <c r="D92" s="3">
        <v>8</v>
      </c>
      <c r="E92" s="3">
        <v>25</v>
      </c>
      <c r="F92" s="3" t="str">
        <f>HYPERLINK("https://www.boe.es/gazeta/dias/1816/07/18/pdfs/GMD-1816-89.pdf","Abrir PDF")</f>
        <v>Abrir PDF</v>
      </c>
    </row>
    <row r="93" spans="1:6" ht="31.05" customHeight="1">
      <c r="A93" s="6">
        <v>-30478</v>
      </c>
      <c r="B93" s="2" t="s">
        <v>123</v>
      </c>
      <c r="C93" s="2" t="s">
        <v>12090</v>
      </c>
      <c r="D93" s="3">
        <v>8</v>
      </c>
      <c r="E93" s="3">
        <v>52</v>
      </c>
      <c r="F93" s="3" t="str">
        <f>HYPERLINK("https://www.boe.es/gazeta/dias/1816/07/20/pdfs/GMD-1816-90.pdf","Abrir PDF")</f>
        <v>Abrir PDF</v>
      </c>
    </row>
    <row r="94" spans="1:6" ht="31.05" customHeight="1">
      <c r="A94" s="6">
        <v>-30475</v>
      </c>
      <c r="B94" s="2" t="s">
        <v>319</v>
      </c>
      <c r="C94" s="2" t="s">
        <v>12091</v>
      </c>
      <c r="D94" s="3">
        <v>8</v>
      </c>
      <c r="E94" s="3">
        <v>22</v>
      </c>
      <c r="F94" s="3" t="str">
        <f>HYPERLINK("https://www.boe.es/gazeta/dias/1816/07/23/pdfs/GMD-1816-91.pdf","Abrir PDF")</f>
        <v>Abrir PDF</v>
      </c>
    </row>
    <row r="95" spans="1:6" ht="31.05" customHeight="1">
      <c r="A95" s="6">
        <v>-30473</v>
      </c>
      <c r="B95" s="2" t="s">
        <v>336</v>
      </c>
      <c r="C95" s="2" t="s">
        <v>12092</v>
      </c>
      <c r="D95" s="3">
        <v>16</v>
      </c>
      <c r="E95" s="3">
        <v>45</v>
      </c>
      <c r="F95" s="3" t="str">
        <f>HYPERLINK("https://www.boe.es/gazeta/dias/1816/07/25/pdfs/GMD-1816-92.pdf","Abrir PDF")</f>
        <v>Abrir PDF</v>
      </c>
    </row>
    <row r="96" spans="1:6" ht="31.05" customHeight="1">
      <c r="A96" s="6">
        <v>-30471</v>
      </c>
      <c r="B96" s="2" t="s">
        <v>639</v>
      </c>
      <c r="C96" s="2" t="s">
        <v>12093</v>
      </c>
      <c r="D96" s="3">
        <v>8</v>
      </c>
      <c r="E96" s="3">
        <v>22</v>
      </c>
      <c r="F96" s="3" t="str">
        <f>HYPERLINK("https://www.boe.es/gazeta/dias/1816/07/27/pdfs/GMD-1816-93.pdf","Abrir PDF")</f>
        <v>Abrir PDF</v>
      </c>
    </row>
    <row r="97" spans="1:6" ht="31.05" customHeight="1">
      <c r="A97" s="6">
        <v>-30468</v>
      </c>
      <c r="B97" s="2" t="s">
        <v>383</v>
      </c>
      <c r="C97" s="2" t="s">
        <v>12094</v>
      </c>
      <c r="D97" s="3">
        <v>8</v>
      </c>
      <c r="E97" s="3">
        <v>26</v>
      </c>
      <c r="F97" s="3" t="str">
        <f>HYPERLINK("https://www.boe.es/gazeta/dias/1816/07/30/pdfs/GMD-1816-94.pdf","Abrir PDF")</f>
        <v>Abrir PDF</v>
      </c>
    </row>
    <row r="98" spans="1:6" ht="31.05" customHeight="1">
      <c r="A98" s="6">
        <v>-30466</v>
      </c>
      <c r="B98" s="2" t="s">
        <v>2138</v>
      </c>
      <c r="C98" s="2" t="s">
        <v>12095</v>
      </c>
      <c r="D98" s="3">
        <v>8</v>
      </c>
      <c r="E98" s="3">
        <v>8</v>
      </c>
      <c r="F98" s="3" t="str">
        <f>HYPERLINK("https://www.boe.es/gazeta/dias/1816/08/01/pdfs/GMD-1816-95.pdf","Abrir PDF")</f>
        <v>Abrir PDF</v>
      </c>
    </row>
    <row r="99" spans="1:6" ht="31.05" customHeight="1">
      <c r="A99" s="6">
        <v>-30464</v>
      </c>
      <c r="B99" s="2" t="s">
        <v>215</v>
      </c>
      <c r="C99" s="2" t="s">
        <v>12096</v>
      </c>
      <c r="D99" s="3">
        <v>12</v>
      </c>
      <c r="E99" s="3">
        <v>34</v>
      </c>
      <c r="F99" s="3" t="str">
        <f>HYPERLINK("https://www.boe.es/gazeta/dias/1816/08/03/pdfs/GMD-1816-96.pdf","Abrir PDF")</f>
        <v>Abrir PDF</v>
      </c>
    </row>
    <row r="100" spans="1:6" ht="31.05" customHeight="1">
      <c r="A100" s="6">
        <v>-30461</v>
      </c>
      <c r="B100" s="2" t="s">
        <v>912</v>
      </c>
      <c r="C100" s="2" t="s">
        <v>12097</v>
      </c>
      <c r="D100" s="3">
        <v>8</v>
      </c>
      <c r="E100" s="3">
        <v>32</v>
      </c>
      <c r="F100" s="3" t="str">
        <f>HYPERLINK("https://www.boe.es/gazeta/dias/1816/08/06/pdfs/GMD-1816-97.pdf","Abrir PDF")</f>
        <v>Abrir PDF</v>
      </c>
    </row>
    <row r="101" spans="1:6" ht="31.05" customHeight="1">
      <c r="A101" s="6">
        <v>-30459</v>
      </c>
      <c r="B101" s="2" t="s">
        <v>1957</v>
      </c>
      <c r="C101" s="2" t="s">
        <v>12098</v>
      </c>
      <c r="D101" s="3">
        <v>8</v>
      </c>
      <c r="E101" s="3">
        <v>14</v>
      </c>
      <c r="F101" s="3" t="str">
        <f>HYPERLINK("https://www.boe.es/gazeta/dias/1816/08/08/pdfs/GMD-1816-98.pdf","Abrir PDF")</f>
        <v>Abrir PDF</v>
      </c>
    </row>
    <row r="102" spans="1:6" ht="31.05" customHeight="1">
      <c r="A102" s="6">
        <v>-30457</v>
      </c>
      <c r="B102" s="2" t="s">
        <v>539</v>
      </c>
      <c r="C102" s="2" t="s">
        <v>12099</v>
      </c>
      <c r="D102" s="3">
        <v>8</v>
      </c>
      <c r="E102" s="3">
        <v>33</v>
      </c>
      <c r="F102" s="3" t="str">
        <f>HYPERLINK("https://www.boe.es/gazeta/dias/1816/08/10/pdfs/GMD-1816-99.pdf","Abrir PDF")</f>
        <v>Abrir PDF</v>
      </c>
    </row>
    <row r="103" spans="1:6" ht="31.05" customHeight="1">
      <c r="A103" s="6">
        <v>-30454</v>
      </c>
      <c r="B103" s="2" t="s">
        <v>188</v>
      </c>
      <c r="C103" s="2" t="s">
        <v>12100</v>
      </c>
      <c r="D103" s="3">
        <v>12</v>
      </c>
      <c r="E103" s="3">
        <v>18</v>
      </c>
      <c r="F103" s="3" t="str">
        <f>HYPERLINK("https://www.boe.es/gazeta/dias/1816/08/13/pdfs/GMD-1816-100.pdf","Abrir PDF")</f>
        <v>Abrir PDF</v>
      </c>
    </row>
    <row r="104" spans="1:6" ht="31.05" customHeight="1">
      <c r="A104" s="6">
        <v>-30452</v>
      </c>
      <c r="B104" s="2" t="s">
        <v>3546</v>
      </c>
      <c r="C104" s="2" t="s">
        <v>12101</v>
      </c>
      <c r="D104" s="3">
        <v>8</v>
      </c>
      <c r="E104" s="3">
        <v>13</v>
      </c>
      <c r="F104" s="3" t="str">
        <f>HYPERLINK("https://www.boe.es/gazeta/dias/1816/08/15/pdfs/GMD-1816-101.pdf","Abrir PDF")</f>
        <v>Abrir PDF</v>
      </c>
    </row>
    <row r="105" spans="1:6" ht="31.05" customHeight="1">
      <c r="A105" s="6">
        <v>-30450</v>
      </c>
      <c r="B105" s="2" t="s">
        <v>349</v>
      </c>
      <c r="C105" s="2" t="s">
        <v>12102</v>
      </c>
      <c r="D105" s="3">
        <v>8</v>
      </c>
      <c r="E105" s="3">
        <v>25</v>
      </c>
      <c r="F105" s="3" t="str">
        <f>HYPERLINK("https://www.boe.es/gazeta/dias/1816/08/17/pdfs/GMD-1816-102.pdf","Abrir PDF")</f>
        <v>Abrir PDF</v>
      </c>
    </row>
    <row r="106" spans="1:6" ht="31.05" customHeight="1">
      <c r="A106" s="6">
        <v>-30447</v>
      </c>
      <c r="B106" s="2" t="s">
        <v>151</v>
      </c>
      <c r="C106" s="2" t="s">
        <v>12103</v>
      </c>
      <c r="D106" s="3">
        <v>8</v>
      </c>
      <c r="E106" s="3">
        <v>16</v>
      </c>
      <c r="F106" s="3" t="str">
        <f>HYPERLINK("https://www.boe.es/gazeta/dias/1816/08/20/pdfs/GMD-1816-103.pdf","Abrir PDF")</f>
        <v>Abrir PDF</v>
      </c>
    </row>
    <row r="107" spans="1:6" ht="31.05" customHeight="1">
      <c r="A107" s="6">
        <v>-30445</v>
      </c>
      <c r="B107" s="2" t="s">
        <v>51</v>
      </c>
      <c r="C107" s="2" t="s">
        <v>12104</v>
      </c>
      <c r="D107" s="3">
        <v>12</v>
      </c>
      <c r="E107" s="3">
        <v>68</v>
      </c>
      <c r="F107" s="3" t="str">
        <f>HYPERLINK("https://www.boe.es/gazeta/dias/1816/08/22/pdfs/GMD-1816-104.pdf","Abrir PDF")</f>
        <v>Abrir PDF</v>
      </c>
    </row>
    <row r="108" spans="1:6" ht="31.05" customHeight="1">
      <c r="A108" s="6">
        <v>-30443</v>
      </c>
      <c r="B108" s="2" t="s">
        <v>259</v>
      </c>
      <c r="C108" s="2" t="s">
        <v>12105</v>
      </c>
      <c r="D108" s="3">
        <v>8</v>
      </c>
      <c r="E108" s="3">
        <v>41</v>
      </c>
      <c r="F108" s="3" t="str">
        <f>HYPERLINK("https://www.boe.es/gazeta/dias/1816/08/24/pdfs/GMD-1816-105.pdf","Abrir PDF")</f>
        <v>Abrir PDF</v>
      </c>
    </row>
    <row r="109" spans="1:6" ht="31.05" customHeight="1">
      <c r="A109" s="6">
        <v>-30440</v>
      </c>
      <c r="B109" s="2" t="s">
        <v>564</v>
      </c>
      <c r="C109" s="2" t="s">
        <v>12106</v>
      </c>
      <c r="D109" s="3">
        <v>8</v>
      </c>
      <c r="E109" s="3">
        <v>14</v>
      </c>
      <c r="F109" s="3" t="str">
        <f>HYPERLINK("https://www.boe.es/gazeta/dias/1816/08/27/pdfs/GMD-1816-106.pdf","Abrir PDF")</f>
        <v>Abrir PDF</v>
      </c>
    </row>
    <row r="110" spans="1:6" ht="31.05" customHeight="1">
      <c r="A110" s="6">
        <v>-30438</v>
      </c>
      <c r="B110" s="2" t="s">
        <v>299</v>
      </c>
      <c r="C110" s="2" t="s">
        <v>12107</v>
      </c>
      <c r="D110" s="3">
        <v>12</v>
      </c>
      <c r="E110" s="3">
        <v>65</v>
      </c>
      <c r="F110" s="3" t="str">
        <f>HYPERLINK("https://www.boe.es/gazeta/dias/1816/08/29/pdfs/GMD-1816-107.pdf","Abrir PDF")</f>
        <v>Abrir PDF</v>
      </c>
    </row>
    <row r="111" spans="1:6" ht="31.05" customHeight="1">
      <c r="A111" s="6">
        <v>-30436</v>
      </c>
      <c r="B111" s="2" t="s">
        <v>102</v>
      </c>
      <c r="C111" s="2" t="s">
        <v>12108</v>
      </c>
      <c r="D111" s="3">
        <v>12</v>
      </c>
      <c r="E111" s="3">
        <v>57</v>
      </c>
      <c r="F111" s="3" t="str">
        <f>HYPERLINK("https://www.boe.es/gazeta/dias/1816/08/31/pdfs/GMD-1816-108.pdf","Abrir PDF")</f>
        <v>Abrir PDF</v>
      </c>
    </row>
    <row r="112" spans="1:6" ht="31.05" customHeight="1">
      <c r="A112" s="6">
        <v>-30433</v>
      </c>
      <c r="B112" s="2" t="s">
        <v>954</v>
      </c>
      <c r="C112" s="2" t="s">
        <v>12109</v>
      </c>
      <c r="D112" s="3">
        <v>8</v>
      </c>
      <c r="E112" s="3">
        <v>35</v>
      </c>
      <c r="F112" s="3" t="str">
        <f>HYPERLINK("https://www.boe.es/gazeta/dias/1816/09/03/pdfs/GMD-1816-109.pdf","Abrir PDF")</f>
        <v>Abrir PDF</v>
      </c>
    </row>
    <row r="113" spans="1:6" ht="31.05" customHeight="1">
      <c r="A113" s="6">
        <v>-30431</v>
      </c>
      <c r="B113" s="2" t="s">
        <v>756</v>
      </c>
      <c r="C113" s="2" t="s">
        <v>12110</v>
      </c>
      <c r="D113" s="3">
        <v>8</v>
      </c>
      <c r="E113" s="3">
        <v>53</v>
      </c>
      <c r="F113" s="3" t="str">
        <f>HYPERLINK("https://www.boe.es/gazeta/dias/1816/09/05/pdfs/GMD-1816-110.pdf","Abrir PDF")</f>
        <v>Abrir PDF</v>
      </c>
    </row>
    <row r="114" spans="1:6" ht="31.05" customHeight="1">
      <c r="A114" s="6">
        <v>-30429</v>
      </c>
      <c r="B114" s="2" t="s">
        <v>598</v>
      </c>
      <c r="C114" s="2" t="s">
        <v>12111</v>
      </c>
      <c r="D114" s="3">
        <v>8</v>
      </c>
      <c r="E114" s="3">
        <v>27</v>
      </c>
      <c r="F114" s="3" t="str">
        <f>HYPERLINK("https://www.boe.es/gazeta/dias/1816/09/07/pdfs/GMD-1816-111.pdf","Abrir PDF")</f>
        <v>Abrir PDF</v>
      </c>
    </row>
    <row r="115" spans="1:6" ht="31.05" customHeight="1">
      <c r="A115" s="6">
        <v>-30426</v>
      </c>
      <c r="B115" s="2" t="s">
        <v>779</v>
      </c>
      <c r="C115" s="2" t="s">
        <v>12112</v>
      </c>
      <c r="D115" s="3">
        <v>8</v>
      </c>
      <c r="E115" s="3">
        <v>23</v>
      </c>
      <c r="F115" s="3" t="str">
        <f>HYPERLINK("https://www.boe.es/gazeta/dias/1816/09/10/pdfs/GMD-1816-112.pdf","Abrir PDF")</f>
        <v>Abrir PDF</v>
      </c>
    </row>
    <row r="116" spans="1:6" ht="31.05" customHeight="1">
      <c r="A116" s="6">
        <v>-30424</v>
      </c>
      <c r="B116" s="2" t="s">
        <v>142</v>
      </c>
      <c r="C116" s="2" t="s">
        <v>12113</v>
      </c>
      <c r="D116" s="3">
        <v>12</v>
      </c>
      <c r="E116" s="3">
        <v>60</v>
      </c>
      <c r="F116" s="3" t="str">
        <f>HYPERLINK("https://www.boe.es/gazeta/dias/1816/09/12/pdfs/GMD-1816-113.pdf","Abrir PDF")</f>
        <v>Abrir PDF</v>
      </c>
    </row>
    <row r="117" spans="1:6" ht="31.05" customHeight="1">
      <c r="A117" s="6">
        <v>-30422</v>
      </c>
      <c r="B117" s="2" t="s">
        <v>803</v>
      </c>
      <c r="C117" s="2" t="s">
        <v>12114</v>
      </c>
      <c r="D117" s="3">
        <v>8</v>
      </c>
      <c r="E117" s="3">
        <v>19</v>
      </c>
      <c r="F117" s="3" t="str">
        <f>HYPERLINK("https://www.boe.es/gazeta/dias/1816/09/14/pdfs/GMD-1816-114.pdf","Abrir PDF")</f>
        <v>Abrir PDF</v>
      </c>
    </row>
    <row r="118" spans="1:6" ht="31.05" customHeight="1">
      <c r="A118" s="6">
        <v>-30419</v>
      </c>
      <c r="B118" s="2" t="s">
        <v>1256</v>
      </c>
      <c r="C118" s="2" t="s">
        <v>12115</v>
      </c>
      <c r="D118" s="3">
        <v>8</v>
      </c>
      <c r="E118" s="3">
        <v>19</v>
      </c>
      <c r="F118" s="3" t="str">
        <f>HYPERLINK("https://www.boe.es/gazeta/dias/1816/09/17/pdfs/GMD-1816-115.pdf","Abrir PDF")</f>
        <v>Abrir PDF</v>
      </c>
    </row>
    <row r="119" spans="1:6" ht="31.05" customHeight="1">
      <c r="A119" s="6">
        <v>-30417</v>
      </c>
      <c r="B119" s="2" t="s">
        <v>62</v>
      </c>
      <c r="C119" s="2" t="s">
        <v>12116</v>
      </c>
      <c r="D119" s="3">
        <v>8</v>
      </c>
      <c r="E119" s="3">
        <v>21</v>
      </c>
      <c r="F119" s="3" t="str">
        <f>HYPERLINK("https://www.boe.es/gazeta/dias/1816/09/19/pdfs/GMD-1816-116.pdf","Abrir PDF")</f>
        <v>Abrir PDF</v>
      </c>
    </row>
    <row r="120" spans="1:6" ht="31.05" customHeight="1">
      <c r="A120" s="6">
        <v>-30415</v>
      </c>
      <c r="B120" s="2" t="s">
        <v>585</v>
      </c>
      <c r="C120" s="2" t="s">
        <v>12117</v>
      </c>
      <c r="D120" s="3">
        <v>12</v>
      </c>
      <c r="E120" s="3">
        <v>44</v>
      </c>
      <c r="F120" s="3" t="str">
        <f>HYPERLINK("https://www.boe.es/gazeta/dias/1816/09/21/pdfs/GMD-1816-117.pdf","Abrir PDF")</f>
        <v>Abrir PDF</v>
      </c>
    </row>
    <row r="121" spans="1:6" ht="31.05" customHeight="1">
      <c r="A121" s="6">
        <v>-30412</v>
      </c>
      <c r="B121" s="2" t="s">
        <v>388</v>
      </c>
      <c r="C121" s="2" t="s">
        <v>12118</v>
      </c>
      <c r="D121" s="3">
        <v>8</v>
      </c>
      <c r="E121" s="3">
        <v>40</v>
      </c>
      <c r="F121" s="3" t="str">
        <f>HYPERLINK("https://www.boe.es/gazeta/dias/1816/09/24/pdfs/GMD-1816-118.pdf","Abrir PDF")</f>
        <v>Abrir PDF</v>
      </c>
    </row>
    <row r="122" spans="1:6" ht="31.05" customHeight="1">
      <c r="A122" s="6">
        <v>-30410</v>
      </c>
      <c r="B122" s="2" t="s">
        <v>1259</v>
      </c>
      <c r="C122" s="2" t="s">
        <v>12119</v>
      </c>
      <c r="D122" s="3">
        <v>12</v>
      </c>
      <c r="E122" s="3">
        <v>42</v>
      </c>
      <c r="F122" s="3" t="str">
        <f>HYPERLINK("https://www.boe.es/gazeta/dias/1816/09/26/pdfs/GMD-1816-119.pdf","Abrir PDF")</f>
        <v>Abrir PDF</v>
      </c>
    </row>
    <row r="123" spans="1:6" ht="31.05" customHeight="1">
      <c r="A123" s="6">
        <v>-30408</v>
      </c>
      <c r="B123" s="2" t="s">
        <v>295</v>
      </c>
      <c r="C123" s="2" t="s">
        <v>12120</v>
      </c>
      <c r="D123" s="3">
        <v>8</v>
      </c>
      <c r="E123" s="3">
        <v>25</v>
      </c>
      <c r="F123" s="3" t="str">
        <f>HYPERLINK("https://www.boe.es/gazeta/dias/1816/09/28/pdfs/GMD-1816-120.pdf","Abrir PDF")</f>
        <v>Abrir PDF</v>
      </c>
    </row>
    <row r="124" spans="1:6" ht="31.05" customHeight="1">
      <c r="A124" s="6">
        <v>-30405</v>
      </c>
      <c r="B124" s="2" t="s">
        <v>587</v>
      </c>
      <c r="C124" s="2" t="s">
        <v>12121</v>
      </c>
      <c r="D124" s="3">
        <v>8</v>
      </c>
      <c r="E124" s="3">
        <v>37</v>
      </c>
      <c r="F124" s="3" t="str">
        <f>HYPERLINK("https://www.boe.es/gazeta/dias/1816/10/01/pdfs/GMD-1816-121.pdf","Abrir PDF")</f>
        <v>Abrir PDF</v>
      </c>
    </row>
    <row r="125" spans="1:6" ht="31.05" customHeight="1">
      <c r="A125" s="6">
        <v>-30403</v>
      </c>
      <c r="B125" s="2" t="s">
        <v>1264</v>
      </c>
      <c r="C125" s="2" t="s">
        <v>12122</v>
      </c>
      <c r="D125" s="3">
        <v>8</v>
      </c>
      <c r="E125" s="3">
        <v>21</v>
      </c>
      <c r="F125" s="3" t="str">
        <f>HYPERLINK("https://www.boe.es/gazeta/dias/1816/10/03/pdfs/GMD-1816-122.pdf","Abrir PDF")</f>
        <v>Abrir PDF</v>
      </c>
    </row>
    <row r="126" spans="1:6" ht="31.05" customHeight="1">
      <c r="A126" s="6">
        <v>-30401</v>
      </c>
      <c r="B126" s="2" t="s">
        <v>652</v>
      </c>
      <c r="C126" s="2" t="s">
        <v>12123</v>
      </c>
      <c r="D126" s="3">
        <v>8</v>
      </c>
      <c r="E126" s="3">
        <v>49</v>
      </c>
      <c r="F126" s="3" t="str">
        <f>HYPERLINK("https://www.boe.es/gazeta/dias/1816/10/05/pdfs/GMD-1816-123.pdf","Abrir PDF")</f>
        <v>Abrir PDF</v>
      </c>
    </row>
    <row r="127" spans="1:6" ht="31.05" customHeight="1">
      <c r="A127" s="6">
        <v>-30399</v>
      </c>
      <c r="B127" s="2" t="s">
        <v>57</v>
      </c>
      <c r="C127" s="2" t="s">
        <v>12124</v>
      </c>
      <c r="D127" s="3">
        <v>11</v>
      </c>
      <c r="E127" s="3">
        <v>18</v>
      </c>
      <c r="F127" s="3" t="str">
        <f>HYPERLINK("https://www.boe.es/gazeta/dias/1816/10/07/pdfs/GMD-1816-124E.pdf","Abrir PDF")</f>
        <v>Abrir PDF</v>
      </c>
    </row>
    <row r="128" spans="1:6" ht="31.05" customHeight="1">
      <c r="A128" s="6">
        <v>-30398</v>
      </c>
      <c r="B128" s="2" t="s">
        <v>447</v>
      </c>
      <c r="C128" s="2" t="s">
        <v>12125</v>
      </c>
      <c r="D128" s="3">
        <v>8</v>
      </c>
      <c r="E128" s="3">
        <v>35</v>
      </c>
      <c r="F128" s="3" t="str">
        <f>HYPERLINK("https://www.boe.es/gazeta/dias/1816/10/08/pdfs/GMD-1816-125.pdf","Abrir PDF")</f>
        <v>Abrir PDF</v>
      </c>
    </row>
    <row r="129" spans="1:6" ht="31.05" customHeight="1">
      <c r="A129" s="6">
        <v>-30396</v>
      </c>
      <c r="B129" s="2" t="s">
        <v>1623</v>
      </c>
      <c r="C129" s="2" t="s">
        <v>12126</v>
      </c>
      <c r="D129" s="3">
        <v>12</v>
      </c>
      <c r="E129" s="3">
        <v>18</v>
      </c>
      <c r="F129" s="3" t="str">
        <f>HYPERLINK("https://www.boe.es/gazeta/dias/1816/10/10/pdfs/GMD-1816-126.pdf","Abrir PDF")</f>
        <v>Abrir PDF</v>
      </c>
    </row>
    <row r="130" spans="1:6" ht="31.05" customHeight="1">
      <c r="A130" s="6">
        <v>-30394</v>
      </c>
      <c r="B130" s="2" t="s">
        <v>589</v>
      </c>
      <c r="C130" s="2" t="s">
        <v>12127</v>
      </c>
      <c r="D130" s="3">
        <v>8</v>
      </c>
      <c r="E130" s="3">
        <v>54</v>
      </c>
      <c r="F130" s="3" t="str">
        <f>HYPERLINK("https://www.boe.es/gazeta/dias/1816/10/12/pdfs/GMD-1816-127.pdf","Abrir PDF")</f>
        <v>Abrir PDF</v>
      </c>
    </row>
    <row r="131" spans="1:6" ht="31.05" customHeight="1">
      <c r="A131" s="6">
        <v>-30393</v>
      </c>
      <c r="B131" s="2" t="s">
        <v>202</v>
      </c>
      <c r="C131" s="2" t="s">
        <v>12128</v>
      </c>
      <c r="D131" s="3">
        <v>8</v>
      </c>
      <c r="E131" s="3">
        <v>218</v>
      </c>
      <c r="F131" s="3" t="str">
        <f>HYPERLINK("https://www.boe.es/gazeta/dias/1816/10/13/pdfs/GMD-1816-128E.pdf","Abrir PDF")</f>
        <v>Abrir PDF</v>
      </c>
    </row>
    <row r="132" spans="1:6" ht="31.05" customHeight="1">
      <c r="A132" s="6">
        <v>-30391</v>
      </c>
      <c r="B132" s="2" t="s">
        <v>482</v>
      </c>
      <c r="C132" s="2" t="s">
        <v>12129</v>
      </c>
      <c r="D132" s="3">
        <v>8</v>
      </c>
      <c r="E132" s="3">
        <v>105</v>
      </c>
      <c r="F132" s="3" t="str">
        <f>HYPERLINK("https://www.boe.es/gazeta/dias/1816/10/15/pdfs/GMD-1816-129.pdf","Abrir PDF")</f>
        <v>Abrir PDF</v>
      </c>
    </row>
    <row r="133" spans="1:6" ht="31.05" customHeight="1">
      <c r="A133" s="6">
        <v>-30389</v>
      </c>
      <c r="B133" s="2" t="s">
        <v>522</v>
      </c>
      <c r="C133" s="2" t="s">
        <v>12130</v>
      </c>
      <c r="D133" s="3">
        <v>8</v>
      </c>
      <c r="E133" s="3">
        <v>51</v>
      </c>
      <c r="F133" s="3" t="str">
        <f>HYPERLINK("https://www.boe.es/gazeta/dias/1816/10/17/pdfs/GMD-1816-130.pdf","Abrir PDF")</f>
        <v>Abrir PDF</v>
      </c>
    </row>
    <row r="134" spans="1:6" ht="31.05" customHeight="1">
      <c r="A134" s="6">
        <v>-30387</v>
      </c>
      <c r="B134" s="2" t="s">
        <v>224</v>
      </c>
      <c r="C134" s="2" t="s">
        <v>12131</v>
      </c>
      <c r="D134" s="3">
        <v>8</v>
      </c>
      <c r="E134" s="3">
        <v>110</v>
      </c>
      <c r="F134" s="3" t="str">
        <f>HYPERLINK("https://www.boe.es/gazeta/dias/1816/10/19/pdfs/GMD-1816-131.pdf","Abrir PDF")</f>
        <v>Abrir PDF</v>
      </c>
    </row>
    <row r="135" spans="1:6" ht="31.05" customHeight="1">
      <c r="A135" s="6">
        <v>-30384</v>
      </c>
      <c r="B135" s="2" t="s">
        <v>460</v>
      </c>
      <c r="C135" s="2" t="s">
        <v>12132</v>
      </c>
      <c r="D135" s="3">
        <v>8</v>
      </c>
      <c r="E135" s="3">
        <v>56</v>
      </c>
      <c r="F135" s="3" t="str">
        <f>HYPERLINK("https://www.boe.es/gazeta/dias/1816/10/22/pdfs/GMD-1816-132.pdf","Abrir PDF")</f>
        <v>Abrir PDF</v>
      </c>
    </row>
    <row r="136" spans="1:6" ht="31.05" customHeight="1">
      <c r="A136" s="6">
        <v>-30382</v>
      </c>
      <c r="B136" s="2" t="s">
        <v>326</v>
      </c>
      <c r="C136" s="2" t="s">
        <v>12133</v>
      </c>
      <c r="D136" s="3">
        <v>8</v>
      </c>
      <c r="E136" s="3">
        <v>44</v>
      </c>
      <c r="F136" s="3" t="str">
        <f>HYPERLINK("https://www.boe.es/gazeta/dias/1816/10/24/pdfs/GMD-1816-133.pdf","Abrir PDF")</f>
        <v>Abrir PDF</v>
      </c>
    </row>
    <row r="137" spans="1:6" ht="31.05" customHeight="1">
      <c r="A137" s="6">
        <v>-30380</v>
      </c>
      <c r="B137" s="2" t="s">
        <v>819</v>
      </c>
      <c r="C137" s="2" t="s">
        <v>12134</v>
      </c>
      <c r="D137" s="3">
        <v>8</v>
      </c>
      <c r="E137" s="3">
        <v>33</v>
      </c>
      <c r="F137" s="3" t="str">
        <f>HYPERLINK("https://www.boe.es/gazeta/dias/1816/10/26/pdfs/GMD-1816-134.pdf","Abrir PDF")</f>
        <v>Abrir PDF</v>
      </c>
    </row>
    <row r="138" spans="1:6" ht="31.05" customHeight="1">
      <c r="A138" s="6">
        <v>-30377</v>
      </c>
      <c r="B138" s="2" t="s">
        <v>138</v>
      </c>
      <c r="C138" s="2" t="s">
        <v>12135</v>
      </c>
      <c r="D138" s="3">
        <v>8</v>
      </c>
      <c r="E138" s="3">
        <v>24</v>
      </c>
      <c r="F138" s="3" t="str">
        <f>HYPERLINK("https://www.boe.es/gazeta/dias/1816/10/29/pdfs/GMD-1816-135.pdf","Abrir PDF")</f>
        <v>Abrir PDF</v>
      </c>
    </row>
    <row r="139" spans="1:6" ht="31.05" customHeight="1">
      <c r="A139" s="6">
        <v>-30375</v>
      </c>
      <c r="B139" s="2" t="s">
        <v>404</v>
      </c>
      <c r="C139" s="2" t="s">
        <v>12136</v>
      </c>
      <c r="D139" s="3">
        <v>8</v>
      </c>
      <c r="E139" s="3">
        <v>54</v>
      </c>
      <c r="F139" s="3" t="str">
        <f>HYPERLINK("https://www.boe.es/gazeta/dias/1816/10/31/pdfs/GMD-1816-136.pdf","Abrir PDF")</f>
        <v>Abrir PDF</v>
      </c>
    </row>
    <row r="140" spans="1:6" ht="31.05" customHeight="1">
      <c r="A140" s="6">
        <v>-30373</v>
      </c>
      <c r="B140" s="2" t="s">
        <v>1280</v>
      </c>
      <c r="C140" s="2" t="s">
        <v>12137</v>
      </c>
      <c r="D140" s="3">
        <v>8</v>
      </c>
      <c r="E140" s="3">
        <v>20</v>
      </c>
      <c r="F140" s="3" t="str">
        <f>HYPERLINK("https://www.boe.es/gazeta/dias/1816/11/02/pdfs/GMD-1816-137.pdf","Abrir PDF")</f>
        <v>Abrir PDF</v>
      </c>
    </row>
    <row r="141" spans="1:6" ht="31.05" customHeight="1">
      <c r="A141" s="6">
        <v>-30370</v>
      </c>
      <c r="B141" s="2" t="s">
        <v>669</v>
      </c>
      <c r="C141" s="2" t="s">
        <v>12138</v>
      </c>
      <c r="D141" s="3">
        <v>8</v>
      </c>
      <c r="E141" s="3">
        <v>25</v>
      </c>
      <c r="F141" s="3" t="str">
        <f>HYPERLINK("https://www.boe.es/gazeta/dias/1816/11/05/pdfs/GMD-1816-138.pdf","Abrir PDF")</f>
        <v>Abrir PDF</v>
      </c>
    </row>
    <row r="142" spans="1:6" ht="31.05" customHeight="1">
      <c r="A142" s="6">
        <v>-30368</v>
      </c>
      <c r="B142" s="2" t="s">
        <v>531</v>
      </c>
      <c r="C142" s="2" t="s">
        <v>12139</v>
      </c>
      <c r="D142" s="3">
        <v>8</v>
      </c>
      <c r="E142" s="3">
        <v>19</v>
      </c>
      <c r="F142" s="3" t="str">
        <f>HYPERLINK("https://www.boe.es/gazeta/dias/1816/11/07/pdfs/GMD-1816-139.pdf","Abrir PDF")</f>
        <v>Abrir PDF</v>
      </c>
    </row>
    <row r="143" spans="1:6" ht="31.05" customHeight="1">
      <c r="A143" s="6">
        <v>-30366</v>
      </c>
      <c r="B143" s="2" t="s">
        <v>179</v>
      </c>
      <c r="C143" s="2" t="s">
        <v>12140</v>
      </c>
      <c r="D143" s="3">
        <v>12</v>
      </c>
      <c r="E143" s="3">
        <v>60</v>
      </c>
      <c r="F143" s="3" t="str">
        <f>HYPERLINK("https://www.boe.es/gazeta/dias/1816/11/09/pdfs/GMD-1816-140.pdf","Abrir PDF")</f>
        <v>Abrir PDF</v>
      </c>
    </row>
    <row r="144" spans="1:6" ht="31.05" customHeight="1">
      <c r="A144" s="6">
        <v>-30363</v>
      </c>
      <c r="B144" s="2" t="s">
        <v>570</v>
      </c>
      <c r="C144" s="2" t="s">
        <v>12141</v>
      </c>
      <c r="D144" s="3">
        <v>8</v>
      </c>
      <c r="E144" s="3">
        <v>24</v>
      </c>
      <c r="F144" s="3" t="str">
        <f>HYPERLINK("https://www.boe.es/gazeta/dias/1816/11/12/pdfs/GMD-1816-141.pdf","Abrir PDF")</f>
        <v>Abrir PDF</v>
      </c>
    </row>
    <row r="145" spans="1:6" ht="31.05" customHeight="1">
      <c r="A145" s="6">
        <v>-30361</v>
      </c>
      <c r="B145" s="2" t="s">
        <v>1741</v>
      </c>
      <c r="C145" s="2" t="s">
        <v>12142</v>
      </c>
      <c r="D145" s="3">
        <v>8</v>
      </c>
      <c r="E145" s="3">
        <v>15</v>
      </c>
      <c r="F145" s="3" t="str">
        <f>HYPERLINK("https://www.boe.es/gazeta/dias/1816/11/14/pdfs/GMD-1816-142.pdf","Abrir PDF")</f>
        <v>Abrir PDF</v>
      </c>
    </row>
    <row r="146" spans="1:6" ht="31.05" customHeight="1">
      <c r="A146" s="6">
        <v>-30359</v>
      </c>
      <c r="B146" s="2" t="s">
        <v>812</v>
      </c>
      <c r="C146" s="2" t="s">
        <v>12143</v>
      </c>
      <c r="D146" s="3">
        <v>8</v>
      </c>
      <c r="E146" s="3">
        <v>37</v>
      </c>
      <c r="F146" s="3" t="str">
        <f>HYPERLINK("https://www.boe.es/gazeta/dias/1816/11/16/pdfs/GMD-1816-143.pdf","Abrir PDF")</f>
        <v>Abrir PDF</v>
      </c>
    </row>
    <row r="147" spans="1:6" ht="31.05" customHeight="1">
      <c r="A147" s="6">
        <v>-30356</v>
      </c>
      <c r="B147" s="2" t="s">
        <v>824</v>
      </c>
      <c r="C147" s="2" t="s">
        <v>12144</v>
      </c>
      <c r="D147" s="3">
        <v>8</v>
      </c>
      <c r="E147" s="3">
        <v>24</v>
      </c>
      <c r="F147" s="3" t="str">
        <f>HYPERLINK("https://www.boe.es/gazeta/dias/1816/11/19/pdfs/GMD-1816-144.pdf","Abrir PDF")</f>
        <v>Abrir PDF</v>
      </c>
    </row>
    <row r="148" spans="1:6" ht="31.05" customHeight="1">
      <c r="A148" s="6">
        <v>-30354</v>
      </c>
      <c r="B148" s="2" t="s">
        <v>68</v>
      </c>
      <c r="C148" s="2" t="s">
        <v>12145</v>
      </c>
      <c r="D148" s="3">
        <v>8</v>
      </c>
      <c r="E148" s="3">
        <v>44</v>
      </c>
      <c r="F148" s="3" t="str">
        <f>HYPERLINK("https://www.boe.es/gazeta/dias/1816/11/21/pdfs/GMD-1816-145.pdf","Abrir PDF")</f>
        <v>Abrir PDF</v>
      </c>
    </row>
    <row r="149" spans="1:6" ht="31.05" customHeight="1">
      <c r="A149" s="6">
        <v>-30352</v>
      </c>
      <c r="B149" s="2" t="s">
        <v>407</v>
      </c>
      <c r="C149" s="2" t="s">
        <v>12146</v>
      </c>
      <c r="D149" s="3">
        <v>8</v>
      </c>
      <c r="E149" s="3">
        <v>27</v>
      </c>
      <c r="F149" s="3" t="str">
        <f>HYPERLINK("https://www.boe.es/gazeta/dias/1816/11/23/pdfs/GMD-1816-146.pdf","Abrir PDF")</f>
        <v>Abrir PDF</v>
      </c>
    </row>
    <row r="150" spans="1:6" ht="31.05" customHeight="1">
      <c r="A150" s="6">
        <v>-30349</v>
      </c>
      <c r="B150" s="2" t="s">
        <v>360</v>
      </c>
      <c r="C150" s="2" t="s">
        <v>12147</v>
      </c>
      <c r="D150" s="3">
        <v>8</v>
      </c>
      <c r="E150" s="3">
        <v>15</v>
      </c>
      <c r="F150" s="3" t="str">
        <f>HYPERLINK("https://www.boe.es/gazeta/dias/1816/11/26/pdfs/GMD-1816-147.pdf","Abrir PDF")</f>
        <v>Abrir PDF</v>
      </c>
    </row>
    <row r="151" spans="1:6" ht="31.05" customHeight="1">
      <c r="A151" s="6">
        <v>-30347</v>
      </c>
      <c r="B151" s="2" t="s">
        <v>2994</v>
      </c>
      <c r="C151" s="2" t="s">
        <v>12148</v>
      </c>
      <c r="D151" s="3">
        <v>8</v>
      </c>
      <c r="E151" s="3">
        <v>19</v>
      </c>
      <c r="F151" s="3" t="str">
        <f>HYPERLINK("https://www.boe.es/gazeta/dias/1816/11/28/pdfs/GMD-1816-148.pdf","Abrir PDF")</f>
        <v>Abrir PDF</v>
      </c>
    </row>
    <row r="152" spans="1:6" ht="31.05" customHeight="1">
      <c r="A152" s="6">
        <v>-30345</v>
      </c>
      <c r="B152" s="2" t="s">
        <v>1382</v>
      </c>
      <c r="C152" s="2" t="s">
        <v>12149</v>
      </c>
      <c r="D152" s="3">
        <v>8</v>
      </c>
      <c r="E152" s="3">
        <v>17</v>
      </c>
      <c r="F152" s="3" t="str">
        <f>HYPERLINK("https://www.boe.es/gazeta/dias/1816/11/30/pdfs/GMD-1816-149.pdf","Abrir PDF")</f>
        <v>Abrir PDF</v>
      </c>
    </row>
    <row r="153" spans="1:6" ht="31.05" customHeight="1">
      <c r="A153" s="6">
        <v>-30342</v>
      </c>
      <c r="B153" s="2" t="s">
        <v>116</v>
      </c>
      <c r="C153" s="2" t="s">
        <v>12150</v>
      </c>
      <c r="D153" s="3">
        <v>8</v>
      </c>
      <c r="E153" s="3">
        <v>31</v>
      </c>
      <c r="F153" s="3" t="str">
        <f>HYPERLINK("https://www.boe.es/gazeta/dias/1816/12/03/pdfs/GMD-1816-150.pdf","Abrir PDF")</f>
        <v>Abrir PDF</v>
      </c>
    </row>
    <row r="154" spans="1:6" ht="31.05" customHeight="1">
      <c r="A154" s="6">
        <v>-30340</v>
      </c>
      <c r="B154" s="2" t="s">
        <v>1618</v>
      </c>
      <c r="C154" s="2" t="s">
        <v>12151</v>
      </c>
      <c r="D154" s="3">
        <v>8</v>
      </c>
      <c r="E154" s="3">
        <v>17</v>
      </c>
      <c r="F154" s="3" t="str">
        <f>HYPERLINK("https://www.boe.es/gazeta/dias/1816/12/05/pdfs/GMD-1816-151.pdf","Abrir PDF")</f>
        <v>Abrir PDF</v>
      </c>
    </row>
    <row r="155" spans="1:6" ht="31.05" customHeight="1">
      <c r="A155" s="6">
        <v>-30338</v>
      </c>
      <c r="B155" s="2" t="s">
        <v>464</v>
      </c>
      <c r="C155" s="2" t="s">
        <v>12152</v>
      </c>
      <c r="D155" s="3">
        <v>8</v>
      </c>
      <c r="E155" s="3">
        <v>23</v>
      </c>
      <c r="F155" s="3" t="str">
        <f>HYPERLINK("https://www.boe.es/gazeta/dias/1816/12/07/pdfs/GMD-1816-152.pdf","Abrir PDF")</f>
        <v>Abrir PDF</v>
      </c>
    </row>
    <row r="156" spans="1:6" ht="31.05" customHeight="1">
      <c r="A156" s="6">
        <v>-30335</v>
      </c>
      <c r="B156" s="2" t="s">
        <v>468</v>
      </c>
      <c r="C156" s="2" t="s">
        <v>12153</v>
      </c>
      <c r="D156" s="3">
        <v>8</v>
      </c>
      <c r="E156" s="3">
        <v>28</v>
      </c>
      <c r="F156" s="3" t="str">
        <f>HYPERLINK("https://www.boe.es/gazeta/dias/1816/12/10/pdfs/GMD-1816-153.pdf","Abrir PDF")</f>
        <v>Abrir PDF</v>
      </c>
    </row>
    <row r="157" spans="1:6" ht="31.05" customHeight="1">
      <c r="A157" s="6">
        <v>-30333</v>
      </c>
      <c r="B157" s="2" t="s">
        <v>1005</v>
      </c>
      <c r="C157" s="2" t="s">
        <v>12154</v>
      </c>
      <c r="D157" s="3">
        <v>8</v>
      </c>
      <c r="E157" s="3">
        <v>26</v>
      </c>
      <c r="F157" s="3" t="str">
        <f>HYPERLINK("https://www.boe.es/gazeta/dias/1816/12/12/pdfs/GMD-1816-154.pdf","Abrir PDF")</f>
        <v>Abrir PDF</v>
      </c>
    </row>
    <row r="158" spans="1:6" ht="31.05" customHeight="1">
      <c r="A158" s="6">
        <v>-30331</v>
      </c>
      <c r="B158" s="2" t="s">
        <v>315</v>
      </c>
      <c r="C158" s="2" t="s">
        <v>12155</v>
      </c>
      <c r="D158" s="3">
        <v>8</v>
      </c>
      <c r="E158" s="3">
        <v>23</v>
      </c>
      <c r="F158" s="3" t="str">
        <f>HYPERLINK("https://www.boe.es/gazeta/dias/1816/12/14/pdfs/GMD-1816-155.pdf","Abrir PDF")</f>
        <v>Abrir PDF</v>
      </c>
    </row>
    <row r="159" spans="1:6" ht="31.05" customHeight="1">
      <c r="A159" s="6">
        <v>-30328</v>
      </c>
      <c r="B159" s="2" t="s">
        <v>573</v>
      </c>
      <c r="C159" s="2" t="s">
        <v>12156</v>
      </c>
      <c r="D159" s="3">
        <v>8</v>
      </c>
      <c r="E159" s="3">
        <v>25</v>
      </c>
      <c r="F159" s="3" t="str">
        <f>HYPERLINK("https://www.boe.es/gazeta/dias/1816/12/17/pdfs/GMD-1816-156.pdf","Abrir PDF")</f>
        <v>Abrir PDF</v>
      </c>
    </row>
    <row r="160" spans="1:6" ht="31.05" customHeight="1">
      <c r="A160" s="6">
        <v>-30326</v>
      </c>
      <c r="B160" s="2" t="s">
        <v>377</v>
      </c>
      <c r="C160" s="2" t="s">
        <v>12157</v>
      </c>
      <c r="D160" s="3">
        <v>8</v>
      </c>
      <c r="E160" s="3">
        <v>34</v>
      </c>
      <c r="F160" s="3" t="str">
        <f>HYPERLINK("https://www.boe.es/gazeta/dias/1816/12/19/pdfs/GMD-1816-157.pdf","Abrir PDF")</f>
        <v>Abrir PDF</v>
      </c>
    </row>
    <row r="161" spans="1:6" ht="31.05" customHeight="1">
      <c r="A161" s="6">
        <v>-30324</v>
      </c>
      <c r="B161" s="2" t="s">
        <v>46</v>
      </c>
      <c r="C161" s="2" t="s">
        <v>12158</v>
      </c>
      <c r="D161" s="3">
        <v>8</v>
      </c>
      <c r="E161" s="3">
        <v>29</v>
      </c>
      <c r="F161" s="3" t="str">
        <f>HYPERLINK("https://www.boe.es/gazeta/dias/1816/12/21/pdfs/GMD-1816-158.pdf","Abrir PDF")</f>
        <v>Abrir PDF</v>
      </c>
    </row>
    <row r="162" spans="1:6" ht="31.05" customHeight="1">
      <c r="A162" s="6">
        <v>-30321</v>
      </c>
      <c r="B162" s="2" t="s">
        <v>1086</v>
      </c>
      <c r="C162" s="2" t="s">
        <v>12159</v>
      </c>
      <c r="D162" s="3">
        <v>12</v>
      </c>
      <c r="E162" s="3">
        <v>24</v>
      </c>
      <c r="F162" s="3" t="str">
        <f>HYPERLINK("https://www.boe.es/gazeta/dias/1816/12/24/pdfs/GMD-1816-159.pdf","Abrir PDF")</f>
        <v>Abrir PDF</v>
      </c>
    </row>
    <row r="163" spans="1:6" ht="31.05" customHeight="1">
      <c r="A163" s="6">
        <v>-30319</v>
      </c>
      <c r="B163" s="2" t="s">
        <v>131</v>
      </c>
      <c r="C163" s="2" t="s">
        <v>12160</v>
      </c>
      <c r="D163" s="3">
        <v>8</v>
      </c>
      <c r="E163" s="3">
        <v>30</v>
      </c>
      <c r="F163" s="3" t="str">
        <f>HYPERLINK("https://www.boe.es/gazeta/dias/1816/12/26/pdfs/GMD-1816-160.pdf","Abrir PDF")</f>
        <v>Abrir PDF</v>
      </c>
    </row>
    <row r="164" spans="1:6" ht="31.05" customHeight="1">
      <c r="A164" s="6">
        <v>-30317</v>
      </c>
      <c r="B164" s="2" t="s">
        <v>1030</v>
      </c>
      <c r="C164" s="2" t="s">
        <v>12161</v>
      </c>
      <c r="D164" s="3">
        <v>8</v>
      </c>
      <c r="E164" s="3">
        <v>29</v>
      </c>
      <c r="F164" s="3" t="str">
        <f>HYPERLINK("https://www.boe.es/gazeta/dias/1816/12/28/pdfs/GMD-1816-161.pdf","Abrir PDF")</f>
        <v>Abrir PDF</v>
      </c>
    </row>
    <row r="165" spans="1:6" ht="31.05" customHeight="1">
      <c r="A165" s="6">
        <v>-30314</v>
      </c>
      <c r="B165" s="2" t="s">
        <v>1899</v>
      </c>
      <c r="C165" s="2" t="s">
        <v>12162</v>
      </c>
      <c r="D165" s="3">
        <v>8</v>
      </c>
      <c r="E165" s="3">
        <v>21</v>
      </c>
      <c r="F165" s="3" t="str">
        <f>HYPERLINK("https://www.boe.es/gazeta/dias/1816/12/31/pdfs/GMD-1816-162.pdf","Abrir PDF")</f>
        <v>Abrir PDF</v>
      </c>
    </row>
    <row r="166" spans="1:6" ht="31.05" customHeight="1">
      <c r="A166" s="4"/>
      <c r="B166" s="2"/>
      <c r="C166" s="2"/>
      <c r="D166" s="3"/>
      <c r="E166" s="3"/>
      <c r="F166" s="3"/>
    </row>
    <row r="167" spans="1:6" ht="31.05" customHeight="1">
      <c r="A167" s="4"/>
      <c r="B167" s="2"/>
      <c r="C167" s="2"/>
      <c r="D167" s="3"/>
      <c r="E167" s="3"/>
      <c r="F167" s="3"/>
    </row>
    <row r="168" spans="1:6" ht="24" customHeight="1">
      <c r="A168" s="13" t="s">
        <v>12163</v>
      </c>
      <c r="B168" s="14"/>
      <c r="C168" s="14"/>
      <c r="D168" s="15"/>
      <c r="E168" s="15"/>
      <c r="F168" s="16"/>
    </row>
    <row r="169" spans="1:6" ht="42" customHeight="1">
      <c r="A169" s="7" t="s">
        <v>12164</v>
      </c>
      <c r="B169" s="17" t="s">
        <v>12165</v>
      </c>
      <c r="C169" s="17"/>
      <c r="D169" s="18"/>
      <c r="E169" s="18"/>
      <c r="F169" s="18"/>
    </row>
    <row r="170" spans="1:6" ht="42" customHeight="1">
      <c r="A170" s="7" t="s">
        <v>12166</v>
      </c>
      <c r="B170" s="17" t="s">
        <v>12167</v>
      </c>
      <c r="C170" s="17"/>
      <c r="D170" s="18"/>
      <c r="E170" s="18"/>
      <c r="F170" s="18"/>
    </row>
    <row r="171" spans="1:6" ht="42" customHeight="1">
      <c r="A171" s="7" t="s">
        <v>12168</v>
      </c>
      <c r="B171" s="17" t="s">
        <v>12169</v>
      </c>
      <c r="C171" s="17"/>
      <c r="D171" s="18"/>
      <c r="E171" s="18"/>
      <c r="F171" s="18"/>
    </row>
    <row r="172" spans="1:6" ht="42" customHeight="1">
      <c r="A172" s="7" t="s">
        <v>12170</v>
      </c>
      <c r="B172" s="17" t="s">
        <v>12171</v>
      </c>
      <c r="C172" s="17"/>
      <c r="D172" s="18"/>
      <c r="E172" s="18"/>
      <c r="F172" s="18"/>
    </row>
    <row r="173" spans="1:6" ht="42" customHeight="1">
      <c r="A173" s="7" t="s">
        <v>12172</v>
      </c>
      <c r="B173" s="17" t="s">
        <v>12173</v>
      </c>
      <c r="C173" s="17"/>
      <c r="D173" s="18"/>
      <c r="E173" s="18"/>
      <c r="F173" s="18"/>
    </row>
    <row r="174" spans="1:6" ht="42" customHeight="1">
      <c r="A174" s="7" t="s">
        <v>10</v>
      </c>
      <c r="B174" s="17" t="s">
        <v>12174</v>
      </c>
      <c r="C174" s="17"/>
      <c r="D174" s="18"/>
      <c r="E174" s="18"/>
      <c r="F174" s="18"/>
    </row>
    <row r="175" spans="1:6" ht="42" customHeight="1">
      <c r="A175" s="7" t="s">
        <v>12175</v>
      </c>
      <c r="B175" s="17" t="s">
        <v>12176</v>
      </c>
      <c r="C175" s="17"/>
      <c r="D175" s="18"/>
      <c r="E175" s="18"/>
      <c r="F175" s="18"/>
    </row>
    <row r="176" spans="1:6" ht="42" customHeight="1">
      <c r="A176" s="7" t="s">
        <v>12177</v>
      </c>
      <c r="B176" s="17" t="s">
        <v>12178</v>
      </c>
      <c r="C176" s="17"/>
      <c r="D176" s="18"/>
      <c r="E176" s="18"/>
      <c r="F176" s="18"/>
    </row>
    <row r="177" spans="1:6" ht="42" customHeight="1">
      <c r="A177" s="7" t="s">
        <v>12179</v>
      </c>
      <c r="B177" s="17" t="s">
        <v>12180</v>
      </c>
      <c r="C177" s="17"/>
      <c r="D177" s="18"/>
      <c r="E177" s="18"/>
      <c r="F177" s="18"/>
    </row>
    <row r="178" spans="1:6" ht="31.05" customHeight="1"/>
    <row r="179" spans="1:6" ht="31.05" customHeight="1"/>
    <row r="180" spans="1:6" ht="31.05" customHeight="1"/>
    <row r="181" spans="1:6" ht="31.05" customHeight="1"/>
    <row r="182" spans="1:6" ht="31.05" customHeight="1"/>
    <row r="183" spans="1:6" ht="31.05" customHeight="1"/>
    <row r="184" spans="1:6" ht="31.05" customHeight="1"/>
    <row r="185" spans="1:6" ht="31.05" customHeight="1"/>
    <row r="186" spans="1:6" ht="31.05" customHeight="1"/>
    <row r="187" spans="1:6" ht="31.05" customHeight="1"/>
    <row r="188" spans="1:6" ht="31.05" customHeight="1"/>
    <row r="189" spans="1:6" ht="31.05" customHeight="1"/>
    <row r="190" spans="1:6" ht="31.05" customHeight="1"/>
    <row r="191" spans="1:6" ht="31.05" customHeight="1"/>
    <row r="192" spans="1:6" ht="31.05" customHeight="1"/>
    <row r="193" ht="31.05" customHeight="1"/>
    <row r="194" ht="31.05" customHeight="1"/>
    <row r="195" ht="31.05" customHeight="1"/>
    <row r="196" ht="31.05" customHeight="1"/>
    <row r="197" ht="31.05" customHeight="1"/>
    <row r="198" ht="31.05" customHeight="1"/>
    <row r="199" ht="31.05" customHeight="1"/>
    <row r="200" ht="31.05" customHeight="1"/>
    <row r="201" ht="31.05" customHeight="1"/>
    <row r="202" ht="31.05" customHeight="1"/>
    <row r="203" ht="31.05" customHeight="1"/>
    <row r="204" ht="31.05" customHeight="1"/>
    <row r="205" ht="31.05" customHeight="1"/>
    <row r="206" ht="31.05" customHeight="1"/>
    <row r="207" ht="31.05" customHeight="1"/>
    <row r="208" ht="31.05" customHeight="1"/>
    <row r="209" ht="31.05" customHeight="1"/>
    <row r="210" ht="31.05" customHeight="1"/>
    <row r="211" ht="31.05" customHeight="1"/>
    <row r="212" ht="31.05" customHeight="1"/>
    <row r="213" ht="31.05" customHeight="1"/>
    <row r="214" ht="31.05" customHeight="1"/>
    <row r="215" ht="31.05" customHeight="1"/>
    <row r="216" ht="31.05" customHeight="1"/>
    <row r="217" ht="31.05" customHeight="1"/>
    <row r="218" ht="31.05" customHeight="1"/>
    <row r="219" ht="31.05" customHeight="1"/>
    <row r="220" ht="31.05" customHeight="1"/>
    <row r="221" ht="31.05" customHeight="1"/>
    <row r="222" ht="31.05" customHeight="1"/>
    <row r="223" ht="31.05" customHeight="1"/>
    <row r="224" ht="31.05" customHeight="1"/>
    <row r="225" ht="31.05" customHeight="1"/>
    <row r="226" ht="31.05" customHeight="1"/>
    <row r="227" ht="31.05" customHeight="1"/>
    <row r="228" ht="31.05" customHeight="1"/>
    <row r="229" ht="31.05" customHeight="1"/>
    <row r="230" ht="31.05" customHeight="1"/>
    <row r="231" ht="31.05" customHeight="1"/>
    <row r="232" ht="31.05" customHeight="1"/>
    <row r="233" ht="31.05" customHeight="1"/>
    <row r="234" ht="31.05" customHeight="1"/>
    <row r="235" ht="31.05" customHeight="1"/>
    <row r="236" ht="31.05" customHeight="1"/>
    <row r="237" ht="31.05" customHeight="1"/>
    <row r="238" ht="31.05" customHeight="1"/>
    <row r="239" ht="31.05" customHeight="1"/>
    <row r="240" ht="31.05" customHeight="1"/>
    <row r="241" ht="31.05" customHeight="1"/>
    <row r="242" ht="31.05" customHeight="1"/>
    <row r="243" ht="31.05" customHeight="1"/>
    <row r="244" ht="31.05" customHeight="1"/>
    <row r="245" ht="31.05" customHeight="1"/>
    <row r="246" ht="31.05" customHeight="1"/>
    <row r="247" ht="31.05" customHeight="1"/>
    <row r="248" ht="31.05" customHeight="1"/>
    <row r="249" ht="31.05" customHeight="1"/>
    <row r="250" ht="31.05" customHeight="1"/>
    <row r="251" ht="31.05" customHeight="1"/>
    <row r="252" ht="31.05" customHeight="1"/>
    <row r="253" ht="31.05" customHeight="1"/>
    <row r="254" ht="31.05" customHeight="1"/>
    <row r="255" ht="31.05" customHeight="1"/>
    <row r="256" ht="31.05" customHeight="1"/>
    <row r="257" ht="31.05" customHeight="1"/>
    <row r="258" ht="31.05" customHeight="1"/>
    <row r="259" ht="31.05" customHeight="1"/>
    <row r="260" ht="31.05" customHeight="1"/>
    <row r="261" ht="31.05" customHeight="1"/>
    <row r="262" ht="31.05" customHeight="1"/>
    <row r="263" ht="31.05" customHeight="1"/>
    <row r="264" ht="31.05" customHeight="1"/>
    <row r="265" ht="31.05" customHeight="1"/>
    <row r="266" ht="31.05" customHeight="1"/>
    <row r="267" ht="31.05" customHeight="1"/>
    <row r="268" ht="31.05" customHeight="1"/>
    <row r="269" ht="31.05" customHeight="1"/>
    <row r="270" ht="31.05" customHeight="1"/>
    <row r="271" ht="31.05" customHeight="1"/>
    <row r="272" ht="31.05" customHeight="1"/>
    <row r="273" ht="31.05" customHeight="1"/>
    <row r="274" ht="31.05" customHeight="1"/>
    <row r="275" ht="31.05" customHeight="1"/>
    <row r="276" ht="31.05" customHeight="1"/>
    <row r="277" ht="31.05" customHeight="1"/>
    <row r="278" ht="31.05" customHeight="1"/>
    <row r="279" ht="31.05" customHeight="1"/>
    <row r="280" ht="31.05" customHeight="1"/>
    <row r="281" ht="31.05" customHeight="1"/>
    <row r="282" ht="31.05" customHeight="1"/>
    <row r="283" ht="31.05" customHeight="1"/>
    <row r="284" ht="31.05" customHeight="1"/>
    <row r="285" ht="31.05" customHeight="1"/>
    <row r="286" ht="31.05" customHeight="1"/>
    <row r="287" ht="31.05" customHeight="1"/>
    <row r="288" ht="31.05" customHeight="1"/>
    <row r="289" ht="31.05" customHeight="1"/>
    <row r="290" ht="31.05" customHeight="1"/>
    <row r="291" ht="31.05" customHeight="1"/>
    <row r="292" ht="31.05" customHeight="1"/>
    <row r="293" ht="31.05" customHeight="1"/>
    <row r="294" ht="31.05" customHeight="1"/>
    <row r="295" ht="31.05" customHeight="1"/>
    <row r="296" ht="31.05" customHeight="1"/>
    <row r="297" ht="31.05" customHeight="1"/>
    <row r="298" ht="31.05" customHeight="1"/>
    <row r="299" ht="31.05" customHeight="1"/>
    <row r="300" ht="31.05" customHeight="1"/>
    <row r="301" ht="31.05" customHeight="1"/>
    <row r="302" ht="31.05" customHeight="1"/>
    <row r="303" ht="31.05" customHeight="1"/>
    <row r="304" ht="31.05" customHeight="1"/>
    <row r="305" ht="31.05" customHeight="1"/>
    <row r="306" ht="31.05" customHeight="1"/>
    <row r="307" ht="31.05" customHeight="1"/>
    <row r="308" ht="31.05" customHeight="1"/>
    <row r="309" ht="31.05" customHeight="1"/>
    <row r="310" ht="31.05" customHeight="1"/>
    <row r="311" ht="31.05" customHeight="1"/>
    <row r="312" ht="31.05" customHeight="1"/>
    <row r="313" ht="31.05" customHeight="1"/>
    <row r="314" ht="31.05" customHeight="1"/>
    <row r="315" ht="31.05" customHeight="1"/>
    <row r="316" ht="31.05" customHeight="1"/>
    <row r="317" ht="31.05" customHeight="1"/>
    <row r="318" ht="31.05" customHeight="1"/>
    <row r="319" ht="31.05" customHeight="1"/>
    <row r="320" ht="31.05" customHeight="1"/>
    <row r="321" ht="31.05" customHeight="1"/>
    <row r="322" ht="31.05" customHeight="1"/>
    <row r="323" ht="31.05" customHeight="1"/>
    <row r="324" ht="31.05" customHeight="1"/>
    <row r="325" ht="31.05" customHeight="1"/>
    <row r="326" ht="31.05" customHeight="1"/>
    <row r="327" ht="31.05" customHeight="1"/>
    <row r="328" ht="31.05" customHeight="1"/>
    <row r="329" ht="31.05" customHeight="1"/>
    <row r="330" ht="31.05" customHeight="1"/>
    <row r="331" ht="31.05" customHeight="1"/>
    <row r="332" ht="31.05" customHeight="1"/>
    <row r="333" ht="31.05" customHeight="1"/>
    <row r="334" ht="31.05" customHeight="1"/>
    <row r="335" ht="31.05" customHeight="1"/>
    <row r="336" ht="31.05" customHeight="1"/>
    <row r="337" ht="31.05" customHeight="1"/>
    <row r="338" ht="31.05" customHeight="1"/>
    <row r="339" ht="31.05" customHeight="1"/>
    <row r="340" ht="31.05" customHeight="1"/>
    <row r="341" ht="31.05" customHeight="1"/>
    <row r="342" ht="31.05" customHeight="1"/>
    <row r="343" ht="31.05" customHeight="1"/>
    <row r="344" ht="31.05" customHeight="1"/>
    <row r="345" ht="31.05" customHeight="1"/>
    <row r="346" ht="31.05" customHeight="1"/>
    <row r="347" ht="31.05" customHeight="1"/>
    <row r="348" ht="31.05" customHeight="1"/>
    <row r="349" ht="31.05" customHeight="1"/>
    <row r="350" ht="31.05" customHeight="1"/>
    <row r="351" ht="31.05" customHeight="1"/>
    <row r="352" ht="31.05" customHeight="1"/>
    <row r="353" ht="31.05" customHeight="1"/>
    <row r="354" ht="31.05" customHeight="1"/>
    <row r="355" ht="31.05" customHeight="1"/>
    <row r="356" ht="31.05" customHeight="1"/>
    <row r="357" ht="31.05" customHeight="1"/>
    <row r="358" ht="31.05" customHeight="1"/>
    <row r="359" ht="31.05" customHeight="1"/>
    <row r="360" ht="31.05" customHeight="1"/>
    <row r="361" ht="31.05" customHeight="1"/>
    <row r="362" ht="31.05" customHeight="1"/>
    <row r="363" ht="31.05" customHeight="1"/>
    <row r="364" ht="31.05" customHeight="1"/>
    <row r="365" ht="31.05" customHeight="1"/>
    <row r="366" ht="31.05" customHeight="1"/>
    <row r="367" ht="31.05" customHeight="1"/>
    <row r="368" ht="31.05" customHeight="1"/>
    <row r="369" ht="31.05" customHeight="1"/>
    <row r="370" ht="31.05" customHeight="1"/>
    <row r="371" ht="31.05" customHeight="1"/>
    <row r="372" ht="31.05" customHeight="1"/>
    <row r="373" ht="31.05" customHeight="1"/>
    <row r="374" ht="31.05" customHeight="1"/>
    <row r="375" ht="31.05" customHeight="1"/>
    <row r="376" ht="31.05" customHeight="1"/>
    <row r="377" ht="31.05" customHeight="1"/>
    <row r="378" ht="31.05" customHeight="1"/>
    <row r="379" ht="31.05" customHeight="1"/>
    <row r="380" ht="31.05" customHeight="1"/>
    <row r="381" ht="31.05" customHeight="1"/>
    <row r="382" ht="31.05" customHeight="1"/>
    <row r="383" ht="31.05" customHeight="1"/>
    <row r="384" ht="31.05" customHeight="1"/>
    <row r="385" ht="31.05" customHeight="1"/>
    <row r="386" ht="31.05" customHeight="1"/>
    <row r="387" ht="31.05" customHeight="1"/>
    <row r="388" ht="31.05" customHeight="1"/>
    <row r="389" ht="31.05" customHeight="1"/>
    <row r="390" ht="31.05" customHeight="1"/>
    <row r="391" ht="31.05" customHeight="1"/>
    <row r="392" ht="31.05" customHeight="1"/>
    <row r="393" ht="31.05" customHeight="1"/>
    <row r="394" ht="31.05" customHeight="1"/>
    <row r="395" ht="31.05" customHeight="1"/>
    <row r="396" ht="31.05" customHeight="1"/>
    <row r="397" ht="31.05" customHeight="1"/>
    <row r="398" ht="31.05" customHeight="1"/>
    <row r="399" ht="31.05" customHeight="1"/>
    <row r="400" ht="31.05" customHeight="1"/>
    <row r="401" ht="31.05" customHeight="1"/>
    <row r="402" ht="31.05" customHeight="1"/>
    <row r="403" ht="31.05" customHeight="1"/>
    <row r="404" ht="31.05" customHeight="1"/>
    <row r="405" ht="31.05" customHeight="1"/>
    <row r="406" ht="31.05" customHeight="1"/>
    <row r="407" ht="31.05" customHeight="1"/>
    <row r="408" ht="31.05" customHeight="1"/>
    <row r="409" ht="31.05" customHeight="1"/>
    <row r="410" ht="31.05" customHeight="1"/>
    <row r="411" ht="31.05" customHeight="1"/>
    <row r="412" ht="31.05" customHeight="1"/>
    <row r="413" ht="31.05" customHeight="1"/>
    <row r="414" ht="31.05" customHeight="1"/>
    <row r="415" ht="31.05" customHeight="1"/>
    <row r="416" ht="31.05" customHeight="1"/>
    <row r="417" ht="31.05" customHeight="1"/>
    <row r="418" ht="31.05" customHeight="1"/>
    <row r="419" ht="31.05" customHeight="1"/>
    <row r="420" ht="31.05" customHeight="1"/>
    <row r="421" ht="31.05" customHeight="1"/>
    <row r="422" ht="31.05" customHeight="1"/>
    <row r="423" ht="31.05" customHeight="1"/>
    <row r="424" ht="31.05" customHeight="1"/>
    <row r="425" ht="31.05" customHeight="1"/>
    <row r="426" ht="31.05" customHeight="1"/>
    <row r="427" ht="31.05" customHeight="1"/>
    <row r="428" ht="31.05" customHeight="1"/>
    <row r="429" ht="31.05" customHeight="1"/>
    <row r="430" ht="31.05" customHeight="1"/>
    <row r="431" ht="31.05" customHeight="1"/>
    <row r="432" ht="31.05" customHeight="1"/>
    <row r="433" ht="31.05" customHeight="1"/>
    <row r="434" ht="31.05" customHeight="1"/>
    <row r="435" ht="31.05" customHeight="1"/>
    <row r="436" ht="31.05" customHeight="1"/>
    <row r="437" ht="31.05" customHeight="1"/>
    <row r="438" ht="31.05" customHeight="1"/>
    <row r="439" ht="31.05" customHeight="1"/>
    <row r="440" ht="31.05" customHeight="1"/>
    <row r="441" ht="31.05" customHeight="1"/>
    <row r="442" ht="31.05" customHeight="1"/>
    <row r="443" ht="31.05" customHeight="1"/>
    <row r="444" ht="31.05" customHeight="1"/>
    <row r="445" ht="31.05" customHeight="1"/>
    <row r="446" ht="31.05" customHeight="1"/>
    <row r="447" ht="31.05" customHeight="1"/>
    <row r="448" ht="31.05" customHeight="1"/>
    <row r="449" ht="31.05" customHeight="1"/>
    <row r="450" ht="31.05" customHeight="1"/>
    <row r="451" ht="31.05" customHeight="1"/>
    <row r="452" ht="31.05" customHeight="1"/>
    <row r="453" ht="31.05" customHeight="1"/>
    <row r="454" ht="31.05" customHeight="1"/>
    <row r="455" ht="31.05" customHeight="1"/>
    <row r="456" ht="31.05" customHeight="1"/>
    <row r="457" ht="31.05" customHeight="1"/>
    <row r="458" ht="31.05" customHeight="1"/>
    <row r="459" ht="31.05" customHeight="1"/>
    <row r="460" ht="31.05" customHeight="1"/>
    <row r="461" ht="31.05" customHeight="1"/>
    <row r="462" ht="31.05" customHeight="1"/>
    <row r="463" ht="31.05" customHeight="1"/>
    <row r="464" ht="31.05" customHeight="1"/>
    <row r="465" ht="31.05" customHeight="1"/>
    <row r="466" ht="31.05" customHeight="1"/>
    <row r="467" ht="31.05" customHeight="1"/>
    <row r="468" ht="31.05" customHeight="1"/>
    <row r="469" ht="31.05" customHeight="1"/>
    <row r="470" ht="31.05" customHeight="1"/>
    <row r="471" ht="31.05" customHeight="1"/>
    <row r="472" ht="31.05" customHeight="1"/>
    <row r="473" ht="31.05" customHeight="1"/>
    <row r="474" ht="31.05" customHeight="1"/>
    <row r="475" ht="31.05" customHeight="1"/>
    <row r="476" ht="31.05" customHeight="1"/>
    <row r="477" ht="31.05" customHeight="1"/>
    <row r="478" ht="31.05" customHeight="1"/>
    <row r="479" ht="31.05" customHeight="1"/>
    <row r="480" ht="31.05" customHeight="1"/>
    <row r="481" ht="31.05" customHeight="1"/>
    <row r="482" ht="31.05" customHeight="1"/>
    <row r="483" ht="31.05" customHeight="1"/>
    <row r="484" ht="31.05" customHeight="1"/>
    <row r="485" ht="31.05" customHeight="1"/>
    <row r="486" ht="31.05" customHeight="1"/>
    <row r="487" ht="31.05" customHeight="1"/>
    <row r="488" ht="31.05" customHeight="1"/>
    <row r="489" ht="31.05" customHeight="1"/>
    <row r="490" ht="31.05" customHeight="1"/>
    <row r="491" ht="31.05" customHeight="1"/>
    <row r="492" ht="31.05" customHeight="1"/>
    <row r="495" ht="24" customHeight="1"/>
    <row r="496" ht="42" customHeight="1"/>
    <row r="497" ht="42" customHeight="1"/>
    <row r="498" ht="42" customHeight="1"/>
    <row r="499" ht="42" customHeight="1"/>
    <row r="500" ht="42" customHeight="1"/>
    <row r="501" ht="42" customHeight="1"/>
    <row r="502" ht="42" customHeight="1"/>
    <row r="503" ht="42" customHeight="1"/>
    <row r="504" ht="42" customHeight="1"/>
  </sheetData>
  <mergeCells count="12">
    <mergeCell ref="B176:F176"/>
    <mergeCell ref="B177:F177"/>
    <mergeCell ref="B171:F171"/>
    <mergeCell ref="B172:F172"/>
    <mergeCell ref="B173:F173"/>
    <mergeCell ref="B174:F174"/>
    <mergeCell ref="B175:F175"/>
    <mergeCell ref="A1:F1"/>
    <mergeCell ref="A2:F2"/>
    <mergeCell ref="A168:F168"/>
    <mergeCell ref="B169:F169"/>
    <mergeCell ref="B170:F170"/>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2026-09-28T17:32:03Z</dcterms:created>
  <dcterms:modified xsi:type="dcterms:W3CDTF">2026-09-28T17:32:03Z</dcterms:modified>
</cp:coreProperties>
</file>